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Goff\Desktop\Biogas Tool\BioWATT\FINAL\"/>
    </mc:Choice>
  </mc:AlternateContent>
  <bookViews>
    <workbookView xWindow="-75" yWindow="-90" windowWidth="14805" windowHeight="12555" tabRatio="468"/>
  </bookViews>
  <sheets>
    <sheet name="Introduction" sheetId="4" r:id="rId1"/>
    <sheet name="Basic Module" sheetId="3" r:id="rId2"/>
    <sheet name="Advanced Module" sheetId="1" r:id="rId3"/>
  </sheets>
  <definedNames>
    <definedName name="gBOD5capd">'Advanced Module'!$O$15:$O$17</definedName>
    <definedName name="GHGemissions">'Basic Module'!$O$9:$O$11</definedName>
    <definedName name="methanecontent">'Advanced Module'!$O$110:$O$112</definedName>
    <definedName name="_xlnm.Print_Area" localSheetId="2">'Advanced Module'!$B$2:$E$418</definedName>
    <definedName name="_xlnm.Print_Area" localSheetId="1">'Basic Module'!$B$2:$E$73</definedName>
    <definedName name="VSdestruction">'Advanced Module'!$O$73:$O$75</definedName>
    <definedName name="VSDS">'Advanced Module'!$P$47:$P$49</definedName>
  </definedNames>
  <calcPr calcId="152511"/>
</workbook>
</file>

<file path=xl/calcChain.xml><?xml version="1.0" encoding="utf-8"?>
<calcChain xmlns="http://schemas.openxmlformats.org/spreadsheetml/2006/main">
  <c r="C42" i="3" l="1"/>
  <c r="C27" i="3"/>
  <c r="C395" i="1"/>
  <c r="C327" i="1"/>
  <c r="C252" i="1"/>
  <c r="C122" i="1"/>
  <c r="C370" i="1" l="1"/>
  <c r="C300" i="1"/>
  <c r="C248" i="1" l="1"/>
  <c r="C239" i="1"/>
  <c r="C234" i="1"/>
  <c r="C233" i="1"/>
  <c r="C222" i="1"/>
  <c r="C223" i="1"/>
  <c r="C221" i="1"/>
  <c r="C218" i="1"/>
  <c r="C211" i="1"/>
  <c r="C203" i="1"/>
  <c r="C204" i="1"/>
  <c r="C202" i="1"/>
  <c r="C179" i="1"/>
  <c r="C180" i="1"/>
  <c r="C181" i="1"/>
  <c r="C182" i="1"/>
  <c r="C178" i="1"/>
  <c r="C40" i="3" s="1"/>
  <c r="C169" i="1"/>
  <c r="C24" i="3" l="1"/>
  <c r="C35" i="1"/>
  <c r="C146" i="1" l="1"/>
  <c r="C5" i="1"/>
  <c r="C4" i="1"/>
  <c r="C405" i="1" l="1"/>
  <c r="C337" i="1"/>
  <c r="C312" i="1"/>
  <c r="C265" i="1"/>
  <c r="C261" i="1"/>
  <c r="C258" i="1"/>
  <c r="C138" i="1"/>
  <c r="C134" i="1"/>
  <c r="C128" i="1"/>
  <c r="C145" i="1"/>
  <c r="C9" i="1"/>
  <c r="C409" i="1" s="1"/>
  <c r="C10" i="1"/>
  <c r="C12" i="1" s="1"/>
  <c r="C158" i="1" l="1"/>
  <c r="C270" i="1" s="1"/>
  <c r="C167" i="1"/>
  <c r="C14" i="1"/>
  <c r="C33" i="1"/>
  <c r="C36" i="1" s="1"/>
  <c r="C24" i="1"/>
  <c r="C30" i="1"/>
  <c r="C16" i="1"/>
  <c r="C25" i="3"/>
  <c r="C380" i="1"/>
  <c r="C194" i="1"/>
  <c r="C199" i="1" s="1"/>
  <c r="C208" i="1" s="1"/>
  <c r="C227" i="1" s="1"/>
  <c r="C189" i="1"/>
  <c r="C39" i="1" l="1"/>
  <c r="C173" i="1"/>
  <c r="C29" i="1"/>
  <c r="C18" i="1"/>
  <c r="C164" i="1" l="1"/>
  <c r="C283" i="1"/>
  <c r="C352" i="1"/>
  <c r="C170" i="1" l="1"/>
  <c r="C187" i="1" s="1"/>
  <c r="C192" i="1"/>
  <c r="C197" i="1" s="1"/>
  <c r="C63" i="1"/>
  <c r="C68" i="1" s="1"/>
  <c r="C58" i="1"/>
  <c r="C77" i="1" l="1"/>
  <c r="C96" i="1" s="1"/>
  <c r="C206" i="1"/>
  <c r="C225" i="1" s="1"/>
  <c r="C61" i="1" l="1"/>
  <c r="C56" i="1" l="1"/>
  <c r="C66" i="1"/>
  <c r="C75" i="1" s="1"/>
  <c r="C94" i="1" l="1"/>
  <c r="C282" i="1" l="1"/>
  <c r="C351" i="1"/>
  <c r="C176" i="1"/>
  <c r="C188" i="1" s="1"/>
  <c r="C190" i="1" s="1"/>
  <c r="C185" i="1" s="1"/>
  <c r="C163" i="1"/>
  <c r="C356" i="1"/>
  <c r="C359" i="1" s="1"/>
  <c r="C17" i="1"/>
  <c r="C114" i="1" s="1"/>
  <c r="C115" i="1" s="1"/>
  <c r="C372" i="1" l="1"/>
  <c r="C373" i="1" s="1"/>
  <c r="C392" i="1" s="1"/>
  <c r="C393" i="1" s="1"/>
  <c r="C287" i="1"/>
  <c r="C291" i="1" s="1"/>
  <c r="C305" i="1"/>
  <c r="C244" i="1"/>
  <c r="C245" i="1" s="1"/>
  <c r="C131" i="1"/>
  <c r="C132" i="1" s="1"/>
  <c r="C133" i="1" s="1"/>
  <c r="C30" i="3" s="1"/>
  <c r="C140" i="1"/>
  <c r="C267" i="1" s="1"/>
  <c r="C139" i="1"/>
  <c r="C62" i="1"/>
  <c r="C67" i="1" s="1"/>
  <c r="C42" i="1"/>
  <c r="C387" i="1"/>
  <c r="C388" i="1" s="1"/>
  <c r="C362" i="1"/>
  <c r="C365" i="1" s="1"/>
  <c r="C366" i="1" s="1"/>
  <c r="C319" i="1"/>
  <c r="C320" i="1" s="1"/>
  <c r="C266" i="1"/>
  <c r="C272" i="1"/>
  <c r="C193" i="1"/>
  <c r="C294" i="1" l="1"/>
  <c r="C297" i="1" s="1"/>
  <c r="C298" i="1" s="1"/>
  <c r="C375" i="1"/>
  <c r="C376" i="1"/>
  <c r="C383" i="1"/>
  <c r="C384" i="1" s="1"/>
  <c r="C374" i="1"/>
  <c r="C315" i="1"/>
  <c r="C344" i="1" s="1"/>
  <c r="C306" i="1"/>
  <c r="C64" i="1"/>
  <c r="C307" i="1"/>
  <c r="C32" i="3"/>
  <c r="C46" i="3"/>
  <c r="C308" i="1"/>
  <c r="C324" i="1"/>
  <c r="C325" i="1" s="1"/>
  <c r="C301" i="1"/>
  <c r="C363" i="1"/>
  <c r="C364" i="1"/>
  <c r="C48" i="3"/>
  <c r="C198" i="1"/>
  <c r="C200" i="1" s="1"/>
  <c r="C195" i="1"/>
  <c r="C57" i="1"/>
  <c r="C59" i="1" s="1"/>
  <c r="C54" i="1" s="1"/>
  <c r="C76" i="1"/>
  <c r="C69" i="1"/>
  <c r="C63" i="3" l="1"/>
  <c r="C398" i="1"/>
  <c r="C399" i="1" s="1"/>
  <c r="C402" i="1" s="1"/>
  <c r="C66" i="3" s="1"/>
  <c r="C330" i="1"/>
  <c r="C331" i="1" s="1"/>
  <c r="C334" i="1" s="1"/>
  <c r="C55" i="3" s="1"/>
  <c r="C296" i="1"/>
  <c r="C295" i="1"/>
  <c r="C406" i="1"/>
  <c r="C407" i="1" s="1"/>
  <c r="C68" i="3" s="1"/>
  <c r="C413" i="1"/>
  <c r="C71" i="3" s="1"/>
  <c r="C385" i="1"/>
  <c r="C343" i="1"/>
  <c r="C60" i="3" s="1"/>
  <c r="C61" i="3"/>
  <c r="C317" i="1"/>
  <c r="C316" i="1"/>
  <c r="C338" i="1"/>
  <c r="C147" i="1"/>
  <c r="C34" i="3" s="1"/>
  <c r="C414" i="1"/>
  <c r="C52" i="3"/>
  <c r="C207" i="1"/>
  <c r="C78" i="1"/>
  <c r="C81" i="1" s="1"/>
  <c r="C84" i="1" s="1"/>
  <c r="C85" i="1" s="1"/>
  <c r="C95" i="1"/>
  <c r="C389" i="1" l="1"/>
  <c r="C396" i="1"/>
  <c r="C397" i="1" s="1"/>
  <c r="C321" i="1"/>
  <c r="C328" i="1"/>
  <c r="C329" i="1" s="1"/>
  <c r="C408" i="1"/>
  <c r="C69" i="3" s="1"/>
  <c r="C64" i="3"/>
  <c r="C53" i="3"/>
  <c r="C339" i="1"/>
  <c r="C57" i="3" s="1"/>
  <c r="C135" i="1"/>
  <c r="C136" i="1" s="1"/>
  <c r="C137" i="1" s="1"/>
  <c r="C97" i="1"/>
  <c r="C98" i="1" s="1"/>
  <c r="C99" i="1" s="1"/>
  <c r="C209" i="1"/>
  <c r="C212" i="1" s="1"/>
  <c r="C226" i="1"/>
  <c r="C82" i="1"/>
  <c r="C83" i="1"/>
  <c r="C403" i="1" l="1"/>
  <c r="C67" i="3" s="1"/>
  <c r="C65" i="3"/>
  <c r="C335" i="1"/>
  <c r="C56" i="3" s="1"/>
  <c r="C54" i="3"/>
  <c r="C410" i="1"/>
  <c r="C70" i="3" s="1"/>
  <c r="C105" i="1"/>
  <c r="C214" i="1"/>
  <c r="C215" i="1"/>
  <c r="C216" i="1" s="1"/>
  <c r="C213" i="1"/>
  <c r="C228" i="1"/>
  <c r="C229" i="1" s="1"/>
  <c r="C88" i="1"/>
  <c r="C148" i="1" s="1"/>
  <c r="C101" i="1"/>
  <c r="C100" i="1"/>
  <c r="C235" i="1" l="1"/>
  <c r="C237" i="1" s="1"/>
  <c r="C107" i="1"/>
  <c r="C262" i="1"/>
  <c r="C263" i="1" s="1"/>
  <c r="C264" i="1" s="1"/>
  <c r="C38" i="3"/>
  <c r="C231" i="1"/>
  <c r="C230" i="1"/>
  <c r="C219" i="1"/>
  <c r="C273" i="1" s="1"/>
  <c r="C35" i="3"/>
  <c r="C22" i="3"/>
  <c r="C110" i="1" l="1"/>
  <c r="C129" i="1" s="1"/>
  <c r="C119" i="1"/>
  <c r="C120" i="1" s="1"/>
  <c r="C45" i="3"/>
  <c r="C240" i="1"/>
  <c r="C259" i="1" s="1"/>
  <c r="C249" i="1"/>
  <c r="C250" i="1" s="1"/>
  <c r="C49" i="3"/>
  <c r="C31" i="3"/>
  <c r="C111" i="1" l="1"/>
  <c r="C242" i="1"/>
  <c r="C253" i="1" s="1"/>
  <c r="C254" i="1" s="1"/>
  <c r="C41" i="3" s="1"/>
  <c r="C274" i="1"/>
  <c r="C112" i="1"/>
  <c r="C130" i="1"/>
  <c r="C141" i="1" s="1"/>
  <c r="C149" i="1"/>
  <c r="C260" i="1"/>
  <c r="C241" i="1"/>
  <c r="C116" i="1" l="1"/>
  <c r="C23" i="3"/>
  <c r="C246" i="1"/>
  <c r="C256" i="1"/>
  <c r="C43" i="3" s="1"/>
  <c r="C123" i="1"/>
  <c r="C124" i="1" s="1"/>
  <c r="C39" i="3"/>
  <c r="C275" i="1"/>
  <c r="C50" i="3"/>
  <c r="C29" i="3"/>
  <c r="C126" i="1" l="1"/>
  <c r="C28" i="3" s="1"/>
  <c r="C26" i="3"/>
  <c r="C150" i="1"/>
  <c r="C36" i="3"/>
  <c r="C268" i="1"/>
  <c r="C47" i="3" s="1"/>
  <c r="C44" i="3"/>
  <c r="C33" i="3"/>
  <c r="C345" i="1" l="1"/>
  <c r="C340" i="1" l="1"/>
  <c r="C341" i="1" s="1"/>
  <c r="C59" i="3" s="1"/>
  <c r="C58" i="3" l="1"/>
  <c r="C143" i="1"/>
</calcChain>
</file>

<file path=xl/sharedStrings.xml><?xml version="1.0" encoding="utf-8"?>
<sst xmlns="http://schemas.openxmlformats.org/spreadsheetml/2006/main" count="981" uniqueCount="314">
  <si>
    <t>mg/L</t>
  </si>
  <si>
    <t>kg/d</t>
  </si>
  <si>
    <t>kWh/year</t>
  </si>
  <si>
    <t>Calorific value of biogas</t>
  </si>
  <si>
    <t>SLUDE PRODUCTION</t>
  </si>
  <si>
    <t>%DS</t>
  </si>
  <si>
    <t>m³/d</t>
  </si>
  <si>
    <t>kgDS/d</t>
  </si>
  <si>
    <t>m³</t>
  </si>
  <si>
    <t>ENERGY FROM BIOGAS</t>
  </si>
  <si>
    <t>kWh/d</t>
  </si>
  <si>
    <t>Electric energy generation efficiency</t>
  </si>
  <si>
    <t>Thermal energy generation</t>
  </si>
  <si>
    <r>
      <t>PE</t>
    </r>
    <r>
      <rPr>
        <vertAlign val="subscript"/>
        <sz val="8"/>
        <rFont val="Calibri"/>
        <family val="2"/>
        <scheme val="minor"/>
      </rPr>
      <t>60</t>
    </r>
  </si>
  <si>
    <t>Electricity tariff</t>
  </si>
  <si>
    <t>Reduction of aeration cost in aeration tank</t>
  </si>
  <si>
    <t>Reduction of sludge disposal cost</t>
  </si>
  <si>
    <t>m³/year</t>
  </si>
  <si>
    <t>Biogas holder</t>
  </si>
  <si>
    <t>Unit</t>
  </si>
  <si>
    <t>kW</t>
  </si>
  <si>
    <t>Total OPEX saving</t>
  </si>
  <si>
    <t>Additional maintenance cost</t>
  </si>
  <si>
    <r>
      <t>gDS/gBOD</t>
    </r>
    <r>
      <rPr>
        <vertAlign val="subscript"/>
        <sz val="8"/>
        <rFont val="Calibri"/>
        <family val="2"/>
        <scheme val="minor"/>
      </rPr>
      <t>5</t>
    </r>
  </si>
  <si>
    <r>
      <t>kWh/m</t>
    </r>
    <r>
      <rPr>
        <vertAlign val="superscript"/>
        <sz val="8"/>
        <rFont val="Calibri"/>
        <family val="2"/>
        <scheme val="minor"/>
      </rPr>
      <t>3</t>
    </r>
  </si>
  <si>
    <r>
      <t>kWh/PE</t>
    </r>
    <r>
      <rPr>
        <vertAlign val="subscript"/>
        <sz val="8"/>
        <rFont val="Calibri"/>
        <family val="2"/>
        <scheme val="minor"/>
      </rPr>
      <t>60</t>
    </r>
    <r>
      <rPr>
        <sz val="8"/>
        <rFont val="Calibri"/>
        <family val="2"/>
        <scheme val="minor"/>
      </rPr>
      <t>/year</t>
    </r>
  </si>
  <si>
    <t>Project:</t>
  </si>
  <si>
    <t>Date:</t>
  </si>
  <si>
    <t>Comment</t>
  </si>
  <si>
    <r>
      <t>gBOD</t>
    </r>
    <r>
      <rPr>
        <vertAlign val="subscript"/>
        <sz val="8"/>
        <rFont val="Calibri"/>
        <family val="2"/>
        <scheme val="minor"/>
      </rPr>
      <t>5</t>
    </r>
    <r>
      <rPr>
        <sz val="8"/>
        <rFont val="Calibri"/>
        <family val="2"/>
        <scheme val="minor"/>
      </rPr>
      <t>/cap/d</t>
    </r>
  </si>
  <si>
    <r>
      <t>Local capita-specific BOD</t>
    </r>
    <r>
      <rPr>
        <vertAlign val="subscript"/>
        <sz val="8"/>
        <color theme="1"/>
        <rFont val="Calibri"/>
        <family val="2"/>
        <scheme val="minor"/>
      </rPr>
      <t>5</t>
    </r>
    <r>
      <rPr>
        <sz val="8"/>
        <color theme="1"/>
        <rFont val="Calibri"/>
        <family val="2"/>
        <scheme val="minor"/>
      </rPr>
      <t xml:space="preserve"> production</t>
    </r>
  </si>
  <si>
    <t>cap</t>
  </si>
  <si>
    <t>---</t>
  </si>
  <si>
    <t>CAS + SLUDGE DIGESTER</t>
  </si>
  <si>
    <t>WASTEWATER TREATMENT</t>
  </si>
  <si>
    <t>Average retention time in PST</t>
  </si>
  <si>
    <t>h</t>
  </si>
  <si>
    <t>Average hydraulic load</t>
  </si>
  <si>
    <r>
      <t>Average inflow BOD</t>
    </r>
    <r>
      <rPr>
        <vertAlign val="subscript"/>
        <sz val="8"/>
        <color theme="1"/>
        <rFont val="Calibri"/>
        <family val="2"/>
        <scheme val="minor"/>
      </rPr>
      <t>5</t>
    </r>
    <r>
      <rPr>
        <sz val="8"/>
        <color theme="1"/>
        <rFont val="Calibri"/>
        <family val="2"/>
        <scheme val="minor"/>
      </rPr>
      <t xml:space="preserve"> concentration</t>
    </r>
  </si>
  <si>
    <t>Average inflow TSS concentration</t>
  </si>
  <si>
    <t>Average inflow VSS concentration</t>
  </si>
  <si>
    <r>
      <t>Average pollution load (BOD</t>
    </r>
    <r>
      <rPr>
        <vertAlign val="subscript"/>
        <sz val="8"/>
        <color theme="1"/>
        <rFont val="Calibri"/>
        <family val="2"/>
        <scheme val="minor"/>
      </rPr>
      <t>5</t>
    </r>
    <r>
      <rPr>
        <sz val="8"/>
        <color theme="1"/>
        <rFont val="Calibri"/>
        <family val="2"/>
        <scheme val="minor"/>
      </rPr>
      <t>)</t>
    </r>
  </si>
  <si>
    <t>Average pollution load in population equivalents(60)</t>
  </si>
  <si>
    <t>Average pollution load in population equivalents (local)</t>
  </si>
  <si>
    <t>DS of primary sludge after thickening</t>
  </si>
  <si>
    <t>TSS removal efficiency of PST</t>
  </si>
  <si>
    <t>%</t>
  </si>
  <si>
    <t>Daily PS production (DS)</t>
  </si>
  <si>
    <t>Daily raw WAS production (DS)</t>
  </si>
  <si>
    <t>DS of WAS after thickening</t>
  </si>
  <si>
    <t>DIGESTER</t>
  </si>
  <si>
    <t>Digester retention time</t>
  </si>
  <si>
    <t>CO-DIGESTION OF ORGANIC WASTE</t>
  </si>
  <si>
    <t>Total average feeding</t>
  </si>
  <si>
    <t>SLUDGE DISINTEGRATION with ULTRASOUND</t>
  </si>
  <si>
    <t>Type of organic feedstock</t>
  </si>
  <si>
    <t>Average daily quantity</t>
  </si>
  <si>
    <t>DS of organic feedstock</t>
  </si>
  <si>
    <t>% of weight</t>
  </si>
  <si>
    <t>VS/DS of primary sludge after thickening</t>
  </si>
  <si>
    <t>%VS</t>
  </si>
  <si>
    <r>
      <rPr>
        <b/>
        <sz val="8"/>
        <color theme="1"/>
        <rFont val="Calibri"/>
        <family val="2"/>
      </rPr>
      <t xml:space="preserve">▪ </t>
    </r>
    <r>
      <rPr>
        <b/>
        <sz val="8"/>
        <color theme="1"/>
        <rFont val="Calibri"/>
        <family val="2"/>
        <scheme val="minor"/>
      </rPr>
      <t>m</t>
    </r>
    <r>
      <rPr>
        <b/>
        <vertAlign val="superscript"/>
        <sz val="8"/>
        <color theme="1"/>
        <rFont val="Calibri"/>
        <family val="2"/>
        <scheme val="minor"/>
      </rPr>
      <t>3</t>
    </r>
    <r>
      <rPr>
        <b/>
        <sz val="8"/>
        <color theme="1"/>
        <rFont val="Calibri"/>
        <family val="2"/>
        <scheme val="minor"/>
      </rPr>
      <t>/d feeding</t>
    </r>
  </si>
  <si>
    <t>Average feeding of PS</t>
  </si>
  <si>
    <t>Average feeding of WAS</t>
  </si>
  <si>
    <t>Average feeding of organic feedstock</t>
  </si>
  <si>
    <r>
      <rPr>
        <b/>
        <sz val="8"/>
        <color theme="1"/>
        <rFont val="Calibri"/>
        <family val="2"/>
      </rPr>
      <t>▪ DS</t>
    </r>
    <r>
      <rPr>
        <b/>
        <sz val="8"/>
        <color theme="1"/>
        <rFont val="Calibri"/>
        <family val="2"/>
        <scheme val="minor"/>
      </rPr>
      <t xml:space="preserve"> feeding</t>
    </r>
  </si>
  <si>
    <r>
      <rPr>
        <b/>
        <sz val="8"/>
        <color theme="1"/>
        <rFont val="Calibri"/>
        <family val="2"/>
      </rPr>
      <t>▪ VS</t>
    </r>
    <r>
      <rPr>
        <b/>
        <sz val="8"/>
        <color theme="1"/>
        <rFont val="Calibri"/>
        <family val="2"/>
        <scheme val="minor"/>
      </rPr>
      <t xml:space="preserve"> feeding</t>
    </r>
  </si>
  <si>
    <t>kgVS/d</t>
  </si>
  <si>
    <t>Average VS destruction of PS</t>
  </si>
  <si>
    <t>Average VS destruction of WAS</t>
  </si>
  <si>
    <t>Average VS destruction of organic feedstock</t>
  </si>
  <si>
    <t>Total average VS destruction</t>
  </si>
  <si>
    <r>
      <rPr>
        <b/>
        <sz val="8"/>
        <color theme="1"/>
        <rFont val="Calibri"/>
        <family val="2"/>
      </rPr>
      <t>▪ VS</t>
    </r>
    <r>
      <rPr>
        <b/>
        <sz val="8"/>
        <color theme="1"/>
        <rFont val="Calibri"/>
        <family val="2"/>
        <scheme val="minor"/>
      </rPr>
      <t xml:space="preserve"> destruction (%)</t>
    </r>
  </si>
  <si>
    <t>% of VS</t>
  </si>
  <si>
    <r>
      <t>kgVS</t>
    </r>
    <r>
      <rPr>
        <vertAlign val="subscript"/>
        <sz val="8"/>
        <rFont val="Calibri"/>
        <family val="2"/>
        <scheme val="minor"/>
      </rPr>
      <t>destroyed</t>
    </r>
    <r>
      <rPr>
        <sz val="8"/>
        <rFont val="Calibri"/>
        <family val="2"/>
        <scheme val="minor"/>
      </rPr>
      <t>/d</t>
    </r>
  </si>
  <si>
    <t>BIO GAS PRODUCTION</t>
  </si>
  <si>
    <t>VS/DS of WAS after thickening</t>
  </si>
  <si>
    <t>VS/DS of organic feedstock</t>
  </si>
  <si>
    <t>▪ Biogas yield</t>
  </si>
  <si>
    <r>
      <t>L/kgVS</t>
    </r>
    <r>
      <rPr>
        <vertAlign val="subscript"/>
        <sz val="8"/>
        <rFont val="Calibri"/>
        <family val="2"/>
        <scheme val="minor"/>
      </rPr>
      <t>destroyed</t>
    </r>
  </si>
  <si>
    <t>Biogas yield from PS</t>
  </si>
  <si>
    <t>Biogas yield from WAS</t>
  </si>
  <si>
    <t>Biogas yield from organic feedstock</t>
  </si>
  <si>
    <t>▪ Biogas production</t>
  </si>
  <si>
    <t>Biogas production from PS</t>
  </si>
  <si>
    <t>Biogas production from WAS</t>
  </si>
  <si>
    <t>Biogas production from organic feedstock</t>
  </si>
  <si>
    <t>Biogas production from ultrasound treatment</t>
  </si>
  <si>
    <t>Total biogas production</t>
  </si>
  <si>
    <r>
      <rPr>
        <b/>
        <sz val="8"/>
        <color theme="1"/>
        <rFont val="Calibri"/>
        <family val="2"/>
      </rPr>
      <t>▪ VS</t>
    </r>
    <r>
      <rPr>
        <b/>
        <sz val="8"/>
        <color theme="1"/>
        <rFont val="Calibri"/>
        <family val="2"/>
        <scheme val="minor"/>
      </rPr>
      <t xml:space="preserve"> destruction (kgVS)</t>
    </r>
  </si>
  <si>
    <t>▪ Primary Sedimentation Tank (PST)</t>
  </si>
  <si>
    <t>Volume PST</t>
  </si>
  <si>
    <t>▪ Aeration Tank (AT)</t>
  </si>
  <si>
    <r>
      <t>BOD</t>
    </r>
    <r>
      <rPr>
        <vertAlign val="subscript"/>
        <sz val="8"/>
        <color theme="1"/>
        <rFont val="Calibri"/>
        <family val="2"/>
        <scheme val="minor"/>
      </rPr>
      <t>5</t>
    </r>
    <r>
      <rPr>
        <sz val="8"/>
        <color theme="1"/>
        <rFont val="Calibri"/>
        <family val="2"/>
        <scheme val="minor"/>
      </rPr>
      <t xml:space="preserve"> removal efficiency of PST</t>
    </r>
  </si>
  <si>
    <r>
      <t>Average influent BOD</t>
    </r>
    <r>
      <rPr>
        <vertAlign val="subscript"/>
        <sz val="8"/>
        <color theme="1"/>
        <rFont val="Calibri"/>
        <family val="2"/>
        <scheme val="minor"/>
      </rPr>
      <t>5</t>
    </r>
    <r>
      <rPr>
        <sz val="8"/>
        <color theme="1"/>
        <rFont val="Calibri"/>
        <family val="2"/>
        <scheme val="minor"/>
      </rPr>
      <t xml:space="preserve"> load</t>
    </r>
  </si>
  <si>
    <t>Average influent TSS load</t>
  </si>
  <si>
    <t>Required digester volume</t>
  </si>
  <si>
    <t>SLUDGE FOR DISPOSAL / REUSE</t>
  </si>
  <si>
    <t>DS after sludge dewatering</t>
  </si>
  <si>
    <t>Total average DS production</t>
  </si>
  <si>
    <t>Total specific DS production</t>
  </si>
  <si>
    <r>
      <t>gDS/PE</t>
    </r>
    <r>
      <rPr>
        <vertAlign val="subscript"/>
        <sz val="8"/>
        <rFont val="Calibri"/>
        <family val="2"/>
        <scheme val="minor"/>
      </rPr>
      <t>60</t>
    </r>
    <r>
      <rPr>
        <sz val="8"/>
        <rFont val="Calibri"/>
        <family val="2"/>
        <scheme val="minor"/>
      </rPr>
      <t>/d</t>
    </r>
  </si>
  <si>
    <t>gDS/cap/d</t>
  </si>
  <si>
    <t>Total specific biogas production</t>
  </si>
  <si>
    <r>
      <t>L/PE</t>
    </r>
    <r>
      <rPr>
        <vertAlign val="subscript"/>
        <sz val="8"/>
        <rFont val="Calibri"/>
        <family val="2"/>
        <scheme val="minor"/>
      </rPr>
      <t>60</t>
    </r>
    <r>
      <rPr>
        <sz val="8"/>
        <rFont val="Calibri"/>
        <family val="2"/>
        <scheme val="minor"/>
      </rPr>
      <t>/d</t>
    </r>
  </si>
  <si>
    <t>L/cap/d</t>
  </si>
  <si>
    <r>
      <t>% CH</t>
    </r>
    <r>
      <rPr>
        <vertAlign val="subscript"/>
        <sz val="8"/>
        <rFont val="Calibri"/>
        <family val="2"/>
        <scheme val="minor"/>
      </rPr>
      <t>4</t>
    </r>
  </si>
  <si>
    <t>Methane in biogas from PS+WAS</t>
  </si>
  <si>
    <t>Methane in biogas from organic feedstock</t>
  </si>
  <si>
    <t>Methane in total biogas production</t>
  </si>
  <si>
    <t>▪ Methane content of biogas</t>
  </si>
  <si>
    <t>(Name of WWTP)</t>
  </si>
  <si>
    <t>(Date)</t>
  </si>
  <si>
    <t>Expected increase of biogas yield from sludge</t>
  </si>
  <si>
    <t>Electricity generation from biogas</t>
  </si>
  <si>
    <t>% of consumption</t>
  </si>
  <si>
    <t>▪ Electricity</t>
  </si>
  <si>
    <t>▪ Thermal energy</t>
  </si>
  <si>
    <t>PST foreseen?</t>
  </si>
  <si>
    <t>US$/kWh</t>
  </si>
  <si>
    <t>Reduction of electricity cost</t>
  </si>
  <si>
    <t>US$/d</t>
  </si>
  <si>
    <t>US$/year</t>
  </si>
  <si>
    <t>Sludge disposal unit cost</t>
  </si>
  <si>
    <r>
      <t>US$/m</t>
    </r>
    <r>
      <rPr>
        <vertAlign val="superscript"/>
        <sz val="8"/>
        <rFont val="Calibri"/>
        <family val="2"/>
        <scheme val="minor"/>
      </rPr>
      <t>3</t>
    </r>
  </si>
  <si>
    <t>US$/personnel/year</t>
  </si>
  <si>
    <t>Primary Sedimentation Tank</t>
  </si>
  <si>
    <t>Reduction of Aeration Tank volume</t>
  </si>
  <si>
    <t>Digester volume</t>
  </si>
  <si>
    <t>Biogas holder volume</t>
  </si>
  <si>
    <t>% of daily gas production</t>
  </si>
  <si>
    <t>Required biogas holder volume</t>
  </si>
  <si>
    <t>CHP - total electric power</t>
  </si>
  <si>
    <t>kW / unit</t>
  </si>
  <si>
    <t>Biogas cleaning</t>
  </si>
  <si>
    <t>Check specific requirements!</t>
  </si>
  <si>
    <t>NO</t>
  </si>
  <si>
    <t>YES</t>
  </si>
  <si>
    <t>Biogas pipe system, flare, etc</t>
  </si>
  <si>
    <t>TRICKLING FILTER + SLUDGE DIGESTER</t>
  </si>
  <si>
    <t>▪ TRICKLING FILTER (TF)</t>
  </si>
  <si>
    <t>▪ Primary sludge</t>
  </si>
  <si>
    <t>▪ Secondary sludge</t>
  </si>
  <si>
    <t>Daily raw TFS production (DS)</t>
  </si>
  <si>
    <t>DS of TFS after thickening</t>
  </si>
  <si>
    <t>VS/DS of TFS after thickening</t>
  </si>
  <si>
    <t>Average feeding of TFS</t>
  </si>
  <si>
    <t>Average VS destruction of TFS</t>
  </si>
  <si>
    <t>Biogas yield from TFS</t>
  </si>
  <si>
    <t>Biogas production from TFS</t>
  </si>
  <si>
    <t>Electricity consumption of TF-WWTP</t>
  </si>
  <si>
    <t>Electricity consumption of CAS-WWTP</t>
  </si>
  <si>
    <t>UASB</t>
  </si>
  <si>
    <t>▪ UASB</t>
  </si>
  <si>
    <t>Daily raw UASB-S production (DS)</t>
  </si>
  <si>
    <t>DS of UASB-S after thickening</t>
  </si>
  <si>
    <t>DS of sludge when removed from UASB</t>
  </si>
  <si>
    <t xml:space="preserve">Gravity thickener: 3-6%. </t>
  </si>
  <si>
    <t>VS/DS of UASB-S after thickening</t>
  </si>
  <si>
    <r>
      <t>L/kgBOD</t>
    </r>
    <r>
      <rPr>
        <vertAlign val="subscript"/>
        <sz val="8"/>
        <rFont val="Calibri"/>
        <family val="2"/>
        <scheme val="minor"/>
      </rPr>
      <t>5,added</t>
    </r>
    <r>
      <rPr>
        <sz val="8"/>
        <rFont val="Calibri"/>
        <family val="2"/>
        <scheme val="minor"/>
      </rPr>
      <t>/d</t>
    </r>
  </si>
  <si>
    <t>Biogas yield from influent pollution load</t>
  </si>
  <si>
    <t>Biogas production</t>
  </si>
  <si>
    <t>Methane in biogas from UASB</t>
  </si>
  <si>
    <t>Electricity consumption of UASB-WWTP</t>
  </si>
  <si>
    <t>Additional O&amp;M cost for CHP</t>
  </si>
  <si>
    <t>COVERED ANAEROBIC POND</t>
  </si>
  <si>
    <t>▪ Covered Anaerobic Pond</t>
  </si>
  <si>
    <t>kgDS/cap/y</t>
  </si>
  <si>
    <t>Daily raw AP-S production (DS)</t>
  </si>
  <si>
    <t>DS of sludge when removed from AP</t>
  </si>
  <si>
    <t xml:space="preserve">VS/DS of AP-S </t>
  </si>
  <si>
    <t>Methane yield from influent pollution load</t>
  </si>
  <si>
    <r>
      <t>L CH</t>
    </r>
    <r>
      <rPr>
        <vertAlign val="subscript"/>
        <sz val="8"/>
        <rFont val="Calibri"/>
        <family val="2"/>
        <scheme val="minor"/>
      </rPr>
      <t>4</t>
    </r>
    <r>
      <rPr>
        <sz val="8"/>
        <rFont val="Calibri"/>
        <family val="2"/>
        <scheme val="minor"/>
      </rPr>
      <t>/kgBOD</t>
    </r>
    <r>
      <rPr>
        <vertAlign val="subscript"/>
        <sz val="8"/>
        <rFont val="Calibri"/>
        <family val="2"/>
        <scheme val="minor"/>
      </rPr>
      <t>5</t>
    </r>
  </si>
  <si>
    <r>
      <t>CH</t>
    </r>
    <r>
      <rPr>
        <vertAlign val="subscript"/>
        <sz val="8"/>
        <color theme="1"/>
        <rFont val="Calibri"/>
        <family val="2"/>
        <scheme val="minor"/>
      </rPr>
      <t>4</t>
    </r>
    <r>
      <rPr>
        <sz val="8"/>
        <color theme="1"/>
        <rFont val="Calibri"/>
        <family val="2"/>
        <scheme val="minor"/>
      </rPr>
      <t xml:space="preserve"> production</t>
    </r>
  </si>
  <si>
    <t>Electricity consumption of AP-WWTP</t>
  </si>
  <si>
    <t>Additional O&amp;M cost for covers</t>
  </si>
  <si>
    <t xml:space="preserve">Cover on AP </t>
  </si>
  <si>
    <t>Check specific design of APs!</t>
  </si>
  <si>
    <r>
      <t>m</t>
    </r>
    <r>
      <rPr>
        <vertAlign val="superscript"/>
        <sz val="8"/>
        <rFont val="Calibri"/>
        <family val="2"/>
        <scheme val="minor"/>
      </rPr>
      <t>2</t>
    </r>
  </si>
  <si>
    <t>GENERAL DATA</t>
  </si>
  <si>
    <t>CHP: Electric energy generation efficiency</t>
  </si>
  <si>
    <t>CHP: Thermal energy generation efficiency</t>
  </si>
  <si>
    <t>CHP: Electricity generation from biogas</t>
  </si>
  <si>
    <t>Methane in biogas from PS+TFS</t>
  </si>
  <si>
    <t>Sludge treatment shall include sludge ultrasound treatment prior to digester?</t>
  </si>
  <si>
    <t>▪ Electricity generation</t>
  </si>
  <si>
    <t>▪ Thermal energy generation</t>
  </si>
  <si>
    <t>CAS + DIGESTER</t>
  </si>
  <si>
    <t>Additional O&amp;M cost</t>
  </si>
  <si>
    <t>TRICKLING FILTER + DIGESTER</t>
  </si>
  <si>
    <t>Including ultrasound sludge disintegration</t>
  </si>
  <si>
    <t>Pre-treatment of organic waste</t>
  </si>
  <si>
    <t>Ultrasound sludge disintegration installations</t>
  </si>
  <si>
    <t>Digester</t>
  </si>
  <si>
    <t>days</t>
  </si>
  <si>
    <t>De-locking key:  W2E</t>
  </si>
  <si>
    <r>
      <t xml:space="preserve">De-locking key:  </t>
    </r>
    <r>
      <rPr>
        <b/>
        <sz val="11"/>
        <color theme="1"/>
        <rFont val="Calibri"/>
        <family val="2"/>
        <scheme val="minor"/>
      </rPr>
      <t>W2E</t>
    </r>
  </si>
  <si>
    <r>
      <t>(Note: 1 PE</t>
    </r>
    <r>
      <rPr>
        <vertAlign val="subscript"/>
        <sz val="8"/>
        <rFont val="Calibri"/>
        <family val="2"/>
        <scheme val="minor"/>
      </rPr>
      <t>60</t>
    </r>
    <r>
      <rPr>
        <sz val="8"/>
        <rFont val="Calibri"/>
        <family val="2"/>
        <scheme val="minor"/>
      </rPr>
      <t xml:space="preserve"> = 60 g BOD</t>
    </r>
    <r>
      <rPr>
        <vertAlign val="subscript"/>
        <sz val="8"/>
        <rFont val="Calibri"/>
        <family val="2"/>
        <scheme val="minor"/>
      </rPr>
      <t>5</t>
    </r>
    <r>
      <rPr>
        <sz val="8"/>
        <rFont val="Calibri"/>
        <family val="2"/>
        <scheme val="minor"/>
      </rPr>
      <t>/d)</t>
    </r>
  </si>
  <si>
    <r>
      <t>(Note: 1 cap = xx g BOD</t>
    </r>
    <r>
      <rPr>
        <vertAlign val="subscript"/>
        <sz val="8"/>
        <rFont val="Calibri"/>
        <family val="2"/>
        <scheme val="minor"/>
      </rPr>
      <t>5</t>
    </r>
    <r>
      <rPr>
        <sz val="8"/>
        <rFont val="Calibri"/>
        <family val="2"/>
        <scheme val="minor"/>
      </rPr>
      <t>/d, according to project specific input data)</t>
    </r>
  </si>
  <si>
    <r>
      <t>Daily PS production, thickened sludge (m</t>
    </r>
    <r>
      <rPr>
        <vertAlign val="superscript"/>
        <sz val="8"/>
        <color theme="1"/>
        <rFont val="Calibri"/>
        <family val="2"/>
        <scheme val="minor"/>
      </rPr>
      <t>3</t>
    </r>
    <r>
      <rPr>
        <sz val="8"/>
        <color theme="1"/>
        <rFont val="Calibri"/>
        <family val="2"/>
        <scheme val="minor"/>
      </rPr>
      <t>)</t>
    </r>
  </si>
  <si>
    <r>
      <t>Daily TFS production, thickened sludge (m</t>
    </r>
    <r>
      <rPr>
        <vertAlign val="superscript"/>
        <sz val="8"/>
        <color theme="1"/>
        <rFont val="Calibri"/>
        <family val="2"/>
        <scheme val="minor"/>
      </rPr>
      <t>3</t>
    </r>
    <r>
      <rPr>
        <sz val="8"/>
        <color theme="1"/>
        <rFont val="Calibri"/>
        <family val="2"/>
        <scheme val="minor"/>
      </rPr>
      <t>)</t>
    </r>
  </si>
  <si>
    <r>
      <t>Daily WAS production, thickened sludge (m</t>
    </r>
    <r>
      <rPr>
        <vertAlign val="superscript"/>
        <sz val="8"/>
        <color theme="1"/>
        <rFont val="Calibri"/>
        <family val="2"/>
        <scheme val="minor"/>
      </rPr>
      <t>3</t>
    </r>
    <r>
      <rPr>
        <sz val="8"/>
        <color theme="1"/>
        <rFont val="Calibri"/>
        <family val="2"/>
        <scheme val="minor"/>
      </rPr>
      <t>)</t>
    </r>
  </si>
  <si>
    <t>Total average dewatered sludge production</t>
  </si>
  <si>
    <r>
      <t>Daily UASB-S production, thickened (m</t>
    </r>
    <r>
      <rPr>
        <vertAlign val="superscript"/>
        <sz val="8"/>
        <color theme="1"/>
        <rFont val="Calibri"/>
        <family val="2"/>
        <scheme val="minor"/>
      </rPr>
      <t>3</t>
    </r>
    <r>
      <rPr>
        <sz val="8"/>
        <color theme="1"/>
        <rFont val="Calibri"/>
        <family val="2"/>
        <scheme val="minor"/>
      </rPr>
      <t>)</t>
    </r>
  </si>
  <si>
    <r>
      <t>Daily AP-S production, thickened (m</t>
    </r>
    <r>
      <rPr>
        <vertAlign val="superscript"/>
        <sz val="8"/>
        <color theme="1"/>
        <rFont val="Calibri"/>
        <family val="2"/>
        <scheme val="minor"/>
      </rPr>
      <t>3</t>
    </r>
    <r>
      <rPr>
        <sz val="8"/>
        <color theme="1"/>
        <rFont val="Calibri"/>
        <family val="2"/>
        <scheme val="minor"/>
      </rPr>
      <t>)</t>
    </r>
  </si>
  <si>
    <t>Value</t>
  </si>
  <si>
    <t>INPUT DATA</t>
  </si>
  <si>
    <r>
      <t>m</t>
    </r>
    <r>
      <rPr>
        <vertAlign val="superscript"/>
        <sz val="8"/>
        <rFont val="Calibri"/>
        <family val="2"/>
        <scheme val="minor"/>
      </rPr>
      <t>3</t>
    </r>
    <r>
      <rPr>
        <sz val="8"/>
        <rFont val="Calibri"/>
        <family val="2"/>
        <scheme val="minor"/>
      </rPr>
      <t>/d</t>
    </r>
  </si>
  <si>
    <t>WASTEWATER ENTERING WWTP</t>
  </si>
  <si>
    <t>GREENHOUSE GAS EMISSIONS</t>
  </si>
  <si>
    <r>
      <t>Provide estimate of the expected average BOD</t>
    </r>
    <r>
      <rPr>
        <vertAlign val="subscript"/>
        <sz val="8"/>
        <rFont val="Calibri"/>
        <family val="2"/>
        <scheme val="minor"/>
      </rPr>
      <t>5</t>
    </r>
    <r>
      <rPr>
        <sz val="8"/>
        <rFont val="Calibri"/>
        <family val="2"/>
        <scheme val="minor"/>
      </rPr>
      <t xml:space="preserve"> concentration entering the WWTP.</t>
    </r>
  </si>
  <si>
    <r>
      <t>g CO</t>
    </r>
    <r>
      <rPr>
        <vertAlign val="subscript"/>
        <sz val="8"/>
        <rFont val="Calibri"/>
        <family val="2"/>
        <scheme val="minor"/>
      </rPr>
      <t>2</t>
    </r>
    <r>
      <rPr>
        <sz val="8"/>
        <rFont val="Calibri"/>
        <family val="2"/>
        <scheme val="minor"/>
      </rPr>
      <t>/kWh</t>
    </r>
  </si>
  <si>
    <t>UNIT COST</t>
  </si>
  <si>
    <r>
      <t>Select appropriate value from drop-down menu, 
or utilize data from other sources (e.g. International Energy Agency IEA: "CO</t>
    </r>
    <r>
      <rPr>
        <vertAlign val="subscript"/>
        <sz val="8"/>
        <rFont val="Calibri"/>
        <family val="2"/>
        <scheme val="minor"/>
      </rPr>
      <t>2</t>
    </r>
    <r>
      <rPr>
        <sz val="8"/>
        <rFont val="Calibri"/>
        <family val="2"/>
        <scheme val="minor"/>
      </rPr>
      <t xml:space="preserve"> Emissions From Fuel Combustion")</t>
    </r>
  </si>
  <si>
    <t>Insert locally prevailing unit cost for sludge disposal / reuse</t>
  </si>
  <si>
    <t xml:space="preserve">Select appropriate value from drop-down menu, 
or utilize data from other sources </t>
  </si>
  <si>
    <t>Average VSS/TSS concentration</t>
  </si>
  <si>
    <r>
      <t>Average TSS/ BOD</t>
    </r>
    <r>
      <rPr>
        <vertAlign val="subscript"/>
        <sz val="8"/>
        <color theme="1"/>
        <rFont val="Calibri"/>
        <family val="2"/>
        <scheme val="minor"/>
      </rPr>
      <t>5</t>
    </r>
    <r>
      <rPr>
        <sz val="8"/>
        <color theme="1"/>
        <rFont val="Calibri"/>
        <family val="2"/>
        <scheme val="minor"/>
      </rPr>
      <t xml:space="preserve"> concentration</t>
    </r>
  </si>
  <si>
    <t>Describe type of organic feedstock</t>
  </si>
  <si>
    <t>Sludge treatment shall include co-digestion?</t>
  </si>
  <si>
    <t>Gravity thickener: 2-4%. 
Mechanical thickener: 5-7%.</t>
  </si>
  <si>
    <t>Gravity thickener: 2-6%. 
Mechanical thickener: 5-7%.</t>
  </si>
  <si>
    <t>(i) sludge age ≈ 5-10 days: avg. 70% (65-75%), 
(ii) sludge age ≈ 10-15 days: avg. 68% (62-75%), 
(iii) sludge age &gt; 20 days: avg. 65% (60-70%)</t>
  </si>
  <si>
    <t xml:space="preserve">Typical: 0.75 (0.5-1.2), dependent on influent TSS, sludge age, temperature. </t>
  </si>
  <si>
    <t>Typical: 1.00 (0.8-1.2)</t>
  </si>
  <si>
    <r>
      <t>Typical: same value as for BOD</t>
    </r>
    <r>
      <rPr>
        <vertAlign val="subscript"/>
        <sz val="8"/>
        <rFont val="Calibri"/>
        <family val="2"/>
        <scheme val="minor"/>
      </rPr>
      <t>5</t>
    </r>
    <r>
      <rPr>
        <sz val="8"/>
        <rFont val="Calibri"/>
        <family val="2"/>
        <scheme val="minor"/>
      </rPr>
      <t xml:space="preserve"> concentration</t>
    </r>
  </si>
  <si>
    <t>Typical: VSS/TSS = 0.75 (0.6-0.85); 
in case of dominant number of septic tanks in the catchment it may go down to 0.2-0.3</t>
  </si>
  <si>
    <t>Typical: 0.75 (0.50-1.5) at average hydraulic load</t>
  </si>
  <si>
    <t>Typical: 30 (20-35)</t>
  </si>
  <si>
    <t>Typical: 50 (50-65)</t>
  </si>
  <si>
    <t>Typical: VSS/TSS = 0.75 (0.6-0.85); in case of many septic tanks it may go down to 0.2-0.3</t>
  </si>
  <si>
    <t>Typical: +20% (10-30%)</t>
  </si>
  <si>
    <t xml:space="preserve">(i) mesophilic digester (30-38°C): &gt;15 d (large WWTPs), &gt;20 d (medium, small WWTPs). 
(ii) ambient temperature: see figure </t>
  </si>
  <si>
    <t>Typical: 55-60%</t>
  </si>
  <si>
    <t>Typical: 30-40%</t>
  </si>
  <si>
    <t>Typical: 23 (18-35)</t>
  </si>
  <si>
    <t>Typical: 20 (10-30)% for large-small WWTPs</t>
  </si>
  <si>
    <t>Typical: 950 (900-1000)</t>
  </si>
  <si>
    <t>Typical: 750 (700-800)</t>
  </si>
  <si>
    <t xml:space="preserve">Typical: 65 (60-70%) </t>
  </si>
  <si>
    <t>Typical: co-generation: 30-40%, microturbine: 28-33%,
or see figure</t>
  </si>
  <si>
    <t>Typical: 20-50
or see table</t>
  </si>
  <si>
    <t>Typical: 50 (50-55)%</t>
  </si>
  <si>
    <t>(The value, which is calculated here is based upon a comparison with Extended Aeration without PST. The following assumptions are made: (i) aeration requires 60% of total WWTP electricity consumption, (ii) introduction of PST reduces aeration requirement according to its BOD removal efficiency.)</t>
  </si>
  <si>
    <r>
      <t xml:space="preserve">(The value, which is calculated here is based upon the following assumptions: (i) Additional maintenance cost equals 1%/year of European CAPEX requirement for a mesophilic sludge digestion system, (ii) European CAPEX requirement for digestion system equals 81098 x PE60 </t>
    </r>
    <r>
      <rPr>
        <vertAlign val="superscript"/>
        <sz val="8"/>
        <rFont val="Calibri"/>
        <family val="2"/>
        <scheme val="minor"/>
      </rPr>
      <t>(-0.684)</t>
    </r>
    <r>
      <rPr>
        <sz val="8"/>
        <rFont val="Calibri"/>
        <family val="2"/>
        <scheme val="minor"/>
      </rPr>
      <t>, (iii) EUR/US$ = 1.3)</t>
    </r>
  </si>
  <si>
    <t xml:space="preserve">Typical: 0.65 (0.5-1.0), dependent on influent TSS, filter loading, temperature. </t>
  </si>
  <si>
    <t>Typical: 70% (65-75%)</t>
  </si>
  <si>
    <t>(Same assumption as above for CAS + Digestion)</t>
  </si>
  <si>
    <t>Including co-digestion</t>
  </si>
  <si>
    <t xml:space="preserve">Typical: 15 (8-38), dependant on power consumption requirements for treatment stages other than Trickling Filter </t>
  </si>
  <si>
    <t>(Saving equals electricity production from biogas)</t>
  </si>
  <si>
    <t xml:space="preserve">Assumption: avg. operation time = 20 h/d </t>
  </si>
  <si>
    <t>Based on 2 units</t>
  </si>
  <si>
    <t>Typical: 0.3 (0.2-0.4)</t>
  </si>
  <si>
    <t>Typical: 3.5 (3-5)%</t>
  </si>
  <si>
    <t>Typical: 56% (50-60%)</t>
  </si>
  <si>
    <t>Typical: 24 (20-35)</t>
  </si>
  <si>
    <t>Typical: 217 (115-280)</t>
  </si>
  <si>
    <t>Typical: 13 (7-16)</t>
  </si>
  <si>
    <t>Typical: 65 (60-80)%</t>
  </si>
  <si>
    <t>Typical: co-generation: 30-40%, microturbine: 28-33%,
or see figure above for CAS + Digestion</t>
  </si>
  <si>
    <t>Typical: 8 (2-13)</t>
  </si>
  <si>
    <r>
      <t>(The value, which is calculated here is based upon additional maintenance cost for CHP per kWh produced = 12.321 x kWelectr</t>
    </r>
    <r>
      <rPr>
        <vertAlign val="superscript"/>
        <sz val="8"/>
        <rFont val="Calibri"/>
        <family val="2"/>
        <scheme val="minor"/>
      </rPr>
      <t>(-0.422)</t>
    </r>
    <r>
      <rPr>
        <sz val="8"/>
        <rFont val="Calibri"/>
        <family val="2"/>
        <scheme val="minor"/>
      </rPr>
      <t>). Dependant on size of CHP this implicates OPEX of 0.5-4.0 Cent/kWh</t>
    </r>
    <r>
      <rPr>
        <vertAlign val="subscript"/>
        <sz val="8"/>
        <rFont val="Calibri"/>
        <family val="2"/>
        <scheme val="minor"/>
      </rPr>
      <t>electr</t>
    </r>
  </si>
  <si>
    <t>Typical: 6 (4-10)</t>
  </si>
  <si>
    <t>Typical: 6 (5-10)%</t>
  </si>
  <si>
    <t>Typical: 55 (50-60)%</t>
  </si>
  <si>
    <t>Typical: 25 (20-35)</t>
  </si>
  <si>
    <t>Typical: 180 (160-230)</t>
  </si>
  <si>
    <t>Typical: 70 (60-80)%</t>
  </si>
  <si>
    <t>Typical: 14-20</t>
  </si>
  <si>
    <t>Typical: 250 (230-330)</t>
  </si>
  <si>
    <t>Typical: 1-3, mainly dependant on pumping requirements (see figure)</t>
  </si>
  <si>
    <r>
      <t>(The value, which is calculated here is based upon the following assumptions: (i) cover area is derived from retention time in AP = 2d, water depth = 5m, (ii) unit cover cost = 15 US$/m</t>
    </r>
    <r>
      <rPr>
        <vertAlign val="superscript"/>
        <sz val="8"/>
        <rFont val="Calibri"/>
        <family val="2"/>
        <scheme val="minor"/>
      </rPr>
      <t>2</t>
    </r>
    <r>
      <rPr>
        <sz val="8"/>
        <rFont val="Calibri"/>
        <family val="2"/>
        <scheme val="minor"/>
      </rPr>
      <t>, (iii) O&amp;M cost = 2% of CAPEX)</t>
    </r>
  </si>
  <si>
    <t>Result</t>
  </si>
  <si>
    <t>Electricity coverage of WWTP from biogas</t>
  </si>
  <si>
    <t>OPEX SAVINGS</t>
  </si>
  <si>
    <t>INSTALLATION REQUIREMENTS</t>
  </si>
  <si>
    <t>Production of electricity from renewable biogas</t>
  </si>
  <si>
    <t>GHG emission reduction through electricity from biogas</t>
  </si>
  <si>
    <t>GREENHOUASE GAS (GHG) EMISSIONS REDUCTION</t>
  </si>
  <si>
    <t>Local GHG emissions for electricity generation</t>
  </si>
  <si>
    <t>Total GHG emission reduction</t>
  </si>
  <si>
    <r>
      <t>tons CO</t>
    </r>
    <r>
      <rPr>
        <vertAlign val="subscript"/>
        <sz val="8"/>
        <rFont val="Calibri"/>
        <family val="2"/>
        <scheme val="minor"/>
      </rPr>
      <t>2e</t>
    </r>
    <r>
      <rPr>
        <sz val="8"/>
        <rFont val="Calibri"/>
        <family val="2"/>
        <scheme val="minor"/>
      </rPr>
      <t>/year</t>
    </r>
  </si>
  <si>
    <r>
      <t>tons CO</t>
    </r>
    <r>
      <rPr>
        <b/>
        <vertAlign val="subscript"/>
        <sz val="8"/>
        <color rgb="FF0070C0"/>
        <rFont val="Calibri"/>
        <family val="2"/>
        <scheme val="minor"/>
      </rPr>
      <t>2e</t>
    </r>
    <r>
      <rPr>
        <b/>
        <sz val="8"/>
        <color rgb="FF0070C0"/>
        <rFont val="Calibri"/>
        <family val="2"/>
        <scheme val="minor"/>
      </rPr>
      <t>/year</t>
    </r>
  </si>
  <si>
    <r>
      <t>This is the (saved) fossil CO</t>
    </r>
    <r>
      <rPr>
        <vertAlign val="subscript"/>
        <sz val="8"/>
        <rFont val="Calibri"/>
        <family val="2"/>
        <scheme val="minor"/>
      </rPr>
      <t>2e</t>
    </r>
    <r>
      <rPr>
        <sz val="8"/>
        <rFont val="Calibri"/>
        <family val="2"/>
        <scheme val="minor"/>
      </rPr>
      <t xml:space="preserve"> emission that is avoided through renewable biogas utilization for power generation.</t>
    </r>
  </si>
  <si>
    <t>Biogas emission prior to this WWTP project</t>
  </si>
  <si>
    <t>Methane emission prior to this WWTP project</t>
  </si>
  <si>
    <t>GHG factor of methane</t>
  </si>
  <si>
    <r>
      <t>This factor indicates how much stronger a GHG is methane than CO</t>
    </r>
    <r>
      <rPr>
        <vertAlign val="subscript"/>
        <sz val="8"/>
        <rFont val="Calibri"/>
        <family val="2"/>
        <scheme val="minor"/>
      </rPr>
      <t>2</t>
    </r>
  </si>
  <si>
    <t>Specific weight of methane</t>
  </si>
  <si>
    <r>
      <t>kg/m</t>
    </r>
    <r>
      <rPr>
        <vertAlign val="superscript"/>
        <sz val="8"/>
        <rFont val="Calibri"/>
        <family val="2"/>
        <scheme val="minor"/>
      </rPr>
      <t>3</t>
    </r>
    <r>
      <rPr>
        <sz val="8"/>
        <rFont val="Calibri"/>
        <family val="2"/>
        <scheme val="minor"/>
      </rPr>
      <t xml:space="preserve"> methane</t>
    </r>
  </si>
  <si>
    <t>The biogas in question can only be considered if it was emitted already before this project; if the biogas is generated and utilized by the project, it cannot be considered an emission reduction.</t>
  </si>
  <si>
    <t>Methane in biogas from AP</t>
  </si>
  <si>
    <t>Provide estimate of the expected average daily wastewater flow reaching the WWTP. A rough estimate can be made by utilizing about 80% of the water supply to the same catchment, and by adding an assumption for stormwater flow and ground-water intrusion. For separate sewer systems this may add up to another 30% flow, for combined sewer systems this may add up to another 100-200%.</t>
  </si>
  <si>
    <t>Select "YES" or "NO" from drop-down menu</t>
  </si>
  <si>
    <t>Average daily quantity of feedstock</t>
  </si>
  <si>
    <t>Select "YES" or "NO" from drop-down menu
"YES" (recommended when influent TSS &gt; 80 mg/L), 
"NO" (recommended when influent TSS &lt; 80 mg/L)</t>
  </si>
  <si>
    <t>Typical: VSS/TSS = 0.75 (0.6-0.85); 
in case of many septic tanks it may go down to 0.2-0.3</t>
  </si>
  <si>
    <t>SUMMARY OUTPUT RESULTS</t>
  </si>
  <si>
    <t>Do you have a UASB that is not collecting biogas?</t>
  </si>
  <si>
    <t>Do you have an Anaerobic Pond that is not collecting biogas?</t>
  </si>
  <si>
    <t>Average labor cost</t>
  </si>
  <si>
    <t>Insert locally prevailing average unit cost for operators at WWTP</t>
  </si>
  <si>
    <t>Additional labor hour cost</t>
  </si>
  <si>
    <r>
      <t>(The value, which is calculated here is based upon the following assumptions: (i) a modern Western WWTP requires additional 0.5 USD/PE</t>
    </r>
    <r>
      <rPr>
        <vertAlign val="subscript"/>
        <sz val="8"/>
        <rFont val="Calibri"/>
        <family val="2"/>
        <scheme val="minor"/>
      </rPr>
      <t>60</t>
    </r>
    <r>
      <rPr>
        <sz val="8"/>
        <rFont val="Calibri"/>
        <family val="2"/>
        <scheme val="minor"/>
      </rPr>
      <t xml:space="preserve">/y for running the digestion system, (ii) the WWTP of this project will require 50% more personnel than the Western plant due to not-so-perfect efficiencies, (iii) TOTAL operator cost at a Western WWTP is assumed as 40,000 US$/year) </t>
    </r>
  </si>
  <si>
    <t xml:space="preserve">BioWATT  (Biogas Wastewater Assessment Technology Tool) </t>
  </si>
  <si>
    <t>Elimination of existing GHG emissions from digester</t>
  </si>
  <si>
    <t>Elimination of existing GHG emissions from UASB</t>
  </si>
  <si>
    <t>Elimination of existing GHG emissions from Ana.Ponds</t>
  </si>
  <si>
    <t>Elimination of existing GHG emissions from Anaerobic Ponds</t>
  </si>
  <si>
    <t>Insert locally prevailing unit cost for power purchase from public grid</t>
  </si>
  <si>
    <r>
      <rPr>
        <b/>
        <sz val="11"/>
        <color theme="1"/>
        <rFont val="Calibri"/>
        <family val="2"/>
        <scheme val="minor"/>
      </rPr>
      <t>Below are basic instructions for using the Biogas Wastewater Assessment Technology Tool (BioWATT). More detailed information about BioWATT and the wastewater-to-energy technologies evaluated by the tool is contained in the BioWATT User Guide (embedded as a pdf at the top of each worksheet).</t>
    </r>
    <r>
      <rPr>
        <sz val="11"/>
        <color theme="1"/>
        <rFont val="Calibri"/>
        <family val="2"/>
        <scheme val="minor"/>
      </rPr>
      <t xml:space="preserve">
</t>
    </r>
    <r>
      <rPr>
        <i/>
        <sz val="11"/>
        <color theme="1"/>
        <rFont val="Calibri"/>
        <family val="2"/>
        <scheme val="minor"/>
      </rPr>
      <t>Most users should enter data and view results in the “Basic Module” worksheet. This worksheet uses standard defaults to produce results. Users with more advanced knowledge of wastewater treatment can use the “Advanced Module” worksheet to enter more specific data and/or overwrite defaults included in the tool to develop more refined results.</t>
    </r>
    <r>
      <rPr>
        <sz val="11"/>
        <color theme="1"/>
        <rFont val="Calibri"/>
        <family val="2"/>
        <scheme val="minor"/>
      </rPr>
      <t xml:space="preserve">
</t>
    </r>
    <r>
      <rPr>
        <b/>
        <sz val="11"/>
        <color theme="1"/>
        <rFont val="Calibri"/>
        <family val="2"/>
        <scheme val="minor"/>
      </rPr>
      <t>1. Enter project specific data into the GREEN cells.</t>
    </r>
    <r>
      <rPr>
        <sz val="11"/>
        <color theme="1"/>
        <rFont val="Calibri"/>
        <family val="2"/>
        <scheme val="minor"/>
      </rPr>
      <t xml:space="preserve">
- On the “Basic Module” worksheet, inputs are in the “INPUT DATA” section.
- On the “Advanced Module” worksheet, more detailed inputs are available across the various wastewater-to-energy technologies evaluated by the tool.
</t>
    </r>
    <r>
      <rPr>
        <b/>
        <sz val="11"/>
        <color theme="1"/>
        <rFont val="Calibri"/>
        <family val="2"/>
        <scheme val="minor"/>
      </rPr>
      <t>2. View Results</t>
    </r>
    <r>
      <rPr>
        <sz val="11"/>
        <color theme="1"/>
        <rFont val="Calibri"/>
        <family val="2"/>
        <scheme val="minor"/>
      </rPr>
      <t xml:space="preserve">
- Summary results for the wastewater-to-energy technologies evaluated are shown in the “Basic Module” worksheet under “SUMMARY OUTPUT RESULTS.” (All output results are calculated in the “Advanced Module” worksheet. Selected values in the “Advanced Module” worksheet are copied into the “SUMMARY OUTPUT RESULTS” section of the “Basic Module” worksheet.) All Outputs in both the "Basic Module" and "Advanced Module" worksheets are in ORANGE cells.
- More detailed results and data related to the wastewater-to-energy technologies evaluated by BioWATT can be seen in the “Advanced Module” worksheet. This is true whether the user relies on the tool’s standard defaults or if the user chooses to enter more specific data and/or overwrite defaults in the “Advanced Module” worksheet.
In both the "Basic Module" and "Advanced Module" worksheets, explanatory comments and/or field instructions are included for selected inputs and outputs.</t>
    </r>
  </si>
  <si>
    <t>v1.0 (19 Jan 2016)</t>
  </si>
  <si>
    <t>Double click to access</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</si>
</sst>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164" formatCode="0.0"/>
    <numFmt numFmtId="165" formatCode="#,##0.0"/>
    <numFmt numFmtId="166" formatCode="#,##0\ &quot;...high-fossil&quot;"/>
    <numFmt numFmtId="167" formatCode="#,##0\ &quot;...world-average-2010&quot;"/>
    <numFmt numFmtId="168" formatCode="#,##0\ &quot;...high-renewable&quot;"/>
    <numFmt numFmtId="169" formatCode="#,##0\ &quot;...industrialized countries&quot;"/>
    <numFmt numFmtId="170" formatCode="#,##0\ &quot;...transition countries&quot;"/>
    <numFmt numFmtId="171" formatCode="#,##0\ &quot;...rural developing countries&quot;"/>
    <numFmt numFmtId="172" formatCode="#,##0\ &quot;(2-30) ... FOG&quot;"/>
    <numFmt numFmtId="173" formatCode="#,##0\ &quot;(5-30) ... restaurant waste&quot;"/>
    <numFmt numFmtId="174" formatCode="#,##0\ &quot;(5-6) ... whey from dairy&quot;"/>
    <numFmt numFmtId="175" formatCode="#,##0\ &quot;(70-95) ... FOG&quot;"/>
    <numFmt numFmtId="176" formatCode="#,##0\ &quot;(70-96) ... restaurant waste&quot;"/>
    <numFmt numFmtId="177" formatCode="#,##0\ &quot;(90-95) ... whey from dairy&quot;"/>
    <numFmt numFmtId="178" formatCode="#,##0\ &quot;(70-90) ... FOG&quot;"/>
    <numFmt numFmtId="179" formatCode="#,##0\ &quot;(60-95) ... restaurant waste&quot;"/>
    <numFmt numFmtId="180" formatCode="#,##0\ &quot;(94-99) ... whey from dairy&quot;"/>
    <numFmt numFmtId="181" formatCode="#,##0\ &quot;(70-85) ... FOG&quot;"/>
    <numFmt numFmtId="182" formatCode="#,##0\ &quot;(50-65) ... restaurant waste&quot;"/>
    <numFmt numFmtId="183" formatCode="#,##0\ &quot;... whey from dairy&quot;"/>
    <numFmt numFmtId="184" formatCode="#,##0\ &quot;(700-2000) ... FOG&quot;"/>
    <numFmt numFmtId="185" formatCode="#,##0\ &quot;(700-1250) ... restaurant waste&quot;"/>
    <numFmt numFmtId="186" formatCode="#,##0\ &quot;(800-1000) ... whey from dairy&quot;"/>
  </numFmts>
  <fonts count="30" x14ac:knownFonts="1">
    <font>
      <sz val="11"/>
      <color theme="1"/>
      <name val="Calibri"/>
      <family val="2"/>
      <scheme val="minor"/>
    </font>
    <font>
      <sz val="11"/>
      <color theme="1"/>
      <name val="Calibri"/>
      <family val="2"/>
      <scheme val="minor"/>
    </font>
    <font>
      <sz val="10"/>
      <name val="Arial"/>
      <family val="2"/>
    </font>
    <font>
      <u/>
      <sz val="8"/>
      <color theme="1"/>
      <name val="Calibri"/>
      <family val="2"/>
      <scheme val="minor"/>
    </font>
    <font>
      <sz val="8"/>
      <name val="Calibri"/>
      <family val="2"/>
      <scheme val="minor"/>
    </font>
    <font>
      <sz val="8"/>
      <color theme="1"/>
      <name val="Calibri"/>
      <family val="2"/>
      <scheme val="minor"/>
    </font>
    <font>
      <vertAlign val="subscript"/>
      <sz val="8"/>
      <name val="Calibri"/>
      <family val="2"/>
      <scheme val="minor"/>
    </font>
    <font>
      <vertAlign val="subscript"/>
      <sz val="8"/>
      <color theme="1"/>
      <name val="Calibri"/>
      <family val="2"/>
      <scheme val="minor"/>
    </font>
    <font>
      <sz val="10"/>
      <color theme="1"/>
      <name val="Calibri"/>
      <family val="2"/>
      <scheme val="minor"/>
    </font>
    <font>
      <b/>
      <sz val="10"/>
      <color theme="1"/>
      <name val="Calibri"/>
      <family val="2"/>
      <scheme val="minor"/>
    </font>
    <font>
      <b/>
      <sz val="8"/>
      <color theme="1"/>
      <name val="Calibri"/>
      <family val="2"/>
      <scheme val="minor"/>
    </font>
    <font>
      <vertAlign val="superscript"/>
      <sz val="8"/>
      <name val="Calibri"/>
      <family val="2"/>
      <scheme val="minor"/>
    </font>
    <font>
      <sz val="11"/>
      <color theme="0"/>
      <name val="Calibri"/>
      <family val="2"/>
      <scheme val="minor"/>
    </font>
    <font>
      <b/>
      <sz val="12"/>
      <color theme="1"/>
      <name val="Calibri"/>
      <family val="2"/>
      <scheme val="minor"/>
    </font>
    <font>
      <b/>
      <sz val="12"/>
      <color theme="0"/>
      <name val="Calibri"/>
      <family val="2"/>
      <scheme val="minor"/>
    </font>
    <font>
      <b/>
      <sz val="9"/>
      <color theme="0"/>
      <name val="Calibri"/>
      <family val="2"/>
      <scheme val="minor"/>
    </font>
    <font>
      <vertAlign val="superscript"/>
      <sz val="8"/>
      <color theme="1"/>
      <name val="Calibri"/>
      <family val="2"/>
      <scheme val="minor"/>
    </font>
    <font>
      <b/>
      <sz val="8"/>
      <color theme="1"/>
      <name val="Calibri"/>
      <family val="2"/>
    </font>
    <font>
      <b/>
      <vertAlign val="superscript"/>
      <sz val="8"/>
      <color theme="1"/>
      <name val="Calibri"/>
      <family val="2"/>
      <scheme val="minor"/>
    </font>
    <font>
      <b/>
      <sz val="8"/>
      <name val="Calibri"/>
      <family val="2"/>
      <scheme val="minor"/>
    </font>
    <font>
      <b/>
      <sz val="8"/>
      <color rgb="FF0070C0"/>
      <name val="Calibri"/>
      <family val="2"/>
      <scheme val="minor"/>
    </font>
    <font>
      <sz val="8"/>
      <color theme="1"/>
      <name val="Calibri"/>
      <family val="2"/>
    </font>
    <font>
      <b/>
      <sz val="11"/>
      <color theme="1"/>
      <name val="Calibri"/>
      <family val="2"/>
      <scheme val="minor"/>
    </font>
    <font>
      <sz val="8"/>
      <color rgb="FFFF0000"/>
      <name val="Calibri"/>
      <family val="2"/>
      <scheme val="minor"/>
    </font>
    <font>
      <b/>
      <u/>
      <sz val="9"/>
      <color theme="1"/>
      <name val="Calibri"/>
      <family val="2"/>
      <scheme val="minor"/>
    </font>
    <font>
      <b/>
      <sz val="9"/>
      <name val="Calibri"/>
      <family val="2"/>
      <scheme val="minor"/>
    </font>
    <font>
      <b/>
      <u/>
      <sz val="9"/>
      <name val="Calibri"/>
      <family val="2"/>
      <scheme val="minor"/>
    </font>
    <font>
      <b/>
      <vertAlign val="subscript"/>
      <sz val="8"/>
      <color rgb="FF0070C0"/>
      <name val="Calibri"/>
      <family val="2"/>
      <scheme val="minor"/>
    </font>
    <font>
      <i/>
      <sz val="11"/>
      <color theme="1"/>
      <name val="Calibri"/>
      <family val="2"/>
      <scheme val="minor"/>
    </font>
    <font>
      <sz val="1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9" tint="-0.249977111117893"/>
        <bgColor indexed="64"/>
      </patternFill>
    </fill>
    <fill>
      <patternFill patternType="solid">
        <fgColor rgb="FF92D050"/>
        <bgColor indexed="64"/>
      </patternFill>
    </fill>
    <fill>
      <patternFill patternType="solid">
        <fgColor rgb="FF0070C0"/>
        <bgColor indexed="64"/>
      </patternFill>
    </fill>
    <fill>
      <patternFill patternType="solid">
        <fgColor theme="0" tint="-0.249977111117893"/>
        <bgColor indexed="64"/>
      </patternFill>
    </fill>
    <fill>
      <patternFill patternType="solid">
        <fgColor theme="9"/>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2" fillId="0" borderId="0"/>
  </cellStyleXfs>
  <cellXfs count="172">
    <xf numFmtId="0" fontId="0" fillId="0" borderId="0" xfId="0"/>
    <xf numFmtId="0" fontId="5" fillId="0" borderId="3" xfId="0" applyFont="1" applyBorder="1" applyAlignment="1">
      <alignment vertical="center"/>
    </xf>
    <xf numFmtId="0" fontId="4" fillId="0" borderId="3" xfId="2" applyFont="1" applyBorder="1" applyAlignment="1">
      <alignment horizontal="left" vertical="center" wrapText="1"/>
    </xf>
    <xf numFmtId="3" fontId="4" fillId="0" borderId="3" xfId="2" applyNumberFormat="1" applyFont="1" applyFill="1" applyBorder="1" applyAlignment="1">
      <alignment horizontal="right" vertical="center"/>
    </xf>
    <xf numFmtId="0" fontId="4" fillId="0" borderId="3" xfId="2" applyFont="1" applyBorder="1" applyAlignment="1">
      <alignment horizontal="left" vertical="center"/>
    </xf>
    <xf numFmtId="0" fontId="10" fillId="0" borderId="3" xfId="0" applyFont="1" applyBorder="1" applyAlignment="1">
      <alignment vertical="center"/>
    </xf>
    <xf numFmtId="9" fontId="4" fillId="0" borderId="3" xfId="2" applyNumberFormat="1" applyFont="1" applyFill="1" applyBorder="1" applyAlignment="1">
      <alignment horizontal="right" vertical="center"/>
    </xf>
    <xf numFmtId="0" fontId="5" fillId="0" borderId="0" xfId="0" applyFont="1"/>
    <xf numFmtId="0" fontId="0" fillId="0" borderId="0" xfId="0" applyAlignment="1">
      <alignment vertical="center"/>
    </xf>
    <xf numFmtId="0" fontId="13" fillId="0" borderId="0" xfId="0" applyFont="1" applyAlignment="1">
      <alignment vertical="center"/>
    </xf>
    <xf numFmtId="0" fontId="8" fillId="0" borderId="0" xfId="0" applyFont="1" applyAlignment="1">
      <alignment vertical="center"/>
    </xf>
    <xf numFmtId="0" fontId="3" fillId="2" borderId="2" xfId="0" applyFont="1" applyFill="1" applyBorder="1" applyAlignment="1">
      <alignment vertical="center"/>
    </xf>
    <xf numFmtId="0" fontId="4" fillId="2" borderId="2" xfId="2" applyFont="1" applyFill="1" applyBorder="1" applyAlignment="1">
      <alignment horizontal="left" vertical="center"/>
    </xf>
    <xf numFmtId="0" fontId="3" fillId="2" borderId="3" xfId="0" applyFont="1" applyFill="1" applyBorder="1" applyAlignment="1">
      <alignment vertical="center"/>
    </xf>
    <xf numFmtId="0" fontId="4" fillId="2" borderId="3" xfId="2" applyFont="1" applyFill="1" applyBorder="1" applyAlignment="1">
      <alignment horizontal="left" vertical="center"/>
    </xf>
    <xf numFmtId="165" fontId="4" fillId="0" borderId="3" xfId="2" applyNumberFormat="1" applyFont="1" applyFill="1" applyBorder="1" applyAlignment="1">
      <alignment horizontal="right" vertical="center"/>
    </xf>
    <xf numFmtId="0" fontId="5" fillId="0" borderId="4" xfId="0" applyFont="1" applyBorder="1" applyAlignment="1">
      <alignment vertical="center"/>
    </xf>
    <xf numFmtId="0" fontId="14" fillId="3" borderId="0" xfId="0" applyFont="1" applyFill="1" applyAlignment="1">
      <alignment vertical="center"/>
    </xf>
    <xf numFmtId="0" fontId="4" fillId="0" borderId="4" xfId="2" quotePrefix="1" applyFont="1" applyBorder="1" applyAlignment="1">
      <alignment horizontal="left" vertical="center"/>
    </xf>
    <xf numFmtId="0" fontId="0" fillId="0" borderId="0" xfId="0" applyBorder="1"/>
    <xf numFmtId="0" fontId="15" fillId="5" borderId="1" xfId="2" applyFont="1" applyFill="1" applyBorder="1" applyAlignment="1">
      <alignment horizontal="left" vertical="center"/>
    </xf>
    <xf numFmtId="0" fontId="15" fillId="5" borderId="1" xfId="0" applyFont="1" applyFill="1" applyBorder="1" applyAlignment="1">
      <alignment horizontal="center" vertical="center"/>
    </xf>
    <xf numFmtId="0" fontId="15" fillId="5" borderId="1" xfId="0" applyFont="1" applyFill="1" applyBorder="1" applyAlignment="1">
      <alignment vertical="center"/>
    </xf>
    <xf numFmtId="0" fontId="15" fillId="5" borderId="5" xfId="2" applyFont="1" applyFill="1" applyBorder="1" applyAlignment="1">
      <alignment horizontal="left" vertical="center"/>
    </xf>
    <xf numFmtId="0" fontId="15" fillId="5" borderId="5" xfId="0" applyFont="1" applyFill="1" applyBorder="1" applyAlignment="1">
      <alignment horizontal="center" vertical="center"/>
    </xf>
    <xf numFmtId="0" fontId="15" fillId="5" borderId="5" xfId="0" applyFont="1" applyFill="1" applyBorder="1" applyAlignment="1">
      <alignment vertical="center"/>
    </xf>
    <xf numFmtId="0" fontId="5" fillId="0" borderId="3" xfId="0" applyFont="1" applyFill="1" applyBorder="1" applyAlignment="1">
      <alignment vertical="center"/>
    </xf>
    <xf numFmtId="0" fontId="4" fillId="0" borderId="3" xfId="2" applyFont="1" applyFill="1" applyBorder="1" applyAlignment="1">
      <alignment horizontal="left" vertical="center"/>
    </xf>
    <xf numFmtId="0" fontId="0" fillId="0" borderId="0" xfId="0" applyFill="1"/>
    <xf numFmtId="0" fontId="0" fillId="0" borderId="0" xfId="0" applyAlignment="1">
      <alignment vertical="center" wrapText="1"/>
    </xf>
    <xf numFmtId="0" fontId="8" fillId="0" borderId="0" xfId="0" applyFont="1" applyAlignment="1">
      <alignment vertical="center" wrapText="1"/>
    </xf>
    <xf numFmtId="0" fontId="15" fillId="5" borderId="1" xfId="0" applyFont="1" applyFill="1" applyBorder="1" applyAlignment="1">
      <alignment vertical="center" wrapText="1"/>
    </xf>
    <xf numFmtId="0" fontId="4" fillId="2" borderId="2"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0" borderId="4" xfId="2" applyFont="1" applyBorder="1" applyAlignment="1">
      <alignment horizontal="left" vertical="center" wrapText="1"/>
    </xf>
    <xf numFmtId="0" fontId="15" fillId="5" borderId="5" xfId="0" applyFont="1" applyFill="1" applyBorder="1" applyAlignment="1">
      <alignment vertical="center" wrapText="1"/>
    </xf>
    <xf numFmtId="0" fontId="4" fillId="0" borderId="3" xfId="2" applyFont="1" applyFill="1" applyBorder="1" applyAlignment="1">
      <alignment horizontal="left" vertical="center" wrapText="1"/>
    </xf>
    <xf numFmtId="0" fontId="5" fillId="0" borderId="3" xfId="0" applyFont="1" applyBorder="1" applyAlignment="1">
      <alignment vertical="center" wrapText="1"/>
    </xf>
    <xf numFmtId="0" fontId="17" fillId="0" borderId="3" xfId="0" applyFont="1" applyBorder="1" applyAlignment="1">
      <alignment vertical="center"/>
    </xf>
    <xf numFmtId="164" fontId="4" fillId="0" borderId="3" xfId="2" applyNumberFormat="1" applyFont="1" applyFill="1" applyBorder="1" applyAlignment="1">
      <alignment horizontal="right" vertical="center"/>
    </xf>
    <xf numFmtId="0" fontId="19" fillId="0" borderId="3" xfId="2" applyFont="1" applyBorder="1" applyAlignment="1">
      <alignment horizontal="left" vertical="center"/>
    </xf>
    <xf numFmtId="1" fontId="4" fillId="0" borderId="3" xfId="2" applyNumberFormat="1" applyFont="1" applyFill="1" applyBorder="1" applyAlignment="1">
      <alignment horizontal="right" vertical="center"/>
    </xf>
    <xf numFmtId="0" fontId="4" fillId="2" borderId="9" xfId="2" applyFont="1" applyFill="1" applyBorder="1" applyAlignment="1">
      <alignment horizontal="right" vertical="center"/>
    </xf>
    <xf numFmtId="0" fontId="4" fillId="2" borderId="8" xfId="2" applyFont="1" applyFill="1" applyBorder="1" applyAlignment="1">
      <alignment horizontal="right" vertical="center"/>
    </xf>
    <xf numFmtId="0" fontId="20" fillId="0" borderId="3" xfId="0" applyFont="1" applyBorder="1" applyAlignment="1">
      <alignment vertical="center"/>
    </xf>
    <xf numFmtId="0" fontId="20" fillId="0" borderId="3" xfId="2" applyFont="1" applyBorder="1" applyAlignment="1">
      <alignment horizontal="left" vertical="center"/>
    </xf>
    <xf numFmtId="0" fontId="5" fillId="0" borderId="7" xfId="0" applyFont="1" applyBorder="1" applyAlignment="1">
      <alignment vertical="center"/>
    </xf>
    <xf numFmtId="3" fontId="4" fillId="0" borderId="7" xfId="2" applyNumberFormat="1" applyFont="1" applyFill="1" applyBorder="1" applyAlignment="1">
      <alignment horizontal="right" vertical="center"/>
    </xf>
    <xf numFmtId="0" fontId="4" fillId="0" borderId="7" xfId="2" applyFont="1" applyBorder="1" applyAlignment="1">
      <alignment horizontal="left" vertical="center"/>
    </xf>
    <xf numFmtId="0" fontId="4" fillId="0" borderId="7" xfId="2" applyFont="1" applyBorder="1" applyAlignment="1">
      <alignment horizontal="left" vertical="center" wrapText="1"/>
    </xf>
    <xf numFmtId="0" fontId="4" fillId="0" borderId="3" xfId="2" quotePrefix="1" applyFont="1" applyBorder="1" applyAlignment="1">
      <alignment horizontal="left" vertical="center"/>
    </xf>
    <xf numFmtId="0" fontId="21" fillId="0" borderId="3" xfId="0" applyFont="1" applyBorder="1" applyAlignment="1">
      <alignment vertical="center"/>
    </xf>
    <xf numFmtId="4" fontId="4" fillId="0" borderId="3" xfId="2" applyNumberFormat="1" applyFont="1" applyFill="1" applyBorder="1" applyAlignment="1">
      <alignment horizontal="right" vertical="center"/>
    </xf>
    <xf numFmtId="165" fontId="4" fillId="0" borderId="3" xfId="2" applyNumberFormat="1" applyFont="1" applyFill="1" applyBorder="1" applyAlignment="1">
      <alignment horizontal="right" vertical="center" wrapText="1"/>
    </xf>
    <xf numFmtId="0" fontId="5" fillId="0" borderId="0" xfId="0" applyFont="1" applyProtection="1">
      <protection locked="0"/>
    </xf>
    <xf numFmtId="0" fontId="0" fillId="0" borderId="0" xfId="0" applyProtection="1">
      <protection locked="0"/>
    </xf>
    <xf numFmtId="0" fontId="0" fillId="0" borderId="0" xfId="0" applyAlignment="1" applyProtection="1">
      <alignment vertical="center"/>
      <protection locked="0"/>
    </xf>
    <xf numFmtId="0" fontId="13" fillId="4" borderId="0" xfId="0" applyFont="1" applyFill="1" applyAlignment="1" applyProtection="1">
      <alignment horizontal="left" vertical="center"/>
      <protection locked="0"/>
    </xf>
    <xf numFmtId="0" fontId="0" fillId="4" borderId="0" xfId="0" applyFill="1" applyAlignment="1" applyProtection="1">
      <alignment vertical="center"/>
      <protection locked="0"/>
    </xf>
    <xf numFmtId="0" fontId="0" fillId="4" borderId="0" xfId="0" applyFill="1" applyAlignment="1" applyProtection="1">
      <alignment vertical="center" wrapText="1"/>
      <protection locked="0"/>
    </xf>
    <xf numFmtId="14" fontId="8" fillId="4" borderId="0" xfId="0" applyNumberFormat="1" applyFont="1" applyFill="1" applyAlignment="1" applyProtection="1">
      <alignment horizontal="left" vertical="center"/>
      <protection locked="0"/>
    </xf>
    <xf numFmtId="0" fontId="8" fillId="4" borderId="0" xfId="0" applyFont="1" applyFill="1" applyAlignment="1" applyProtection="1">
      <alignment vertical="center"/>
      <protection locked="0"/>
    </xf>
    <xf numFmtId="0" fontId="8" fillId="4" borderId="0" xfId="0" applyFont="1" applyFill="1" applyAlignment="1" applyProtection="1">
      <alignment vertical="center" wrapText="1"/>
      <protection locked="0"/>
    </xf>
    <xf numFmtId="3" fontId="4" fillId="4" borderId="8" xfId="2" applyNumberFormat="1" applyFont="1" applyFill="1" applyBorder="1" applyAlignment="1" applyProtection="1">
      <alignment horizontal="centerContinuous" vertical="center"/>
      <protection locked="0"/>
    </xf>
    <xf numFmtId="4" fontId="4" fillId="4" borderId="8" xfId="2" applyNumberFormat="1" applyFont="1" applyFill="1" applyBorder="1" applyAlignment="1" applyProtection="1">
      <alignment horizontal="centerContinuous" vertical="center"/>
      <protection locked="0"/>
    </xf>
    <xf numFmtId="0" fontId="13" fillId="0" borderId="0" xfId="0" applyFont="1" applyAlignment="1" applyProtection="1">
      <alignment vertical="center"/>
    </xf>
    <xf numFmtId="0" fontId="9" fillId="0" borderId="0" xfId="0" applyFont="1" applyAlignment="1" applyProtection="1">
      <alignment vertical="center"/>
    </xf>
    <xf numFmtId="0" fontId="0" fillId="0" borderId="0" xfId="0" applyAlignment="1" applyProtection="1">
      <alignment vertical="center"/>
    </xf>
    <xf numFmtId="0" fontId="5" fillId="0" borderId="3" xfId="0" applyFont="1" applyBorder="1" applyAlignment="1" applyProtection="1">
      <alignment vertical="center"/>
    </xf>
    <xf numFmtId="0" fontId="5" fillId="0" borderId="4" xfId="0" applyFont="1" applyBorder="1" applyAlignment="1" applyProtection="1">
      <alignment vertical="center"/>
    </xf>
    <xf numFmtId="0" fontId="5" fillId="0" borderId="3" xfId="0" applyFont="1" applyFill="1" applyBorder="1" applyAlignment="1" applyProtection="1">
      <alignment vertical="center"/>
    </xf>
    <xf numFmtId="0" fontId="5" fillId="0" borderId="3" xfId="0" applyFont="1" applyBorder="1" applyAlignment="1" applyProtection="1">
      <alignment vertical="center" wrapText="1"/>
    </xf>
    <xf numFmtId="0" fontId="5" fillId="0" borderId="17" xfId="0" applyFont="1" applyBorder="1" applyAlignment="1" applyProtection="1">
      <alignment vertical="center"/>
    </xf>
    <xf numFmtId="0" fontId="5" fillId="0" borderId="15" xfId="0" applyFont="1" applyBorder="1" applyAlignment="1" applyProtection="1">
      <alignment vertical="center"/>
    </xf>
    <xf numFmtId="0" fontId="20" fillId="0" borderId="4" xfId="0" applyFont="1" applyBorder="1" applyAlignment="1" applyProtection="1">
      <alignment vertical="center"/>
    </xf>
    <xf numFmtId="0" fontId="5" fillId="0" borderId="10" xfId="0" applyFont="1" applyBorder="1" applyAlignment="1" applyProtection="1">
      <alignment vertical="center"/>
    </xf>
    <xf numFmtId="0" fontId="12" fillId="3" borderId="0" xfId="0" applyFont="1" applyFill="1" applyAlignment="1" applyProtection="1">
      <alignment horizontal="right" vertical="center"/>
    </xf>
    <xf numFmtId="0" fontId="12" fillId="3" borderId="0" xfId="0" applyFont="1" applyFill="1" applyAlignment="1" applyProtection="1">
      <alignment horizontal="right" vertical="center" wrapText="1"/>
    </xf>
    <xf numFmtId="0" fontId="0" fillId="0" borderId="0" xfId="0" applyAlignment="1" applyProtection="1">
      <alignment vertical="center" wrapText="1"/>
    </xf>
    <xf numFmtId="0" fontId="8" fillId="0" borderId="0" xfId="0" applyFont="1" applyAlignment="1" applyProtection="1">
      <alignment vertical="center"/>
    </xf>
    <xf numFmtId="0" fontId="8" fillId="0" borderId="0" xfId="0" applyFont="1" applyAlignment="1" applyProtection="1">
      <alignment vertical="center" wrapText="1"/>
    </xf>
    <xf numFmtId="0" fontId="4" fillId="0" borderId="3" xfId="2" applyFont="1" applyBorder="1" applyAlignment="1" applyProtection="1">
      <alignment horizontal="left" vertical="center"/>
    </xf>
    <xf numFmtId="0" fontId="4" fillId="0" borderId="4" xfId="2" applyFont="1" applyBorder="1" applyAlignment="1" applyProtection="1">
      <alignment horizontal="left" vertical="center"/>
    </xf>
    <xf numFmtId="0" fontId="4" fillId="0" borderId="17" xfId="2" quotePrefix="1" applyFont="1" applyBorder="1" applyAlignment="1" applyProtection="1">
      <alignment horizontal="left" vertical="center"/>
    </xf>
    <xf numFmtId="0" fontId="4" fillId="0" borderId="15" xfId="2" applyFont="1" applyBorder="1" applyAlignment="1" applyProtection="1">
      <alignment horizontal="left" vertical="center"/>
    </xf>
    <xf numFmtId="0" fontId="20" fillId="0" borderId="4" xfId="2" applyFont="1" applyBorder="1" applyAlignment="1" applyProtection="1">
      <alignment horizontal="left" vertical="center"/>
    </xf>
    <xf numFmtId="0" fontId="12" fillId="3" borderId="0" xfId="0" applyFont="1" applyFill="1" applyAlignment="1" applyProtection="1">
      <alignment vertical="center"/>
    </xf>
    <xf numFmtId="0" fontId="4" fillId="0" borderId="17" xfId="2" applyFont="1" applyBorder="1" applyAlignment="1">
      <alignment horizontal="left" vertical="center" wrapText="1"/>
    </xf>
    <xf numFmtId="0" fontId="4" fillId="0" borderId="15" xfId="2" applyFont="1" applyBorder="1" applyAlignment="1">
      <alignment horizontal="left" vertical="center" wrapText="1"/>
    </xf>
    <xf numFmtId="0" fontId="4" fillId="0" borderId="2" xfId="2" applyFont="1" applyBorder="1" applyAlignment="1">
      <alignment horizontal="left" vertical="center" wrapText="1"/>
    </xf>
    <xf numFmtId="0" fontId="5" fillId="0" borderId="5" xfId="0" applyFont="1" applyBorder="1" applyAlignment="1" applyProtection="1">
      <alignment vertical="center"/>
    </xf>
    <xf numFmtId="0" fontId="4" fillId="0" borderId="5" xfId="2" applyFont="1" applyBorder="1" applyAlignment="1" applyProtection="1">
      <alignment horizontal="left" vertical="center"/>
    </xf>
    <xf numFmtId="0" fontId="4" fillId="0" borderId="5" xfId="2" applyFont="1" applyBorder="1" applyAlignment="1">
      <alignment horizontal="left" vertical="center" wrapText="1"/>
    </xf>
    <xf numFmtId="0" fontId="23" fillId="0" borderId="0" xfId="0" applyFont="1" applyProtection="1">
      <protection locked="0"/>
    </xf>
    <xf numFmtId="3" fontId="4" fillId="4" borderId="3" xfId="2" applyNumberFormat="1" applyFont="1" applyFill="1" applyBorder="1" applyAlignment="1" applyProtection="1">
      <alignment horizontal="center" vertical="center"/>
      <protection locked="0"/>
    </xf>
    <xf numFmtId="3" fontId="4" fillId="4" borderId="8" xfId="2" applyNumberFormat="1" applyFont="1" applyFill="1" applyBorder="1" applyAlignment="1" applyProtection="1">
      <alignment horizontal="center" vertical="center"/>
      <protection locked="0"/>
    </xf>
    <xf numFmtId="3" fontId="4" fillId="0" borderId="8" xfId="2" applyNumberFormat="1" applyFont="1" applyFill="1" applyBorder="1" applyAlignment="1">
      <alignment horizontal="right" vertical="center"/>
    </xf>
    <xf numFmtId="9" fontId="4" fillId="0" borderId="8" xfId="1" applyNumberFormat="1" applyFont="1" applyFill="1" applyBorder="1" applyAlignment="1">
      <alignment horizontal="right" vertical="center"/>
    </xf>
    <xf numFmtId="9" fontId="4" fillId="0" borderId="8" xfId="1" applyFont="1" applyFill="1" applyBorder="1" applyAlignment="1">
      <alignment horizontal="right" vertical="center"/>
    </xf>
    <xf numFmtId="166" fontId="5" fillId="0" borderId="1" xfId="0" applyNumberFormat="1" applyFont="1" applyBorder="1"/>
    <xf numFmtId="167" fontId="5" fillId="0" borderId="10" xfId="0" applyNumberFormat="1" applyFont="1" applyBorder="1"/>
    <xf numFmtId="168" fontId="5" fillId="0" borderId="20" xfId="0" applyNumberFormat="1" applyFont="1" applyBorder="1"/>
    <xf numFmtId="169" fontId="5" fillId="0" borderId="1" xfId="0" applyNumberFormat="1" applyFont="1" applyBorder="1"/>
    <xf numFmtId="170" fontId="5" fillId="0" borderId="10" xfId="0" applyNumberFormat="1" applyFont="1" applyBorder="1"/>
    <xf numFmtId="171" fontId="5" fillId="0" borderId="20" xfId="0" applyNumberFormat="1" applyFont="1" applyBorder="1"/>
    <xf numFmtId="174" fontId="5" fillId="0" borderId="0" xfId="0" applyNumberFormat="1" applyFont="1"/>
    <xf numFmtId="172" fontId="5" fillId="0" borderId="1" xfId="0" applyNumberFormat="1" applyFont="1" applyBorder="1"/>
    <xf numFmtId="173" fontId="5" fillId="0" borderId="10" xfId="0" applyNumberFormat="1" applyFont="1" applyBorder="1"/>
    <xf numFmtId="174" fontId="5" fillId="0" borderId="20" xfId="0" applyNumberFormat="1" applyFont="1" applyBorder="1"/>
    <xf numFmtId="175" fontId="5" fillId="0" borderId="1" xfId="0" applyNumberFormat="1" applyFont="1" applyBorder="1"/>
    <xf numFmtId="176" fontId="5" fillId="0" borderId="10" xfId="0" applyNumberFormat="1" applyFont="1" applyBorder="1"/>
    <xf numFmtId="177" fontId="5" fillId="0" borderId="20" xfId="0" applyNumberFormat="1" applyFont="1" applyBorder="1"/>
    <xf numFmtId="178" fontId="5" fillId="0" borderId="1" xfId="0" applyNumberFormat="1" applyFont="1" applyBorder="1"/>
    <xf numFmtId="179" fontId="5" fillId="0" borderId="10" xfId="0" applyNumberFormat="1" applyFont="1" applyBorder="1"/>
    <xf numFmtId="180" fontId="5" fillId="0" borderId="20" xfId="0" applyNumberFormat="1" applyFont="1" applyBorder="1"/>
    <xf numFmtId="181" fontId="5" fillId="0" borderId="1" xfId="0" applyNumberFormat="1" applyFont="1" applyBorder="1"/>
    <xf numFmtId="182" fontId="5" fillId="0" borderId="10" xfId="0" applyNumberFormat="1" applyFont="1" applyBorder="1"/>
    <xf numFmtId="183" fontId="5" fillId="0" borderId="20" xfId="0" applyNumberFormat="1" applyFont="1" applyBorder="1"/>
    <xf numFmtId="184" fontId="5" fillId="0" borderId="1" xfId="0" applyNumberFormat="1" applyFont="1" applyBorder="1"/>
    <xf numFmtId="185" fontId="5" fillId="0" borderId="10" xfId="0" applyNumberFormat="1" applyFont="1" applyBorder="1"/>
    <xf numFmtId="186" fontId="5" fillId="0" borderId="20" xfId="0" applyNumberFormat="1" applyFont="1" applyBorder="1"/>
    <xf numFmtId="3" fontId="4" fillId="0" borderId="8" xfId="2" applyNumberFormat="1" applyFont="1" applyFill="1" applyBorder="1" applyAlignment="1">
      <alignment horizontal="right" vertical="center" wrapText="1"/>
    </xf>
    <xf numFmtId="3" fontId="4" fillId="0" borderId="6" xfId="2" applyNumberFormat="1" applyFont="1" applyFill="1" applyBorder="1" applyAlignment="1">
      <alignment horizontal="right" vertical="center" wrapText="1"/>
    </xf>
    <xf numFmtId="0" fontId="14" fillId="5" borderId="11" xfId="0" applyFont="1" applyFill="1" applyBorder="1" applyAlignment="1" applyProtection="1">
      <alignment horizontal="centerContinuous" vertical="center"/>
    </xf>
    <xf numFmtId="0" fontId="14" fillId="5" borderId="12" xfId="0" applyFont="1" applyFill="1" applyBorder="1" applyAlignment="1" applyProtection="1">
      <alignment horizontal="centerContinuous" vertical="center"/>
    </xf>
    <xf numFmtId="0" fontId="14" fillId="5" borderId="13" xfId="0" applyFont="1" applyFill="1" applyBorder="1" applyAlignment="1" applyProtection="1">
      <alignment horizontal="centerContinuous" vertical="center" wrapText="1"/>
    </xf>
    <xf numFmtId="0" fontId="25" fillId="6" borderId="14" xfId="0" applyFont="1" applyFill="1" applyBorder="1" applyAlignment="1" applyProtection="1">
      <alignment horizontal="centerContinuous" vertical="center"/>
      <protection locked="0"/>
    </xf>
    <xf numFmtId="0" fontId="25" fillId="6" borderId="10" xfId="0" applyFont="1" applyFill="1" applyBorder="1" applyAlignment="1" applyProtection="1">
      <alignment vertical="center"/>
    </xf>
    <xf numFmtId="0" fontId="25" fillId="6" borderId="10" xfId="0" applyFont="1" applyFill="1" applyBorder="1" applyAlignment="1">
      <alignment vertical="center" wrapText="1"/>
    </xf>
    <xf numFmtId="0" fontId="24" fillId="6" borderId="2" xfId="0" applyFont="1" applyFill="1" applyBorder="1" applyAlignment="1" applyProtection="1">
      <alignment vertical="center"/>
    </xf>
    <xf numFmtId="0" fontId="25" fillId="6" borderId="9" xfId="2" applyFont="1" applyFill="1" applyBorder="1" applyAlignment="1" applyProtection="1">
      <alignment horizontal="center" vertical="center"/>
    </xf>
    <xf numFmtId="0" fontId="25" fillId="6" borderId="2" xfId="2" applyFont="1" applyFill="1" applyBorder="1" applyAlignment="1" applyProtection="1">
      <alignment horizontal="center" vertical="center"/>
    </xf>
    <xf numFmtId="0" fontId="25" fillId="6" borderId="2" xfId="2" applyFont="1" applyFill="1" applyBorder="1" applyAlignment="1" applyProtection="1">
      <alignment horizontal="left" vertical="center" wrapText="1"/>
    </xf>
    <xf numFmtId="0" fontId="26" fillId="6" borderId="10" xfId="2" applyFont="1" applyFill="1" applyBorder="1" applyAlignment="1" applyProtection="1">
      <alignment horizontal="left" vertical="center"/>
    </xf>
    <xf numFmtId="0" fontId="25" fillId="6" borderId="16" xfId="0" applyFont="1" applyFill="1" applyBorder="1" applyAlignment="1" applyProtection="1">
      <alignment horizontal="centerContinuous" vertical="center"/>
    </xf>
    <xf numFmtId="0" fontId="5" fillId="0" borderId="15" xfId="0" applyFont="1" applyBorder="1" applyAlignment="1" applyProtection="1">
      <alignment vertical="center" wrapText="1"/>
    </xf>
    <xf numFmtId="3" fontId="4" fillId="4" borderId="16" xfId="2" applyNumberFormat="1" applyFont="1" applyFill="1" applyBorder="1" applyAlignment="1" applyProtection="1">
      <alignment horizontal="center" vertical="center"/>
      <protection locked="0"/>
    </xf>
    <xf numFmtId="0" fontId="4" fillId="0" borderId="1" xfId="0" applyFont="1" applyBorder="1" applyAlignment="1" applyProtection="1">
      <alignment horizontal="right"/>
      <protection locked="0"/>
    </xf>
    <xf numFmtId="0" fontId="4" fillId="0" borderId="20" xfId="0" applyFont="1" applyBorder="1" applyAlignment="1" applyProtection="1">
      <alignment horizontal="right"/>
      <protection locked="0"/>
    </xf>
    <xf numFmtId="0" fontId="20" fillId="0" borderId="4" xfId="2" applyFont="1" applyBorder="1" applyAlignment="1">
      <alignment horizontal="left" vertical="center"/>
    </xf>
    <xf numFmtId="0" fontId="5" fillId="0" borderId="2" xfId="0" applyFont="1" applyBorder="1" applyAlignment="1">
      <alignment vertical="center"/>
    </xf>
    <xf numFmtId="0" fontId="4" fillId="0" borderId="2" xfId="2" applyFont="1" applyBorder="1" applyAlignment="1">
      <alignment horizontal="left" vertical="center"/>
    </xf>
    <xf numFmtId="0" fontId="4" fillId="0" borderId="15" xfId="2" applyFont="1" applyFill="1" applyBorder="1" applyAlignment="1">
      <alignment horizontal="left" vertical="center" wrapText="1"/>
    </xf>
    <xf numFmtId="0" fontId="4" fillId="0" borderId="3" xfId="2" quotePrefix="1" applyFont="1" applyFill="1" applyBorder="1" applyAlignment="1">
      <alignment horizontal="left" vertical="center" wrapText="1"/>
    </xf>
    <xf numFmtId="0" fontId="20" fillId="0" borderId="4" xfId="0" applyFont="1" applyBorder="1" applyAlignment="1">
      <alignment vertical="center"/>
    </xf>
    <xf numFmtId="3" fontId="4" fillId="7" borderId="8" xfId="2" applyNumberFormat="1" applyFont="1" applyFill="1" applyBorder="1" applyAlignment="1" applyProtection="1">
      <alignment horizontal="centerContinuous" vertical="center"/>
    </xf>
    <xf numFmtId="9" fontId="4" fillId="7" borderId="18" xfId="1" applyFont="1" applyFill="1" applyBorder="1" applyAlignment="1" applyProtection="1">
      <alignment horizontal="centerContinuous" vertical="center"/>
    </xf>
    <xf numFmtId="3" fontId="4" fillId="7" borderId="16" xfId="2" applyNumberFormat="1" applyFont="1" applyFill="1" applyBorder="1" applyAlignment="1" applyProtection="1">
      <alignment horizontal="centerContinuous" vertical="center"/>
    </xf>
    <xf numFmtId="3" fontId="20" fillId="7" borderId="6" xfId="2" applyNumberFormat="1" applyFont="1" applyFill="1" applyBorder="1" applyAlignment="1" applyProtection="1">
      <alignment horizontal="centerContinuous" vertical="center"/>
    </xf>
    <xf numFmtId="3" fontId="4" fillId="7" borderId="6" xfId="2" applyNumberFormat="1" applyFont="1" applyFill="1" applyBorder="1" applyAlignment="1" applyProtection="1">
      <alignment horizontal="centerContinuous" vertical="center"/>
    </xf>
    <xf numFmtId="3" fontId="4" fillId="7" borderId="19" xfId="2" applyNumberFormat="1" applyFont="1" applyFill="1" applyBorder="1" applyAlignment="1" applyProtection="1">
      <alignment horizontal="centerContinuous" vertical="center"/>
    </xf>
    <xf numFmtId="3" fontId="4" fillId="7" borderId="8" xfId="2" applyNumberFormat="1" applyFont="1" applyFill="1" applyBorder="1" applyAlignment="1">
      <alignment horizontal="right" vertical="center"/>
    </xf>
    <xf numFmtId="3" fontId="19" fillId="7" borderId="8" xfId="2" applyNumberFormat="1" applyFont="1" applyFill="1" applyBorder="1" applyAlignment="1">
      <alignment horizontal="right" vertical="center"/>
    </xf>
    <xf numFmtId="3" fontId="20" fillId="7" borderId="8" xfId="2" applyNumberFormat="1" applyFont="1" applyFill="1" applyBorder="1" applyAlignment="1">
      <alignment horizontal="right" vertical="center"/>
    </xf>
    <xf numFmtId="3" fontId="4" fillId="7" borderId="9" xfId="2" applyNumberFormat="1" applyFont="1" applyFill="1" applyBorder="1" applyAlignment="1" applyProtection="1">
      <alignment horizontal="center" vertical="center"/>
    </xf>
    <xf numFmtId="3" fontId="4" fillId="7" borderId="8" xfId="2" applyNumberFormat="1" applyFont="1" applyFill="1" applyBorder="1" applyAlignment="1" applyProtection="1">
      <alignment horizontal="center" vertical="center"/>
    </xf>
    <xf numFmtId="3" fontId="20" fillId="7" borderId="6" xfId="2" applyNumberFormat="1" applyFont="1" applyFill="1" applyBorder="1" applyAlignment="1" applyProtection="1">
      <alignment horizontal="center" vertical="center"/>
    </xf>
    <xf numFmtId="4" fontId="4" fillId="4" borderId="3" xfId="2" applyNumberFormat="1" applyFont="1" applyFill="1" applyBorder="1" applyAlignment="1" applyProtection="1">
      <alignment horizontal="right" vertical="center"/>
      <protection locked="0"/>
    </xf>
    <xf numFmtId="3" fontId="4" fillId="4" borderId="3" xfId="2" applyNumberFormat="1" applyFont="1" applyFill="1" applyBorder="1" applyAlignment="1" applyProtection="1">
      <alignment horizontal="right" vertical="center"/>
      <protection locked="0"/>
    </xf>
    <xf numFmtId="165" fontId="4" fillId="4" borderId="3" xfId="2" applyNumberFormat="1" applyFont="1" applyFill="1" applyBorder="1" applyAlignment="1" applyProtection="1">
      <alignment horizontal="right" vertical="center"/>
      <protection locked="0"/>
    </xf>
    <xf numFmtId="165" fontId="4" fillId="4" borderId="3" xfId="2" applyNumberFormat="1" applyFont="1" applyFill="1" applyBorder="1" applyAlignment="1" applyProtection="1">
      <alignment horizontal="right" vertical="center" wrapText="1"/>
      <protection locked="0"/>
    </xf>
    <xf numFmtId="165" fontId="4" fillId="4" borderId="8" xfId="2" applyNumberFormat="1" applyFont="1" applyFill="1" applyBorder="1" applyAlignment="1" applyProtection="1">
      <alignment horizontal="right" vertical="center"/>
      <protection locked="0"/>
    </xf>
    <xf numFmtId="4" fontId="4" fillId="4" borderId="8" xfId="2" applyNumberFormat="1" applyFont="1" applyFill="1" applyBorder="1" applyAlignment="1" applyProtection="1">
      <alignment horizontal="right" vertical="center"/>
      <protection locked="0"/>
    </xf>
    <xf numFmtId="0" fontId="0" fillId="8" borderId="0" xfId="0" applyFill="1"/>
    <xf numFmtId="0" fontId="0" fillId="8" borderId="0" xfId="0" applyFont="1" applyFill="1" applyAlignment="1" applyProtection="1">
      <alignment vertical="center"/>
    </xf>
    <xf numFmtId="3" fontId="4" fillId="0" borderId="3" xfId="2" applyNumberFormat="1" applyFont="1" applyFill="1" applyBorder="1" applyAlignment="1" applyProtection="1">
      <alignment horizontal="right" vertical="center"/>
    </xf>
    <xf numFmtId="0" fontId="29" fillId="0" borderId="0" xfId="0" applyFont="1" applyProtection="1"/>
    <xf numFmtId="0" fontId="0" fillId="8" borderId="0" xfId="0" applyFont="1" applyFill="1" applyAlignment="1" applyProtection="1">
      <alignment vertical="top" wrapText="1"/>
    </xf>
    <xf numFmtId="0" fontId="0" fillId="8" borderId="0" xfId="0" applyFill="1" applyAlignment="1">
      <alignment wrapText="1"/>
    </xf>
    <xf numFmtId="0" fontId="0" fillId="8" borderId="0" xfId="0" applyFont="1" applyFill="1" applyAlignment="1">
      <alignment vertical="top" wrapText="1"/>
    </xf>
    <xf numFmtId="0" fontId="0" fillId="8" borderId="0" xfId="0" applyFont="1" applyFill="1" applyAlignment="1" applyProtection="1">
      <alignment vertical="center"/>
    </xf>
    <xf numFmtId="0" fontId="0" fillId="8" borderId="0" xfId="0" applyFill="1" applyAlignment="1"/>
  </cellXfs>
  <cellStyles count="3">
    <cellStyle name="Normal" xfId="0" builtinId="0"/>
    <cellStyle name="Percent" xfId="1" builtinId="5"/>
    <cellStyle name="Standard_Variante I-30mg"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1</xdr:col>
      <xdr:colOff>1885951</xdr:colOff>
      <xdr:row>0</xdr:row>
      <xdr:rowOff>28575</xdr:rowOff>
    </xdr:from>
    <xdr:to>
      <xdr:col>1</xdr:col>
      <xdr:colOff>3486151</xdr:colOff>
      <xdr:row>4</xdr:row>
      <xdr:rowOff>188290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62176" y="28575"/>
          <a:ext cx="1600200" cy="921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85725</xdr:colOff>
      <xdr:row>0</xdr:row>
      <xdr:rowOff>142875</xdr:rowOff>
    </xdr:from>
    <xdr:to>
      <xdr:col>1</xdr:col>
      <xdr:colOff>1543050</xdr:colOff>
      <xdr:row>4</xdr:row>
      <xdr:rowOff>98553</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1950" y="142875"/>
          <a:ext cx="1457325" cy="71767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828675</xdr:colOff>
          <xdr:row>0</xdr:row>
          <xdr:rowOff>142875</xdr:rowOff>
        </xdr:from>
        <xdr:to>
          <xdr:col>2</xdr:col>
          <xdr:colOff>1828800</xdr:colOff>
          <xdr:row>4</xdr:row>
          <xdr:rowOff>133350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47625</xdr:colOff>
          <xdr:row>0</xdr:row>
          <xdr:rowOff>190500</xdr:rowOff>
        </xdr:from>
        <xdr:to>
          <xdr:col>5</xdr:col>
          <xdr:colOff>1352550</xdr:colOff>
          <xdr:row>5</xdr:row>
          <xdr:rowOff>190500</xdr:rowOff>
        </xdr:to>
        <xdr:sp macro="" textlink="">
          <xdr:nvSpPr>
            <xdr:cNvPr id="3073" name="Object 1" hidden="1">
              <a:extLst>
                <a:ext uri="{63B3BB69-23CF-44E3-9099-C40C66FF867C}">
                  <a14:compatExt spid="_x0000_s307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5</xdr:col>
      <xdr:colOff>828675</xdr:colOff>
      <xdr:row>52</xdr:row>
      <xdr:rowOff>0</xdr:rowOff>
    </xdr:from>
    <xdr:to>
      <xdr:col>8</xdr:col>
      <xdr:colOff>298339</xdr:colOff>
      <xdr:row>65</xdr:row>
      <xdr:rowOff>930</xdr:rowOff>
    </xdr:to>
    <xdr:pic>
      <xdr:nvPicPr>
        <xdr:cNvPr id="3" name="Grafik 2"/>
        <xdr:cNvPicPr>
          <a:picLocks noChangeAspect="1"/>
        </xdr:cNvPicPr>
      </xdr:nvPicPr>
      <xdr:blipFill>
        <a:blip xmlns:r="http://schemas.openxmlformats.org/officeDocument/2006/relationships" r:embed="rId1"/>
        <a:stretch>
          <a:fillRect/>
        </a:stretch>
      </xdr:blipFill>
      <xdr:spPr>
        <a:xfrm>
          <a:off x="8505825" y="11668125"/>
          <a:ext cx="4517914" cy="2715555"/>
        </a:xfrm>
        <a:prstGeom prst="rect">
          <a:avLst/>
        </a:prstGeom>
      </xdr:spPr>
    </xdr:pic>
    <xdr:clientData/>
  </xdr:twoCellAnchor>
  <xdr:twoCellAnchor>
    <xdr:from>
      <xdr:col>5</xdr:col>
      <xdr:colOff>28576</xdr:colOff>
      <xdr:row>52</xdr:row>
      <xdr:rowOff>85725</xdr:rowOff>
    </xdr:from>
    <xdr:to>
      <xdr:col>5</xdr:col>
      <xdr:colOff>790576</xdr:colOff>
      <xdr:row>52</xdr:row>
      <xdr:rowOff>390525</xdr:rowOff>
    </xdr:to>
    <xdr:sp macro="" textlink="">
      <xdr:nvSpPr>
        <xdr:cNvPr id="4" name="Pfeil nach rechts 3"/>
        <xdr:cNvSpPr/>
      </xdr:nvSpPr>
      <xdr:spPr>
        <a:xfrm>
          <a:off x="7705726" y="11753850"/>
          <a:ext cx="762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5</xdr:col>
      <xdr:colOff>781050</xdr:colOff>
      <xdr:row>95</xdr:row>
      <xdr:rowOff>66675</xdr:rowOff>
    </xdr:from>
    <xdr:to>
      <xdr:col>10</xdr:col>
      <xdr:colOff>476031</xdr:colOff>
      <xdr:row>108</xdr:row>
      <xdr:rowOff>250556</xdr:rowOff>
    </xdr:to>
    <xdr:pic>
      <xdr:nvPicPr>
        <xdr:cNvPr id="5" name="Grafik 4"/>
        <xdr:cNvPicPr>
          <a:picLocks noChangeAspect="1"/>
        </xdr:cNvPicPr>
      </xdr:nvPicPr>
      <xdr:blipFill>
        <a:blip xmlns:r="http://schemas.openxmlformats.org/officeDocument/2006/relationships" r:embed="rId2"/>
        <a:stretch>
          <a:fillRect/>
        </a:stretch>
      </xdr:blipFill>
      <xdr:spPr>
        <a:xfrm>
          <a:off x="8458200" y="20450175"/>
          <a:ext cx="6267231" cy="2755631"/>
        </a:xfrm>
        <a:prstGeom prst="rect">
          <a:avLst/>
        </a:prstGeom>
      </xdr:spPr>
    </xdr:pic>
    <xdr:clientData/>
  </xdr:twoCellAnchor>
  <xdr:twoCellAnchor>
    <xdr:from>
      <xdr:col>5</xdr:col>
      <xdr:colOff>0</xdr:colOff>
      <xdr:row>108</xdr:row>
      <xdr:rowOff>0</xdr:rowOff>
    </xdr:from>
    <xdr:to>
      <xdr:col>5</xdr:col>
      <xdr:colOff>752475</xdr:colOff>
      <xdr:row>108</xdr:row>
      <xdr:rowOff>304800</xdr:rowOff>
    </xdr:to>
    <xdr:sp macro="" textlink="">
      <xdr:nvSpPr>
        <xdr:cNvPr id="11" name="Pfeil nach rechts 10"/>
        <xdr:cNvSpPr/>
      </xdr:nvSpPr>
      <xdr:spPr>
        <a:xfrm>
          <a:off x="7677150" y="22955250"/>
          <a:ext cx="752475"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6</xdr:col>
      <xdr:colOff>0</xdr:colOff>
      <xdr:row>385</xdr:row>
      <xdr:rowOff>0</xdr:rowOff>
    </xdr:from>
    <xdr:to>
      <xdr:col>9</xdr:col>
      <xdr:colOff>276634</xdr:colOff>
      <xdr:row>401</xdr:row>
      <xdr:rowOff>160308</xdr:rowOff>
    </xdr:to>
    <xdr:pic>
      <xdr:nvPicPr>
        <xdr:cNvPr id="12" name="Grafik 11"/>
        <xdr:cNvPicPr>
          <a:picLocks noChangeAspect="1"/>
        </xdr:cNvPicPr>
      </xdr:nvPicPr>
      <xdr:blipFill>
        <a:blip xmlns:r="http://schemas.openxmlformats.org/officeDocument/2006/relationships" r:embed="rId3"/>
        <a:stretch>
          <a:fillRect/>
        </a:stretch>
      </xdr:blipFill>
      <xdr:spPr>
        <a:xfrm>
          <a:off x="8439150" y="77943075"/>
          <a:ext cx="4724809" cy="3322608"/>
        </a:xfrm>
        <a:prstGeom prst="rect">
          <a:avLst/>
        </a:prstGeom>
      </xdr:spPr>
    </xdr:pic>
    <xdr:clientData/>
  </xdr:twoCellAnchor>
  <xdr:twoCellAnchor>
    <xdr:from>
      <xdr:col>5</xdr:col>
      <xdr:colOff>0</xdr:colOff>
      <xdr:row>385</xdr:row>
      <xdr:rowOff>0</xdr:rowOff>
    </xdr:from>
    <xdr:to>
      <xdr:col>5</xdr:col>
      <xdr:colOff>752475</xdr:colOff>
      <xdr:row>386</xdr:row>
      <xdr:rowOff>19050</xdr:rowOff>
    </xdr:to>
    <xdr:sp macro="" textlink="">
      <xdr:nvSpPr>
        <xdr:cNvPr id="13" name="Pfeil nach rechts 12"/>
        <xdr:cNvSpPr/>
      </xdr:nvSpPr>
      <xdr:spPr>
        <a:xfrm>
          <a:off x="7677150" y="77943075"/>
          <a:ext cx="752475"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5</xdr:col>
      <xdr:colOff>828675</xdr:colOff>
      <xdr:row>112</xdr:row>
      <xdr:rowOff>76200</xdr:rowOff>
    </xdr:from>
    <xdr:to>
      <xdr:col>10</xdr:col>
      <xdr:colOff>704850</xdr:colOff>
      <xdr:row>131</xdr:row>
      <xdr:rowOff>180975</xdr:rowOff>
    </xdr:to>
    <xdr:pic>
      <xdr:nvPicPr>
        <xdr:cNvPr id="18" name="Grafik 1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505825" y="24031575"/>
          <a:ext cx="6448425" cy="469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19050</xdr:colOff>
      <xdr:row>112</xdr:row>
      <xdr:rowOff>28575</xdr:rowOff>
    </xdr:from>
    <xdr:to>
      <xdr:col>5</xdr:col>
      <xdr:colOff>771525</xdr:colOff>
      <xdr:row>113</xdr:row>
      <xdr:rowOff>47625</xdr:rowOff>
    </xdr:to>
    <xdr:sp macro="" textlink="">
      <xdr:nvSpPr>
        <xdr:cNvPr id="19" name="Pfeil nach rechts 18"/>
        <xdr:cNvSpPr/>
      </xdr:nvSpPr>
      <xdr:spPr>
        <a:xfrm>
          <a:off x="7696200" y="23983950"/>
          <a:ext cx="752475"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mc:AlternateContent xmlns:mc="http://schemas.openxmlformats.org/markup-compatibility/2006">
    <mc:Choice xmlns:a14="http://schemas.microsoft.com/office/drawing/2010/main" Requires="a14">
      <xdr:twoCellAnchor editAs="oneCell">
        <xdr:from>
          <xdr:col>5</xdr:col>
          <xdr:colOff>66675</xdr:colOff>
          <xdr:row>1</xdr:row>
          <xdr:rowOff>19050</xdr:rowOff>
        </xdr:from>
        <xdr:to>
          <xdr:col>5</xdr:col>
          <xdr:colOff>1333500</xdr:colOff>
          <xdr:row>5</xdr:row>
          <xdr:rowOff>180975</xdr:rowOff>
        </xdr:to>
        <xdr:sp macro="" textlink="">
          <xdr:nvSpPr>
            <xdr:cNvPr id="2050" name="Object 2" hidden="1">
              <a:extLst>
                <a:ext uri="{63B3BB69-23CF-44E3-9099-C40C66FF867C}">
                  <a14:compatExt spid="_x0000_s205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4.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5.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3:D31"/>
  <sheetViews>
    <sheetView tabSelected="1" workbookViewId="0">
      <selection activeCell="F16" sqref="F16"/>
    </sheetView>
  </sheetViews>
  <sheetFormatPr defaultColWidth="11.42578125" defaultRowHeight="15" x14ac:dyDescent="0.25"/>
  <cols>
    <col min="1" max="1" width="4.140625" style="163" customWidth="1"/>
    <col min="2" max="2" width="80.5703125" style="163" customWidth="1"/>
    <col min="3" max="3" width="28.140625" style="163" customWidth="1"/>
    <col min="4" max="16384" width="11.42578125" style="163"/>
  </cols>
  <sheetData>
    <row r="3" spans="2:4" x14ac:dyDescent="0.25">
      <c r="D3" s="163" t="s">
        <v>313</v>
      </c>
    </row>
    <row r="6" spans="2:4" ht="15.75" x14ac:dyDescent="0.25">
      <c r="B6" s="17" t="s">
        <v>305</v>
      </c>
      <c r="C6" s="77" t="s">
        <v>312</v>
      </c>
    </row>
    <row r="7" spans="2:4" x14ac:dyDescent="0.25">
      <c r="B7" s="170"/>
      <c r="C7" s="171"/>
    </row>
    <row r="8" spans="2:4" x14ac:dyDescent="0.25">
      <c r="B8" s="167" t="s">
        <v>311</v>
      </c>
      <c r="C8" s="168"/>
    </row>
    <row r="9" spans="2:4" x14ac:dyDescent="0.25">
      <c r="B9" s="169"/>
      <c r="C9" s="168"/>
    </row>
    <row r="10" spans="2:4" x14ac:dyDescent="0.25">
      <c r="B10" s="169"/>
      <c r="C10" s="168"/>
    </row>
    <row r="11" spans="2:4" x14ac:dyDescent="0.25">
      <c r="B11" s="169"/>
      <c r="C11" s="168"/>
    </row>
    <row r="12" spans="2:4" x14ac:dyDescent="0.25">
      <c r="B12" s="169"/>
      <c r="C12" s="168"/>
    </row>
    <row r="13" spans="2:4" x14ac:dyDescent="0.25">
      <c r="B13" s="169"/>
      <c r="C13" s="168"/>
    </row>
    <row r="14" spans="2:4" x14ac:dyDescent="0.25">
      <c r="B14" s="169"/>
      <c r="C14" s="168"/>
    </row>
    <row r="15" spans="2:4" x14ac:dyDescent="0.25">
      <c r="B15" s="169"/>
      <c r="C15" s="168"/>
    </row>
    <row r="16" spans="2:4" x14ac:dyDescent="0.25">
      <c r="B16" s="169"/>
      <c r="C16" s="168"/>
    </row>
    <row r="17" spans="2:3" x14ac:dyDescent="0.25">
      <c r="B17" s="169"/>
      <c r="C17" s="168"/>
    </row>
    <row r="18" spans="2:3" x14ac:dyDescent="0.25">
      <c r="B18" s="169"/>
      <c r="C18" s="168"/>
    </row>
    <row r="19" spans="2:3" x14ac:dyDescent="0.25">
      <c r="B19" s="169"/>
      <c r="C19" s="168"/>
    </row>
    <row r="20" spans="2:3" x14ac:dyDescent="0.25">
      <c r="B20" s="169"/>
      <c r="C20" s="168"/>
    </row>
    <row r="21" spans="2:3" x14ac:dyDescent="0.25">
      <c r="B21" s="169"/>
      <c r="C21" s="168"/>
    </row>
    <row r="22" spans="2:3" x14ac:dyDescent="0.25">
      <c r="B22" s="169"/>
      <c r="C22" s="168"/>
    </row>
    <row r="23" spans="2:3" x14ac:dyDescent="0.25">
      <c r="B23" s="169"/>
      <c r="C23" s="168"/>
    </row>
    <row r="24" spans="2:3" x14ac:dyDescent="0.25">
      <c r="B24" s="169"/>
      <c r="C24" s="168"/>
    </row>
    <row r="25" spans="2:3" x14ac:dyDescent="0.25">
      <c r="B25" s="169"/>
      <c r="C25" s="168"/>
    </row>
    <row r="26" spans="2:3" x14ac:dyDescent="0.25">
      <c r="B26" s="169"/>
      <c r="C26" s="168"/>
    </row>
    <row r="27" spans="2:3" x14ac:dyDescent="0.25">
      <c r="B27" s="169"/>
      <c r="C27" s="168"/>
    </row>
    <row r="28" spans="2:3" x14ac:dyDescent="0.25">
      <c r="B28" s="169"/>
      <c r="C28" s="168"/>
    </row>
    <row r="29" spans="2:3" ht="114" customHeight="1" x14ac:dyDescent="0.25">
      <c r="B29" s="169"/>
      <c r="C29" s="168"/>
    </row>
    <row r="30" spans="2:3" x14ac:dyDescent="0.25">
      <c r="B30" s="164"/>
    </row>
    <row r="31" spans="2:3" x14ac:dyDescent="0.25">
      <c r="B31" s="164"/>
    </row>
  </sheetData>
  <sheetProtection algorithmName="SHA-512" hashValue="Cx6GsBFTCAmG+63+8aKDe3DsRka/caHbXNTifUx5/fEdLzSZJV96y9VLC4sEAnyrGFiqAOqWZrXjmTscrmmKuQ==" saltValue="/w50iJYcbauVa+BzK9w2qA==" spinCount="100000" sheet="1" objects="1" scenarios="1" selectLockedCells="1"/>
  <mergeCells count="2">
    <mergeCell ref="B8:C29"/>
    <mergeCell ref="B7:C7"/>
  </mergeCells>
  <pageMargins left="0.7" right="0.7" top="0.78740157499999996" bottom="0.78740157499999996" header="0.3" footer="0.3"/>
  <pageSetup paperSize="9" orientation="portrait" verticalDpi="0" r:id="rId1"/>
  <drawing r:id="rId2"/>
  <legacyDrawing r:id="rId3"/>
  <oleObjects>
    <mc:AlternateContent xmlns:mc="http://schemas.openxmlformats.org/markup-compatibility/2006">
      <mc:Choice Requires="x14">
        <oleObject progId="AcroExch.Document.DC" dvAspect="DVASPECT_ICON" shapeId="1025" r:id="rId4">
          <objectPr locked="0" defaultSize="0" autoPict="0" r:id="rId5">
            <anchor moveWithCells="1">
              <from>
                <xdr:col>2</xdr:col>
                <xdr:colOff>828675</xdr:colOff>
                <xdr:row>0</xdr:row>
                <xdr:rowOff>142875</xdr:rowOff>
              </from>
              <to>
                <xdr:col>2</xdr:col>
                <xdr:colOff>1828800</xdr:colOff>
                <xdr:row>4</xdr:row>
                <xdr:rowOff>133350</xdr:rowOff>
              </to>
            </anchor>
          </objectPr>
        </oleObject>
      </mc:Choice>
      <mc:Fallback>
        <oleObject progId="AcroExch.Document.DC" dvAspect="DVASPECT_ICON"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2:O73"/>
  <sheetViews>
    <sheetView zoomScaleNormal="100" zoomScaleSheetLayoutView="100" workbookViewId="0">
      <selection activeCell="G15" sqref="G15"/>
    </sheetView>
  </sheetViews>
  <sheetFormatPr defaultColWidth="11.42578125" defaultRowHeight="15" x14ac:dyDescent="0.25"/>
  <cols>
    <col min="1" max="1" width="3" style="54" customWidth="1"/>
    <col min="2" max="2" width="38.28515625" style="67" customWidth="1"/>
    <col min="3" max="3" width="22.28515625" style="56" customWidth="1"/>
    <col min="4" max="4" width="15.5703125" style="67" customWidth="1"/>
    <col min="5" max="5" width="49.42578125" style="78" customWidth="1"/>
    <col min="6" max="6" width="20.85546875" style="54" customWidth="1"/>
    <col min="7" max="7" width="24" style="93" customWidth="1"/>
    <col min="8" max="8" width="11.42578125" style="54"/>
    <col min="9" max="14" width="11.42578125" style="55"/>
    <col min="15" max="15" width="26.140625" style="55" hidden="1" customWidth="1"/>
    <col min="16" max="16384" width="11.42578125" style="55"/>
  </cols>
  <sheetData>
    <row r="2" spans="2:15" ht="15.75" x14ac:dyDescent="0.25">
      <c r="B2" s="17" t="s">
        <v>305</v>
      </c>
      <c r="C2" s="86"/>
      <c r="D2" s="76"/>
      <c r="E2" s="77" t="s">
        <v>312</v>
      </c>
    </row>
    <row r="3" spans="2:15" ht="15.75" x14ac:dyDescent="0.25">
      <c r="B3" s="65"/>
      <c r="C3" s="67"/>
    </row>
    <row r="4" spans="2:15" ht="15.75" x14ac:dyDescent="0.25">
      <c r="B4" s="65" t="s">
        <v>26</v>
      </c>
      <c r="C4" s="57" t="s">
        <v>111</v>
      </c>
      <c r="D4" s="58"/>
      <c r="E4" s="59"/>
      <c r="G4" s="166" t="s">
        <v>313</v>
      </c>
    </row>
    <row r="5" spans="2:15" x14ac:dyDescent="0.25">
      <c r="B5" s="66" t="s">
        <v>27</v>
      </c>
      <c r="C5" s="60" t="s">
        <v>112</v>
      </c>
      <c r="D5" s="61"/>
      <c r="E5" s="62"/>
    </row>
    <row r="6" spans="2:15" ht="15.75" thickBot="1" x14ac:dyDescent="0.3">
      <c r="C6" s="79"/>
      <c r="D6" s="79"/>
      <c r="E6" s="80"/>
    </row>
    <row r="7" spans="2:15" ht="16.5" thickBot="1" x14ac:dyDescent="0.3">
      <c r="B7" s="123" t="s">
        <v>206</v>
      </c>
      <c r="C7" s="124"/>
      <c r="D7" s="124"/>
      <c r="E7" s="125"/>
    </row>
    <row r="8" spans="2:15" x14ac:dyDescent="0.25">
      <c r="B8" s="129" t="s">
        <v>208</v>
      </c>
      <c r="C8" s="130" t="s">
        <v>205</v>
      </c>
      <c r="D8" s="131" t="s">
        <v>19</v>
      </c>
      <c r="E8" s="132" t="s">
        <v>28</v>
      </c>
    </row>
    <row r="9" spans="2:15" ht="67.5" x14ac:dyDescent="0.25">
      <c r="B9" s="68" t="s">
        <v>37</v>
      </c>
      <c r="C9" s="94">
        <v>40000</v>
      </c>
      <c r="D9" s="81" t="s">
        <v>207</v>
      </c>
      <c r="E9" s="36" t="s">
        <v>293</v>
      </c>
      <c r="O9" s="99">
        <v>1000</v>
      </c>
    </row>
    <row r="10" spans="2:15" ht="24" x14ac:dyDescent="0.25">
      <c r="B10" s="68" t="s">
        <v>38</v>
      </c>
      <c r="C10" s="94">
        <v>120</v>
      </c>
      <c r="D10" s="81" t="s">
        <v>0</v>
      </c>
      <c r="E10" s="36" t="s">
        <v>210</v>
      </c>
      <c r="O10" s="100">
        <v>565</v>
      </c>
    </row>
    <row r="11" spans="2:15" x14ac:dyDescent="0.25">
      <c r="B11" s="129" t="s">
        <v>209</v>
      </c>
      <c r="C11" s="130" t="s">
        <v>205</v>
      </c>
      <c r="D11" s="131" t="s">
        <v>19</v>
      </c>
      <c r="E11" s="132" t="s">
        <v>28</v>
      </c>
      <c r="O11" s="101">
        <v>100</v>
      </c>
    </row>
    <row r="12" spans="2:15" ht="35.25" x14ac:dyDescent="0.25">
      <c r="B12" s="71" t="s">
        <v>280</v>
      </c>
      <c r="C12" s="95">
        <v>565</v>
      </c>
      <c r="D12" s="81" t="s">
        <v>211</v>
      </c>
      <c r="E12" s="36" t="s">
        <v>213</v>
      </c>
      <c r="O12" s="93"/>
    </row>
    <row r="13" spans="2:15" x14ac:dyDescent="0.25">
      <c r="B13" s="135" t="s">
        <v>299</v>
      </c>
      <c r="C13" s="136" t="s">
        <v>136</v>
      </c>
      <c r="D13" s="84"/>
      <c r="E13" s="142" t="s">
        <v>294</v>
      </c>
      <c r="O13" s="137" t="s">
        <v>137</v>
      </c>
    </row>
    <row r="14" spans="2:15" ht="22.5" x14ac:dyDescent="0.25">
      <c r="B14" s="135" t="s">
        <v>300</v>
      </c>
      <c r="C14" s="136" t="s">
        <v>136</v>
      </c>
      <c r="D14" s="84"/>
      <c r="E14" s="142" t="s">
        <v>294</v>
      </c>
      <c r="O14" s="138" t="s">
        <v>136</v>
      </c>
    </row>
    <row r="15" spans="2:15" x14ac:dyDescent="0.25">
      <c r="B15" s="129" t="s">
        <v>212</v>
      </c>
      <c r="C15" s="130" t="s">
        <v>205</v>
      </c>
      <c r="D15" s="131" t="s">
        <v>19</v>
      </c>
      <c r="E15" s="132" t="s">
        <v>28</v>
      </c>
    </row>
    <row r="16" spans="2:15" x14ac:dyDescent="0.25">
      <c r="B16" s="68" t="s">
        <v>14</v>
      </c>
      <c r="C16" s="64">
        <v>0.15</v>
      </c>
      <c r="D16" s="81" t="s">
        <v>119</v>
      </c>
      <c r="E16" s="36" t="s">
        <v>310</v>
      </c>
    </row>
    <row r="17" spans="2:5" x14ac:dyDescent="0.25">
      <c r="B17" s="68" t="s">
        <v>123</v>
      </c>
      <c r="C17" s="64">
        <v>10</v>
      </c>
      <c r="D17" s="81" t="s">
        <v>124</v>
      </c>
      <c r="E17" s="36" t="s">
        <v>214</v>
      </c>
    </row>
    <row r="18" spans="2:5" x14ac:dyDescent="0.25">
      <c r="B18" s="70" t="s">
        <v>301</v>
      </c>
      <c r="C18" s="63">
        <v>10000</v>
      </c>
      <c r="D18" s="81" t="s">
        <v>125</v>
      </c>
      <c r="E18" s="36" t="s">
        <v>302</v>
      </c>
    </row>
    <row r="19" spans="2:5" ht="15.75" thickBot="1" x14ac:dyDescent="0.3">
      <c r="C19" s="67"/>
      <c r="E19" s="29"/>
    </row>
    <row r="20" spans="2:5" ht="16.5" thickBot="1" x14ac:dyDescent="0.3">
      <c r="B20" s="123" t="s">
        <v>298</v>
      </c>
      <c r="C20" s="124"/>
      <c r="D20" s="124"/>
      <c r="E20" s="125"/>
    </row>
    <row r="21" spans="2:5" x14ac:dyDescent="0.25">
      <c r="B21" s="133" t="s">
        <v>187</v>
      </c>
      <c r="C21" s="126" t="s">
        <v>273</v>
      </c>
      <c r="D21" s="127" t="s">
        <v>19</v>
      </c>
      <c r="E21" s="128" t="s">
        <v>28</v>
      </c>
    </row>
    <row r="22" spans="2:5" x14ac:dyDescent="0.25">
      <c r="B22" s="68" t="s">
        <v>161</v>
      </c>
      <c r="C22" s="145">
        <f>'Advanced Module'!C99</f>
        <v>567648</v>
      </c>
      <c r="D22" s="81" t="s">
        <v>17</v>
      </c>
      <c r="E22" s="2"/>
    </row>
    <row r="23" spans="2:5" x14ac:dyDescent="0.25">
      <c r="B23" s="68" t="s">
        <v>114</v>
      </c>
      <c r="C23" s="145">
        <f>'Advanced Module'!C112</f>
        <v>1106913.5999999999</v>
      </c>
      <c r="D23" s="81" t="s">
        <v>2</v>
      </c>
      <c r="E23" s="2"/>
    </row>
    <row r="24" spans="2:5" x14ac:dyDescent="0.25">
      <c r="B24" s="72" t="s">
        <v>248</v>
      </c>
      <c r="C24" s="146" t="str">
        <f>'Advanced Module'!C44</f>
        <v>NO</v>
      </c>
      <c r="D24" s="83" t="s">
        <v>32</v>
      </c>
      <c r="E24" s="87"/>
    </row>
    <row r="25" spans="2:5" x14ac:dyDescent="0.25">
      <c r="B25" s="72" t="s">
        <v>190</v>
      </c>
      <c r="C25" s="146" t="str">
        <f>'Advanced Module'!C50</f>
        <v>NO</v>
      </c>
      <c r="D25" s="83" t="s">
        <v>32</v>
      </c>
      <c r="E25" s="87"/>
    </row>
    <row r="26" spans="2:5" x14ac:dyDescent="0.25">
      <c r="B26" s="140" t="s">
        <v>278</v>
      </c>
      <c r="C26" s="154">
        <f>'Advanced Module'!C124</f>
        <v>-625.40618399999983</v>
      </c>
      <c r="D26" s="141" t="s">
        <v>282</v>
      </c>
      <c r="E26" s="89"/>
    </row>
    <row r="27" spans="2:5" x14ac:dyDescent="0.25">
      <c r="B27" s="37" t="s">
        <v>306</v>
      </c>
      <c r="C27" s="155">
        <f>'Advanced Module'!C125</f>
        <v>0</v>
      </c>
      <c r="D27" s="4" t="s">
        <v>282</v>
      </c>
      <c r="E27" s="2"/>
    </row>
    <row r="28" spans="2:5" x14ac:dyDescent="0.25">
      <c r="B28" s="144" t="s">
        <v>281</v>
      </c>
      <c r="C28" s="156">
        <f>'Advanced Module'!C126</f>
        <v>-625.40618399999983</v>
      </c>
      <c r="D28" s="139" t="s">
        <v>283</v>
      </c>
      <c r="E28" s="34"/>
    </row>
    <row r="29" spans="2:5" x14ac:dyDescent="0.25">
      <c r="B29" s="73" t="s">
        <v>120</v>
      </c>
      <c r="C29" s="147">
        <f>'Advanced Module'!C130</f>
        <v>-166037.03999999998</v>
      </c>
      <c r="D29" s="84" t="s">
        <v>122</v>
      </c>
      <c r="E29" s="88"/>
    </row>
    <row r="30" spans="2:5" x14ac:dyDescent="0.25">
      <c r="B30" s="68" t="s">
        <v>15</v>
      </c>
      <c r="C30" s="145">
        <f>'Advanced Module'!C133</f>
        <v>-75600</v>
      </c>
      <c r="D30" s="81" t="s">
        <v>122</v>
      </c>
      <c r="E30" s="2"/>
    </row>
    <row r="31" spans="2:5" x14ac:dyDescent="0.25">
      <c r="B31" s="68" t="s">
        <v>16</v>
      </c>
      <c r="C31" s="145">
        <f>'Advanced Module'!C137</f>
        <v>-28336.695652173919</v>
      </c>
      <c r="D31" s="81" t="s">
        <v>122</v>
      </c>
      <c r="E31" s="2"/>
    </row>
    <row r="32" spans="2:5" x14ac:dyDescent="0.25">
      <c r="B32" s="70" t="s">
        <v>188</v>
      </c>
      <c r="C32" s="145">
        <f>'Advanced Module'!C139+'Advanced Module'!C140</f>
        <v>52353.382252430019</v>
      </c>
      <c r="D32" s="81" t="s">
        <v>122</v>
      </c>
      <c r="E32" s="2"/>
    </row>
    <row r="33" spans="2:5" x14ac:dyDescent="0.25">
      <c r="B33" s="74" t="s">
        <v>21</v>
      </c>
      <c r="C33" s="148">
        <f>'Advanced Module'!C141</f>
        <v>-217620.35339974385</v>
      </c>
      <c r="D33" s="85" t="s">
        <v>122</v>
      </c>
      <c r="E33" s="34"/>
    </row>
    <row r="34" spans="2:5" x14ac:dyDescent="0.25">
      <c r="B34" s="73" t="s">
        <v>193</v>
      </c>
      <c r="C34" s="147">
        <f>'Advanced Module'!C147</f>
        <v>1658.5714285714284</v>
      </c>
      <c r="D34" s="81" t="s">
        <v>8</v>
      </c>
      <c r="E34" s="89"/>
    </row>
    <row r="35" spans="2:5" x14ac:dyDescent="0.25">
      <c r="B35" s="75" t="s">
        <v>18</v>
      </c>
      <c r="C35" s="145">
        <f>'Advanced Module'!C148</f>
        <v>311.04000000000002</v>
      </c>
      <c r="D35" s="81" t="s">
        <v>8</v>
      </c>
      <c r="E35" s="2"/>
    </row>
    <row r="36" spans="2:5" x14ac:dyDescent="0.25">
      <c r="B36" s="69" t="s">
        <v>132</v>
      </c>
      <c r="C36" s="149">
        <f>'Advanced Module'!C149</f>
        <v>151.63200000000001</v>
      </c>
      <c r="D36" s="82" t="s">
        <v>20</v>
      </c>
      <c r="E36" s="34"/>
    </row>
    <row r="37" spans="2:5" x14ac:dyDescent="0.25">
      <c r="B37" s="133" t="s">
        <v>189</v>
      </c>
      <c r="C37" s="134" t="s">
        <v>273</v>
      </c>
      <c r="D37" s="127" t="s">
        <v>19</v>
      </c>
      <c r="E37" s="128" t="s">
        <v>28</v>
      </c>
    </row>
    <row r="38" spans="2:5" x14ac:dyDescent="0.25">
      <c r="B38" s="68" t="s">
        <v>161</v>
      </c>
      <c r="C38" s="145">
        <f>'Advanced Module'!C229</f>
        <v>541893.6</v>
      </c>
      <c r="D38" s="81" t="s">
        <v>17</v>
      </c>
      <c r="E38" s="2"/>
    </row>
    <row r="39" spans="2:5" x14ac:dyDescent="0.25">
      <c r="B39" s="68" t="s">
        <v>114</v>
      </c>
      <c r="C39" s="145">
        <f>'Advanced Module'!C242</f>
        <v>1056692.52</v>
      </c>
      <c r="D39" s="81" t="s">
        <v>2</v>
      </c>
      <c r="E39" s="2"/>
    </row>
    <row r="40" spans="2:5" x14ac:dyDescent="0.25">
      <c r="B40" s="72" t="s">
        <v>248</v>
      </c>
      <c r="C40" s="146" t="str">
        <f>'Advanced Module'!C178</f>
        <v>NO</v>
      </c>
      <c r="D40" s="83" t="s">
        <v>32</v>
      </c>
      <c r="E40" s="87"/>
    </row>
    <row r="41" spans="2:5" x14ac:dyDescent="0.25">
      <c r="B41" s="140" t="s">
        <v>278</v>
      </c>
      <c r="C41" s="154">
        <f>'Advanced Module'!C254</f>
        <v>-597.03127380000001</v>
      </c>
      <c r="D41" s="141" t="s">
        <v>282</v>
      </c>
      <c r="E41" s="89"/>
    </row>
    <row r="42" spans="2:5" x14ac:dyDescent="0.25">
      <c r="B42" s="37" t="s">
        <v>306</v>
      </c>
      <c r="C42" s="155">
        <f>'Advanced Module'!C255</f>
        <v>0</v>
      </c>
      <c r="D42" s="4" t="s">
        <v>282</v>
      </c>
      <c r="E42" s="2"/>
    </row>
    <row r="43" spans="2:5" x14ac:dyDescent="0.25">
      <c r="B43" s="144" t="s">
        <v>281</v>
      </c>
      <c r="C43" s="156">
        <f>'Advanced Module'!C256</f>
        <v>-597.03127380000001</v>
      </c>
      <c r="D43" s="139" t="s">
        <v>283</v>
      </c>
      <c r="E43" s="34"/>
    </row>
    <row r="44" spans="2:5" x14ac:dyDescent="0.25">
      <c r="B44" s="73" t="s">
        <v>120</v>
      </c>
      <c r="C44" s="147">
        <f>'Advanced Module'!C260</f>
        <v>-158503.878</v>
      </c>
      <c r="D44" s="84" t="s">
        <v>122</v>
      </c>
      <c r="E44" s="88"/>
    </row>
    <row r="45" spans="2:5" x14ac:dyDescent="0.25">
      <c r="B45" s="68" t="s">
        <v>16</v>
      </c>
      <c r="C45" s="145">
        <f>'Advanced Module'!C264</f>
        <v>-26843.686956521738</v>
      </c>
      <c r="D45" s="81" t="s">
        <v>122</v>
      </c>
      <c r="E45" s="2"/>
    </row>
    <row r="46" spans="2:5" x14ac:dyDescent="0.25">
      <c r="B46" s="70" t="s">
        <v>188</v>
      </c>
      <c r="C46" s="145">
        <f>'Advanced Module'!C266+'Advanced Module'!C267</f>
        <v>52353.382252430019</v>
      </c>
      <c r="D46" s="81" t="s">
        <v>122</v>
      </c>
      <c r="E46" s="2"/>
    </row>
    <row r="47" spans="2:5" x14ac:dyDescent="0.25">
      <c r="B47" s="74" t="s">
        <v>21</v>
      </c>
      <c r="C47" s="148">
        <f>'Advanced Module'!C268</f>
        <v>-132994.18270409171</v>
      </c>
      <c r="D47" s="85" t="s">
        <v>122</v>
      </c>
      <c r="E47" s="34"/>
    </row>
    <row r="48" spans="2:5" x14ac:dyDescent="0.25">
      <c r="B48" s="73" t="s">
        <v>193</v>
      </c>
      <c r="C48" s="147">
        <f>'Advanced Module'!C272</f>
        <v>1574.5714285714284</v>
      </c>
      <c r="D48" s="81" t="s">
        <v>8</v>
      </c>
      <c r="E48" s="89"/>
    </row>
    <row r="49" spans="2:5" x14ac:dyDescent="0.25">
      <c r="B49" s="75" t="s">
        <v>18</v>
      </c>
      <c r="C49" s="145">
        <f>'Advanced Module'!C273</f>
        <v>296.928</v>
      </c>
      <c r="D49" s="81" t="s">
        <v>8</v>
      </c>
      <c r="E49" s="2"/>
    </row>
    <row r="50" spans="2:5" x14ac:dyDescent="0.25">
      <c r="B50" s="69" t="s">
        <v>132</v>
      </c>
      <c r="C50" s="149">
        <f>'Advanced Module'!C274</f>
        <v>144.75239999999999</v>
      </c>
      <c r="D50" s="82" t="s">
        <v>20</v>
      </c>
      <c r="E50" s="34"/>
    </row>
    <row r="51" spans="2:5" x14ac:dyDescent="0.25">
      <c r="B51" s="133" t="s">
        <v>152</v>
      </c>
      <c r="C51" s="134" t="s">
        <v>273</v>
      </c>
      <c r="D51" s="127" t="s">
        <v>19</v>
      </c>
      <c r="E51" s="128" t="s">
        <v>28</v>
      </c>
    </row>
    <row r="52" spans="2:5" x14ac:dyDescent="0.25">
      <c r="B52" s="68" t="s">
        <v>161</v>
      </c>
      <c r="C52" s="145">
        <f>'Advanced Module'!C306</f>
        <v>380183.99999999994</v>
      </c>
      <c r="D52" s="81" t="s">
        <v>17</v>
      </c>
      <c r="E52" s="2"/>
    </row>
    <row r="53" spans="2:5" x14ac:dyDescent="0.25">
      <c r="B53" s="68" t="s">
        <v>114</v>
      </c>
      <c r="C53" s="145">
        <f>'Advanced Module'!C317</f>
        <v>741358.79999999993</v>
      </c>
      <c r="D53" s="81" t="s">
        <v>2</v>
      </c>
      <c r="E53" s="2"/>
    </row>
    <row r="54" spans="2:5" x14ac:dyDescent="0.25">
      <c r="B54" s="140" t="s">
        <v>278</v>
      </c>
      <c r="C54" s="154">
        <f>'Advanced Module'!C329</f>
        <v>-418.86772199999996</v>
      </c>
      <c r="D54" s="141" t="s">
        <v>282</v>
      </c>
      <c r="E54" s="89"/>
    </row>
    <row r="55" spans="2:5" x14ac:dyDescent="0.25">
      <c r="B55" s="37" t="s">
        <v>307</v>
      </c>
      <c r="C55" s="155">
        <f>'Advanced Module'!C334</f>
        <v>0</v>
      </c>
      <c r="D55" s="4" t="s">
        <v>282</v>
      </c>
      <c r="E55" s="2"/>
    </row>
    <row r="56" spans="2:5" x14ac:dyDescent="0.25">
      <c r="B56" s="144" t="s">
        <v>281</v>
      </c>
      <c r="C56" s="156">
        <f>'Advanced Module'!C335</f>
        <v>-418.86772199999996</v>
      </c>
      <c r="D56" s="139" t="s">
        <v>283</v>
      </c>
      <c r="E56" s="34"/>
    </row>
    <row r="57" spans="2:5" x14ac:dyDescent="0.25">
      <c r="B57" s="73" t="s">
        <v>120</v>
      </c>
      <c r="C57" s="147">
        <f>'Advanced Module'!C339</f>
        <v>-111203.81999999998</v>
      </c>
      <c r="D57" s="84" t="s">
        <v>122</v>
      </c>
      <c r="E57" s="88"/>
    </row>
    <row r="58" spans="2:5" x14ac:dyDescent="0.25">
      <c r="B58" s="70" t="s">
        <v>188</v>
      </c>
      <c r="C58" s="145">
        <f>'Advanced Module'!C340</f>
        <v>17413.228746383484</v>
      </c>
      <c r="D58" s="81" t="s">
        <v>122</v>
      </c>
      <c r="E58" s="2"/>
    </row>
    <row r="59" spans="2:5" x14ac:dyDescent="0.25">
      <c r="B59" s="74" t="s">
        <v>21</v>
      </c>
      <c r="C59" s="148">
        <f>'Advanced Module'!C341</f>
        <v>-93790.591253616498</v>
      </c>
      <c r="D59" s="85" t="s">
        <v>122</v>
      </c>
      <c r="E59" s="34"/>
    </row>
    <row r="60" spans="2:5" x14ac:dyDescent="0.25">
      <c r="B60" s="73" t="s">
        <v>18</v>
      </c>
      <c r="C60" s="147">
        <f>'Advanced Module'!C343</f>
        <v>208.32</v>
      </c>
      <c r="D60" s="81" t="s">
        <v>8</v>
      </c>
      <c r="E60" s="89"/>
    </row>
    <row r="61" spans="2:5" x14ac:dyDescent="0.25">
      <c r="B61" s="69" t="s">
        <v>132</v>
      </c>
      <c r="C61" s="149">
        <f>'Advanced Module'!C344</f>
        <v>101.55599999999998</v>
      </c>
      <c r="D61" s="82" t="s">
        <v>20</v>
      </c>
      <c r="E61" s="34"/>
    </row>
    <row r="62" spans="2:5" x14ac:dyDescent="0.25">
      <c r="B62" s="133" t="s">
        <v>165</v>
      </c>
      <c r="C62" s="134" t="s">
        <v>273</v>
      </c>
      <c r="D62" s="127" t="s">
        <v>19</v>
      </c>
      <c r="E62" s="128" t="s">
        <v>28</v>
      </c>
    </row>
    <row r="63" spans="2:5" x14ac:dyDescent="0.25">
      <c r="B63" s="68" t="s">
        <v>161</v>
      </c>
      <c r="C63" s="145">
        <f>'Advanced Module'!C374</f>
        <v>450514.2857142858</v>
      </c>
      <c r="D63" s="81" t="s">
        <v>17</v>
      </c>
      <c r="E63" s="2"/>
    </row>
    <row r="64" spans="2:5" x14ac:dyDescent="0.25">
      <c r="B64" s="68" t="s">
        <v>114</v>
      </c>
      <c r="C64" s="145">
        <f>'Advanced Module'!C385</f>
        <v>946080.00000000012</v>
      </c>
      <c r="D64" s="81" t="s">
        <v>2</v>
      </c>
      <c r="E64" s="2"/>
    </row>
    <row r="65" spans="2:5" x14ac:dyDescent="0.25">
      <c r="B65" s="140" t="s">
        <v>278</v>
      </c>
      <c r="C65" s="154">
        <f>'Advanced Module'!C397</f>
        <v>-534.53520000000003</v>
      </c>
      <c r="D65" s="141" t="s">
        <v>282</v>
      </c>
      <c r="E65" s="89"/>
    </row>
    <row r="66" spans="2:5" x14ac:dyDescent="0.25">
      <c r="B66" s="37" t="s">
        <v>308</v>
      </c>
      <c r="C66" s="155">
        <f>'Advanced Module'!C402</f>
        <v>0</v>
      </c>
      <c r="D66" s="4" t="s">
        <v>282</v>
      </c>
      <c r="E66" s="2"/>
    </row>
    <row r="67" spans="2:5" x14ac:dyDescent="0.25">
      <c r="B67" s="144" t="s">
        <v>281</v>
      </c>
      <c r="C67" s="156">
        <f>'Advanced Module'!C403</f>
        <v>-534.53520000000003</v>
      </c>
      <c r="D67" s="139" t="s">
        <v>283</v>
      </c>
      <c r="E67" s="34"/>
    </row>
    <row r="68" spans="2:5" x14ac:dyDescent="0.25">
      <c r="B68" s="73" t="s">
        <v>120</v>
      </c>
      <c r="C68" s="147">
        <f>'Advanced Module'!C407</f>
        <v>-141912.00000000003</v>
      </c>
      <c r="D68" s="84" t="s">
        <v>122</v>
      </c>
      <c r="E68" s="88"/>
    </row>
    <row r="69" spans="2:5" x14ac:dyDescent="0.25">
      <c r="B69" s="70" t="s">
        <v>188</v>
      </c>
      <c r="C69" s="145">
        <f>'Advanced Module'!C408+'Advanced Module'!C409</f>
        <v>24848.836158492071</v>
      </c>
      <c r="D69" s="81" t="s">
        <v>122</v>
      </c>
      <c r="E69" s="2"/>
    </row>
    <row r="70" spans="2:5" x14ac:dyDescent="0.25">
      <c r="B70" s="74" t="s">
        <v>21</v>
      </c>
      <c r="C70" s="148">
        <f>'Advanced Module'!C410</f>
        <v>-117063.16384150795</v>
      </c>
      <c r="D70" s="85" t="s">
        <v>122</v>
      </c>
      <c r="E70" s="34"/>
    </row>
    <row r="71" spans="2:5" x14ac:dyDescent="0.25">
      <c r="B71" s="90" t="s">
        <v>132</v>
      </c>
      <c r="C71" s="150">
        <f>'Advanced Module'!C413</f>
        <v>129.60000000000002</v>
      </c>
      <c r="D71" s="91" t="s">
        <v>20</v>
      </c>
      <c r="E71" s="92"/>
    </row>
    <row r="73" spans="2:5" x14ac:dyDescent="0.25">
      <c r="B73" s="67" t="s">
        <v>195</v>
      </c>
    </row>
  </sheetData>
  <sheetProtection algorithmName="SHA-512" hashValue="HqDMT8yoJtMmuCy5jDMUjGUW4LqFK00hPCHbMXYoCvhia5LsP1DWmh5gLTe0kTJqO5RVAIcoqNVMXRc1aV1vjQ==" saltValue="U+INBOyjtocWU8BhLZPrhw==" spinCount="100000" sheet="1" objects="1" scenarios="1"/>
  <dataValidations count="3">
    <dataValidation allowBlank="1" showInputMessage="1" showErrorMessage="1" promptTitle="GHG emissions" sqref="O9:O11"/>
    <dataValidation type="list" errorStyle="information" showInputMessage="1" showErrorMessage="1" error="Typical value: 0-1000" prompt="Insert default value" sqref="C12">
      <formula1>GHGemissions</formula1>
    </dataValidation>
    <dataValidation type="list" errorStyle="information" showInputMessage="1" showErrorMessage="1" error="Insert &quot;YES&quot; or &quot;NO&quot;" prompt="Insert default value" sqref="C13:C14">
      <formula1>$O$13:$O$14</formula1>
    </dataValidation>
  </dataValidations>
  <pageMargins left="0.70866141732283472" right="0.70866141732283472" top="0.59055118110236227" bottom="0.39370078740157483" header="0.31496062992125984" footer="0.31496062992125984"/>
  <pageSetup paperSize="9" scale="67" orientation="portrait" r:id="rId1"/>
  <drawing r:id="rId2"/>
  <legacyDrawing r:id="rId3"/>
  <oleObjects>
    <mc:AlternateContent xmlns:mc="http://schemas.openxmlformats.org/markup-compatibility/2006">
      <mc:Choice Requires="x14">
        <oleObject progId="AcroExch.Document.DC" dvAspect="DVASPECT_ICON" shapeId="3073" r:id="rId4">
          <objectPr locked="0" defaultSize="0" autoPict="0" r:id="rId5">
            <anchor moveWithCells="1">
              <from>
                <xdr:col>5</xdr:col>
                <xdr:colOff>47625</xdr:colOff>
                <xdr:row>0</xdr:row>
                <xdr:rowOff>190500</xdr:rowOff>
              </from>
              <to>
                <xdr:col>5</xdr:col>
                <xdr:colOff>1352550</xdr:colOff>
                <xdr:row>5</xdr:row>
                <xdr:rowOff>190500</xdr:rowOff>
              </to>
            </anchor>
          </objectPr>
        </oleObject>
      </mc:Choice>
      <mc:Fallback>
        <oleObject progId="AcroExch.Document.DC" dvAspect="DVASPECT_ICON" shapeId="3073"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B2:P418"/>
  <sheetViews>
    <sheetView zoomScaleNormal="100" zoomScaleSheetLayoutView="100" workbookViewId="0">
      <selection activeCell="G25" sqref="G25"/>
    </sheetView>
  </sheetViews>
  <sheetFormatPr defaultColWidth="11.42578125" defaultRowHeight="15" x14ac:dyDescent="0.25"/>
  <cols>
    <col min="1" max="1" width="1.42578125" customWidth="1"/>
    <col min="2" max="2" width="38.28515625" style="8" customWidth="1"/>
    <col min="3" max="3" width="22.28515625" style="8" customWidth="1"/>
    <col min="4" max="4" width="15.5703125" style="8" customWidth="1"/>
    <col min="5" max="5" width="49.42578125" style="29" customWidth="1"/>
    <col min="6" max="6" width="20.42578125" customWidth="1"/>
    <col min="7" max="7" width="26.42578125" bestFit="1" customWidth="1"/>
    <col min="8" max="8" width="28.85546875" customWidth="1"/>
    <col min="15" max="15" width="26.140625" hidden="1" customWidth="1"/>
    <col min="16" max="16" width="26.140625" customWidth="1"/>
  </cols>
  <sheetData>
    <row r="2" spans="2:15" ht="15.75" x14ac:dyDescent="0.25">
      <c r="B2" s="17" t="s">
        <v>305</v>
      </c>
      <c r="C2" s="86"/>
      <c r="D2" s="76"/>
      <c r="E2" s="77" t="s">
        <v>312</v>
      </c>
    </row>
    <row r="3" spans="2:15" ht="15.75" x14ac:dyDescent="0.25">
      <c r="B3" s="9"/>
    </row>
    <row r="4" spans="2:15" ht="15.75" x14ac:dyDescent="0.25">
      <c r="B4" s="65" t="s">
        <v>26</v>
      </c>
      <c r="C4" s="57" t="str">
        <f>'Basic Module'!C4</f>
        <v>(Name of WWTP)</v>
      </c>
      <c r="D4" s="58"/>
      <c r="E4" s="59"/>
      <c r="G4" t="s">
        <v>313</v>
      </c>
    </row>
    <row r="5" spans="2:15" x14ac:dyDescent="0.25">
      <c r="B5" s="66" t="s">
        <v>27</v>
      </c>
      <c r="C5" s="60" t="str">
        <f>'Basic Module'!C5</f>
        <v>(Date)</v>
      </c>
      <c r="D5" s="61"/>
      <c r="E5" s="62"/>
    </row>
    <row r="6" spans="2:15" ht="15" customHeight="1" x14ac:dyDescent="0.25">
      <c r="C6" s="10"/>
      <c r="D6" s="10"/>
      <c r="E6" s="30"/>
    </row>
    <row r="7" spans="2:15" x14ac:dyDescent="0.25">
      <c r="B7" s="20" t="s">
        <v>179</v>
      </c>
      <c r="C7" s="21" t="s">
        <v>205</v>
      </c>
      <c r="D7" s="22" t="s">
        <v>19</v>
      </c>
      <c r="E7" s="31" t="s">
        <v>28</v>
      </c>
    </row>
    <row r="8" spans="2:15" x14ac:dyDescent="0.25">
      <c r="B8" s="11" t="s">
        <v>208</v>
      </c>
      <c r="C8" s="42"/>
      <c r="D8" s="12"/>
      <c r="E8" s="32"/>
    </row>
    <row r="9" spans="2:15" x14ac:dyDescent="0.25">
      <c r="B9" s="1" t="s">
        <v>37</v>
      </c>
      <c r="C9" s="165">
        <f>'Basic Module'!C9</f>
        <v>40000</v>
      </c>
      <c r="D9" s="4" t="s">
        <v>6</v>
      </c>
      <c r="E9" s="2"/>
    </row>
    <row r="10" spans="2:15" x14ac:dyDescent="0.25">
      <c r="B10" s="1" t="s">
        <v>38</v>
      </c>
      <c r="C10" s="3">
        <f>'Basic Module'!C10</f>
        <v>120</v>
      </c>
      <c r="D10" s="4" t="s">
        <v>0</v>
      </c>
      <c r="E10" s="2"/>
    </row>
    <row r="11" spans="2:15" x14ac:dyDescent="0.25">
      <c r="B11" s="1" t="s">
        <v>217</v>
      </c>
      <c r="C11" s="157">
        <v>1</v>
      </c>
      <c r="D11" s="50" t="s">
        <v>32</v>
      </c>
      <c r="E11" s="36" t="s">
        <v>224</v>
      </c>
    </row>
    <row r="12" spans="2:15" x14ac:dyDescent="0.25">
      <c r="B12" s="1" t="s">
        <v>39</v>
      </c>
      <c r="C12" s="3">
        <f>C10*C11</f>
        <v>120</v>
      </c>
      <c r="D12" s="4" t="s">
        <v>0</v>
      </c>
      <c r="E12" s="36" t="s">
        <v>225</v>
      </c>
    </row>
    <row r="13" spans="2:15" ht="33.75" x14ac:dyDescent="0.25">
      <c r="B13" s="1" t="s">
        <v>216</v>
      </c>
      <c r="C13" s="157">
        <v>0.75</v>
      </c>
      <c r="D13" s="50" t="s">
        <v>32</v>
      </c>
      <c r="E13" s="36" t="s">
        <v>226</v>
      </c>
    </row>
    <row r="14" spans="2:15" x14ac:dyDescent="0.25">
      <c r="B14" s="1" t="s">
        <v>40</v>
      </c>
      <c r="C14" s="3">
        <f>C12*C13</f>
        <v>90</v>
      </c>
      <c r="D14" s="4" t="s">
        <v>0</v>
      </c>
      <c r="E14" s="36"/>
      <c r="F14" s="7"/>
    </row>
    <row r="15" spans="2:15" ht="22.5" x14ac:dyDescent="0.25">
      <c r="B15" s="1" t="s">
        <v>30</v>
      </c>
      <c r="C15" s="158">
        <v>50</v>
      </c>
      <c r="D15" s="4" t="s">
        <v>29</v>
      </c>
      <c r="E15" s="36" t="s">
        <v>215</v>
      </c>
      <c r="F15" s="7"/>
      <c r="O15" s="102">
        <v>60</v>
      </c>
    </row>
    <row r="16" spans="2:15" x14ac:dyDescent="0.25">
      <c r="B16" s="1" t="s">
        <v>41</v>
      </c>
      <c r="C16" s="3">
        <f>C9*C10/1000</f>
        <v>4800</v>
      </c>
      <c r="D16" s="4" t="s">
        <v>1</v>
      </c>
      <c r="E16" s="2"/>
      <c r="O16" s="103">
        <v>50</v>
      </c>
    </row>
    <row r="17" spans="2:15" x14ac:dyDescent="0.25">
      <c r="B17" s="1" t="s">
        <v>42</v>
      </c>
      <c r="C17" s="3">
        <f>C16/0.06</f>
        <v>80000</v>
      </c>
      <c r="D17" s="4" t="s">
        <v>13</v>
      </c>
      <c r="E17" s="2" t="s">
        <v>197</v>
      </c>
      <c r="O17" s="104">
        <v>40</v>
      </c>
    </row>
    <row r="18" spans="2:15" x14ac:dyDescent="0.25">
      <c r="B18" s="1" t="s">
        <v>43</v>
      </c>
      <c r="C18" s="3">
        <f>C16/(C15/1000)</f>
        <v>96000</v>
      </c>
      <c r="D18" s="4" t="s">
        <v>31</v>
      </c>
      <c r="E18" s="2" t="s">
        <v>198</v>
      </c>
    </row>
    <row r="19" spans="2:15" s="19" customFormat="1" x14ac:dyDescent="0.25">
      <c r="B19" s="46"/>
      <c r="C19" s="47"/>
      <c r="D19" s="48"/>
      <c r="E19" s="49"/>
    </row>
    <row r="20" spans="2:15" x14ac:dyDescent="0.25">
      <c r="B20" s="23" t="s">
        <v>33</v>
      </c>
      <c r="C20" s="24" t="s">
        <v>205</v>
      </c>
      <c r="D20" s="25" t="s">
        <v>19</v>
      </c>
      <c r="E20" s="35" t="s">
        <v>28</v>
      </c>
    </row>
    <row r="21" spans="2:15" x14ac:dyDescent="0.25">
      <c r="B21" s="11" t="s">
        <v>34</v>
      </c>
      <c r="C21" s="42"/>
      <c r="D21" s="12"/>
      <c r="E21" s="32"/>
    </row>
    <row r="22" spans="2:15" x14ac:dyDescent="0.25">
      <c r="B22" s="38" t="s">
        <v>90</v>
      </c>
      <c r="C22" s="15"/>
      <c r="D22" s="27"/>
      <c r="E22" s="2"/>
    </row>
    <row r="23" spans="2:15" ht="36" customHeight="1" x14ac:dyDescent="0.25">
      <c r="B23" s="1" t="s">
        <v>118</v>
      </c>
      <c r="C23" s="158" t="s">
        <v>137</v>
      </c>
      <c r="D23" s="27"/>
      <c r="E23" s="2" t="s">
        <v>296</v>
      </c>
      <c r="O23" s="137" t="s">
        <v>137</v>
      </c>
    </row>
    <row r="24" spans="2:15" x14ac:dyDescent="0.25">
      <c r="B24" s="1" t="s">
        <v>91</v>
      </c>
      <c r="C24" s="3">
        <f>C25*C9/24</f>
        <v>1250</v>
      </c>
      <c r="D24" s="4" t="s">
        <v>8</v>
      </c>
      <c r="E24" s="2"/>
      <c r="O24" s="138" t="s">
        <v>136</v>
      </c>
    </row>
    <row r="25" spans="2:15" s="28" customFormat="1" x14ac:dyDescent="0.25">
      <c r="B25" s="26" t="s">
        <v>35</v>
      </c>
      <c r="C25" s="157">
        <v>0.75</v>
      </c>
      <c r="D25" s="27" t="s">
        <v>36</v>
      </c>
      <c r="E25" s="36" t="s">
        <v>227</v>
      </c>
    </row>
    <row r="26" spans="2:15" s="28" customFormat="1" x14ac:dyDescent="0.25">
      <c r="B26" s="1" t="s">
        <v>93</v>
      </c>
      <c r="C26" s="159">
        <v>30</v>
      </c>
      <c r="D26" s="27" t="s">
        <v>46</v>
      </c>
      <c r="E26" s="36" t="s">
        <v>228</v>
      </c>
    </row>
    <row r="27" spans="2:15" s="28" customFormat="1" x14ac:dyDescent="0.25">
      <c r="B27" s="1" t="s">
        <v>45</v>
      </c>
      <c r="C27" s="159">
        <v>50</v>
      </c>
      <c r="D27" s="27" t="s">
        <v>46</v>
      </c>
      <c r="E27" s="36" t="s">
        <v>229</v>
      </c>
    </row>
    <row r="28" spans="2:15" s="28" customFormat="1" x14ac:dyDescent="0.25">
      <c r="B28" s="38" t="s">
        <v>92</v>
      </c>
      <c r="C28" s="15"/>
      <c r="D28" s="27"/>
      <c r="E28" s="36"/>
    </row>
    <row r="29" spans="2:15" s="28" customFormat="1" x14ac:dyDescent="0.25">
      <c r="B29" s="1" t="s">
        <v>94</v>
      </c>
      <c r="C29" s="3">
        <f>(1-C26/100)*C16</f>
        <v>3360</v>
      </c>
      <c r="D29" s="4" t="s">
        <v>1</v>
      </c>
      <c r="E29" s="36"/>
    </row>
    <row r="30" spans="2:15" s="28" customFormat="1" x14ac:dyDescent="0.25">
      <c r="B30" s="1" t="s">
        <v>95</v>
      </c>
      <c r="C30" s="3">
        <f>(1-C27/100)*C9*C12/1000</f>
        <v>2400</v>
      </c>
      <c r="D30" s="4" t="s">
        <v>1</v>
      </c>
      <c r="E30" s="36"/>
    </row>
    <row r="31" spans="2:15" x14ac:dyDescent="0.25">
      <c r="B31" s="13" t="s">
        <v>4</v>
      </c>
      <c r="C31" s="43"/>
      <c r="D31" s="14"/>
      <c r="E31" s="33"/>
    </row>
    <row r="32" spans="2:15" x14ac:dyDescent="0.25">
      <c r="B32" s="38" t="s">
        <v>141</v>
      </c>
      <c r="C32" s="15"/>
      <c r="D32" s="27"/>
      <c r="E32" s="36"/>
    </row>
    <row r="33" spans="2:16" x14ac:dyDescent="0.25">
      <c r="B33" s="1" t="s">
        <v>47</v>
      </c>
      <c r="C33" s="3">
        <f>C9*C12/1000*C27/100</f>
        <v>2400</v>
      </c>
      <c r="D33" s="27" t="s">
        <v>7</v>
      </c>
      <c r="E33" s="2"/>
      <c r="F33" s="7"/>
    </row>
    <row r="34" spans="2:16" ht="22.5" x14ac:dyDescent="0.25">
      <c r="B34" s="1" t="s">
        <v>44</v>
      </c>
      <c r="C34" s="159">
        <v>3.5</v>
      </c>
      <c r="D34" s="4" t="s">
        <v>5</v>
      </c>
      <c r="E34" s="2" t="s">
        <v>221</v>
      </c>
      <c r="F34" s="7"/>
    </row>
    <row r="35" spans="2:16" ht="22.5" x14ac:dyDescent="0.25">
      <c r="B35" s="1" t="s">
        <v>59</v>
      </c>
      <c r="C35" s="3">
        <f>C13*100</f>
        <v>75</v>
      </c>
      <c r="D35" s="4" t="s">
        <v>60</v>
      </c>
      <c r="E35" s="36" t="s">
        <v>297</v>
      </c>
      <c r="F35" s="7"/>
    </row>
    <row r="36" spans="2:16" x14ac:dyDescent="0.25">
      <c r="B36" s="1" t="s">
        <v>199</v>
      </c>
      <c r="C36" s="15">
        <f>C33/(C34*10)</f>
        <v>68.571428571428569</v>
      </c>
      <c r="D36" s="4" t="s">
        <v>6</v>
      </c>
      <c r="E36" s="36"/>
      <c r="F36" s="7"/>
    </row>
    <row r="37" spans="2:16" x14ac:dyDescent="0.25">
      <c r="B37" s="38" t="s">
        <v>142</v>
      </c>
      <c r="C37" s="15"/>
      <c r="D37" s="27"/>
      <c r="E37" s="36"/>
      <c r="F37" s="7"/>
    </row>
    <row r="38" spans="2:16" ht="22.5" x14ac:dyDescent="0.25">
      <c r="B38" s="1" t="s">
        <v>48</v>
      </c>
      <c r="C38" s="157">
        <v>0.75</v>
      </c>
      <c r="D38" s="4" t="s">
        <v>23</v>
      </c>
      <c r="E38" s="36" t="s">
        <v>223</v>
      </c>
      <c r="F38" s="7"/>
    </row>
    <row r="39" spans="2:16" x14ac:dyDescent="0.25">
      <c r="B39" s="1"/>
      <c r="C39" s="3">
        <f>C38*C16*(1-C26/100)</f>
        <v>2520</v>
      </c>
      <c r="D39" s="4" t="s">
        <v>7</v>
      </c>
      <c r="E39" s="36"/>
    </row>
    <row r="40" spans="2:16" ht="22.5" x14ac:dyDescent="0.25">
      <c r="B40" s="1" t="s">
        <v>49</v>
      </c>
      <c r="C40" s="159">
        <v>6</v>
      </c>
      <c r="D40" s="4" t="s">
        <v>5</v>
      </c>
      <c r="E40" s="36" t="s">
        <v>220</v>
      </c>
    </row>
    <row r="41" spans="2:16" ht="33.75" x14ac:dyDescent="0.25">
      <c r="B41" s="1" t="s">
        <v>76</v>
      </c>
      <c r="C41" s="158">
        <v>70</v>
      </c>
      <c r="D41" s="4" t="s">
        <v>60</v>
      </c>
      <c r="E41" s="2" t="s">
        <v>222</v>
      </c>
    </row>
    <row r="42" spans="2:16" x14ac:dyDescent="0.25">
      <c r="B42" s="1" t="s">
        <v>201</v>
      </c>
      <c r="C42" s="15">
        <f>C39/(C40*10)</f>
        <v>42</v>
      </c>
      <c r="D42" s="4" t="s">
        <v>6</v>
      </c>
      <c r="E42" s="2"/>
    </row>
    <row r="43" spans="2:16" x14ac:dyDescent="0.25">
      <c r="B43" s="13" t="s">
        <v>52</v>
      </c>
      <c r="C43" s="43"/>
      <c r="D43" s="14"/>
      <c r="E43" s="33"/>
    </row>
    <row r="44" spans="2:16" x14ac:dyDescent="0.25">
      <c r="B44" s="37" t="s">
        <v>219</v>
      </c>
      <c r="C44" s="160" t="s">
        <v>136</v>
      </c>
      <c r="D44" s="4"/>
      <c r="E44" s="142" t="s">
        <v>294</v>
      </c>
      <c r="O44" s="137" t="s">
        <v>137</v>
      </c>
    </row>
    <row r="45" spans="2:16" x14ac:dyDescent="0.25">
      <c r="B45" s="1" t="s">
        <v>55</v>
      </c>
      <c r="C45" s="160"/>
      <c r="D45" s="4"/>
      <c r="E45" s="36" t="s">
        <v>218</v>
      </c>
      <c r="O45" s="138" t="s">
        <v>136</v>
      </c>
    </row>
    <row r="46" spans="2:16" x14ac:dyDescent="0.25">
      <c r="B46" s="1" t="s">
        <v>295</v>
      </c>
      <c r="C46" s="159">
        <v>0</v>
      </c>
      <c r="D46" s="4" t="s">
        <v>6</v>
      </c>
      <c r="E46" s="36"/>
    </row>
    <row r="47" spans="2:16" ht="22.5" x14ac:dyDescent="0.25">
      <c r="B47" s="1" t="s">
        <v>57</v>
      </c>
      <c r="C47" s="159">
        <v>5</v>
      </c>
      <c r="D47" s="4" t="s">
        <v>58</v>
      </c>
      <c r="E47" s="36" t="s">
        <v>215</v>
      </c>
      <c r="O47" s="106">
        <v>5</v>
      </c>
      <c r="P47" s="109">
        <v>90</v>
      </c>
    </row>
    <row r="48" spans="2:16" ht="22.5" x14ac:dyDescent="0.25">
      <c r="B48" s="1" t="s">
        <v>77</v>
      </c>
      <c r="C48" s="159">
        <v>90</v>
      </c>
      <c r="D48" s="4" t="s">
        <v>60</v>
      </c>
      <c r="E48" s="36" t="s">
        <v>215</v>
      </c>
      <c r="O48" s="107">
        <v>10</v>
      </c>
      <c r="P48" s="110">
        <v>90</v>
      </c>
    </row>
    <row r="49" spans="2:16" x14ac:dyDescent="0.25">
      <c r="B49" s="13" t="s">
        <v>54</v>
      </c>
      <c r="C49" s="43"/>
      <c r="D49" s="14"/>
      <c r="E49" s="33"/>
      <c r="O49" s="108">
        <v>5</v>
      </c>
      <c r="P49" s="111">
        <v>95</v>
      </c>
    </row>
    <row r="50" spans="2:16" ht="22.5" x14ac:dyDescent="0.25">
      <c r="B50" s="37" t="s">
        <v>184</v>
      </c>
      <c r="C50" s="160" t="s">
        <v>136</v>
      </c>
      <c r="D50" s="50" t="s">
        <v>32</v>
      </c>
      <c r="E50" s="142" t="s">
        <v>294</v>
      </c>
      <c r="G50" s="105"/>
    </row>
    <row r="51" spans="2:16" x14ac:dyDescent="0.25">
      <c r="B51" s="37" t="s">
        <v>113</v>
      </c>
      <c r="C51" s="158">
        <v>0</v>
      </c>
      <c r="D51" s="4" t="s">
        <v>46</v>
      </c>
      <c r="E51" s="143" t="s">
        <v>231</v>
      </c>
    </row>
    <row r="52" spans="2:16" x14ac:dyDescent="0.25">
      <c r="B52" s="13" t="s">
        <v>50</v>
      </c>
      <c r="C52" s="43"/>
      <c r="D52" s="14"/>
      <c r="E52" s="33"/>
    </row>
    <row r="53" spans="2:16" ht="33.75" x14ac:dyDescent="0.25">
      <c r="B53" s="1" t="s">
        <v>51</v>
      </c>
      <c r="C53" s="158">
        <v>15</v>
      </c>
      <c r="D53" s="4" t="s">
        <v>194</v>
      </c>
      <c r="E53" s="36" t="s">
        <v>232</v>
      </c>
    </row>
    <row r="54" spans="2:16" x14ac:dyDescent="0.25">
      <c r="B54" s="1" t="s">
        <v>96</v>
      </c>
      <c r="C54" s="3">
        <f>C53*C59</f>
        <v>1658.5714285714284</v>
      </c>
      <c r="D54" s="4" t="s">
        <v>8</v>
      </c>
      <c r="E54" s="2"/>
    </row>
    <row r="55" spans="2:16" x14ac:dyDescent="0.25">
      <c r="B55" s="5" t="s">
        <v>61</v>
      </c>
      <c r="C55" s="3"/>
      <c r="D55" s="4"/>
      <c r="E55" s="2"/>
    </row>
    <row r="56" spans="2:16" x14ac:dyDescent="0.25">
      <c r="B56" s="1" t="s">
        <v>62</v>
      </c>
      <c r="C56" s="3">
        <f>C36</f>
        <v>68.571428571428569</v>
      </c>
      <c r="D56" s="4" t="s">
        <v>6</v>
      </c>
      <c r="E56" s="2"/>
    </row>
    <row r="57" spans="2:16" x14ac:dyDescent="0.25">
      <c r="B57" s="1" t="s">
        <v>63</v>
      </c>
      <c r="C57" s="3">
        <f>C42</f>
        <v>42</v>
      </c>
      <c r="D57" s="4" t="s">
        <v>6</v>
      </c>
      <c r="E57" s="2"/>
    </row>
    <row r="58" spans="2:16" x14ac:dyDescent="0.25">
      <c r="B58" s="1" t="s">
        <v>64</v>
      </c>
      <c r="C58" s="3">
        <f>C46</f>
        <v>0</v>
      </c>
      <c r="D58" s="4" t="s">
        <v>6</v>
      </c>
      <c r="E58" s="2"/>
    </row>
    <row r="59" spans="2:16" x14ac:dyDescent="0.25">
      <c r="B59" s="1" t="s">
        <v>53</v>
      </c>
      <c r="C59" s="3">
        <f>SUM(C56:C58)</f>
        <v>110.57142857142857</v>
      </c>
      <c r="D59" s="4" t="s">
        <v>6</v>
      </c>
      <c r="E59" s="2"/>
    </row>
    <row r="60" spans="2:16" x14ac:dyDescent="0.25">
      <c r="B60" s="5" t="s">
        <v>65</v>
      </c>
      <c r="C60" s="3"/>
      <c r="D60" s="4"/>
      <c r="E60" s="2"/>
    </row>
    <row r="61" spans="2:16" x14ac:dyDescent="0.25">
      <c r="B61" s="1" t="s">
        <v>62</v>
      </c>
      <c r="C61" s="3">
        <f>C33</f>
        <v>2400</v>
      </c>
      <c r="D61" s="4" t="s">
        <v>7</v>
      </c>
      <c r="E61" s="2"/>
    </row>
    <row r="62" spans="2:16" x14ac:dyDescent="0.25">
      <c r="B62" s="1" t="s">
        <v>63</v>
      </c>
      <c r="C62" s="3">
        <f>C39</f>
        <v>2520</v>
      </c>
      <c r="D62" s="4" t="s">
        <v>7</v>
      </c>
      <c r="E62" s="2"/>
    </row>
    <row r="63" spans="2:16" x14ac:dyDescent="0.25">
      <c r="B63" s="1" t="s">
        <v>64</v>
      </c>
      <c r="C63" s="3">
        <f>1000*C46*C47/100</f>
        <v>0</v>
      </c>
      <c r="D63" s="4" t="s">
        <v>7</v>
      </c>
      <c r="E63" s="2"/>
    </row>
    <row r="64" spans="2:16" x14ac:dyDescent="0.25">
      <c r="B64" s="1" t="s">
        <v>53</v>
      </c>
      <c r="C64" s="3">
        <f>SUM(C61:C63)</f>
        <v>4920</v>
      </c>
      <c r="D64" s="4" t="s">
        <v>7</v>
      </c>
      <c r="E64" s="2"/>
    </row>
    <row r="65" spans="2:15" x14ac:dyDescent="0.25">
      <c r="B65" s="5" t="s">
        <v>66</v>
      </c>
      <c r="C65" s="3"/>
      <c r="D65" s="4"/>
      <c r="E65" s="2"/>
    </row>
    <row r="66" spans="2:15" x14ac:dyDescent="0.25">
      <c r="B66" s="1" t="s">
        <v>62</v>
      </c>
      <c r="C66" s="3">
        <f>C61*C35/100</f>
        <v>1800</v>
      </c>
      <c r="D66" s="4" t="s">
        <v>67</v>
      </c>
      <c r="E66" s="2"/>
    </row>
    <row r="67" spans="2:15" x14ac:dyDescent="0.25">
      <c r="B67" s="1" t="s">
        <v>63</v>
      </c>
      <c r="C67" s="3">
        <f>C62*C41/100</f>
        <v>1764</v>
      </c>
      <c r="D67" s="4" t="s">
        <v>67</v>
      </c>
      <c r="E67" s="2"/>
    </row>
    <row r="68" spans="2:15" x14ac:dyDescent="0.25">
      <c r="B68" s="1" t="s">
        <v>64</v>
      </c>
      <c r="C68" s="3">
        <f>C63*C48/100</f>
        <v>0</v>
      </c>
      <c r="D68" s="4" t="s">
        <v>67</v>
      </c>
      <c r="E68" s="2"/>
    </row>
    <row r="69" spans="2:15" x14ac:dyDescent="0.25">
      <c r="B69" s="1" t="s">
        <v>53</v>
      </c>
      <c r="C69" s="3">
        <f>SUM(C66:C68)</f>
        <v>3564</v>
      </c>
      <c r="D69" s="4" t="s">
        <v>67</v>
      </c>
      <c r="E69" s="2"/>
    </row>
    <row r="70" spans="2:15" x14ac:dyDescent="0.25">
      <c r="B70" s="5" t="s">
        <v>72</v>
      </c>
      <c r="C70" s="3"/>
      <c r="D70" s="27"/>
      <c r="E70" s="2"/>
    </row>
    <row r="71" spans="2:15" x14ac:dyDescent="0.25">
      <c r="B71" s="26" t="s">
        <v>68</v>
      </c>
      <c r="C71" s="158">
        <v>60</v>
      </c>
      <c r="D71" s="27" t="s">
        <v>73</v>
      </c>
      <c r="E71" s="36" t="s">
        <v>233</v>
      </c>
    </row>
    <row r="72" spans="2:15" x14ac:dyDescent="0.25">
      <c r="B72" s="26" t="s">
        <v>69</v>
      </c>
      <c r="C72" s="158">
        <v>40</v>
      </c>
      <c r="D72" s="27" t="s">
        <v>73</v>
      </c>
      <c r="E72" s="36" t="s">
        <v>234</v>
      </c>
    </row>
    <row r="73" spans="2:15" ht="22.5" x14ac:dyDescent="0.25">
      <c r="B73" s="26" t="s">
        <v>70</v>
      </c>
      <c r="C73" s="158">
        <v>85</v>
      </c>
      <c r="D73" s="27" t="s">
        <v>73</v>
      </c>
      <c r="E73" s="36" t="s">
        <v>215</v>
      </c>
      <c r="O73" s="112">
        <v>85</v>
      </c>
    </row>
    <row r="74" spans="2:15" x14ac:dyDescent="0.25">
      <c r="B74" s="5" t="s">
        <v>89</v>
      </c>
      <c r="C74" s="3"/>
      <c r="D74" s="27"/>
      <c r="E74" s="2"/>
      <c r="O74" s="113">
        <v>80</v>
      </c>
    </row>
    <row r="75" spans="2:15" x14ac:dyDescent="0.25">
      <c r="B75" s="26" t="s">
        <v>68</v>
      </c>
      <c r="C75" s="3">
        <f>C66*C71/100</f>
        <v>1080</v>
      </c>
      <c r="D75" s="27" t="s">
        <v>74</v>
      </c>
      <c r="E75" s="2"/>
      <c r="O75" s="114">
        <v>95</v>
      </c>
    </row>
    <row r="76" spans="2:15" x14ac:dyDescent="0.25">
      <c r="B76" s="26" t="s">
        <v>69</v>
      </c>
      <c r="C76" s="3">
        <f t="shared" ref="C76:C77" si="0">C67*C72/100</f>
        <v>705.6</v>
      </c>
      <c r="D76" s="27" t="s">
        <v>74</v>
      </c>
      <c r="E76" s="2"/>
    </row>
    <row r="77" spans="2:15" x14ac:dyDescent="0.25">
      <c r="B77" s="26" t="s">
        <v>70</v>
      </c>
      <c r="C77" s="3">
        <f t="shared" si="0"/>
        <v>0</v>
      </c>
      <c r="D77" s="27" t="s">
        <v>74</v>
      </c>
      <c r="E77" s="2"/>
    </row>
    <row r="78" spans="2:15" x14ac:dyDescent="0.25">
      <c r="B78" s="26" t="s">
        <v>71</v>
      </c>
      <c r="C78" s="3">
        <f>SUM(C75:C77)</f>
        <v>1785.6</v>
      </c>
      <c r="D78" s="27" t="s">
        <v>74</v>
      </c>
      <c r="E78" s="2"/>
    </row>
    <row r="79" spans="2:15" x14ac:dyDescent="0.25">
      <c r="B79" s="13" t="s">
        <v>97</v>
      </c>
      <c r="C79" s="43"/>
      <c r="D79" s="14"/>
      <c r="E79" s="33"/>
    </row>
    <row r="80" spans="2:15" x14ac:dyDescent="0.25">
      <c r="B80" s="26" t="s">
        <v>98</v>
      </c>
      <c r="C80" s="158">
        <v>23</v>
      </c>
      <c r="D80" s="27" t="s">
        <v>5</v>
      </c>
      <c r="E80" s="36" t="s">
        <v>235</v>
      </c>
    </row>
    <row r="81" spans="2:15" x14ac:dyDescent="0.25">
      <c r="B81" s="26" t="s">
        <v>99</v>
      </c>
      <c r="C81" s="3">
        <f>C64-C78</f>
        <v>3134.4</v>
      </c>
      <c r="D81" s="4" t="s">
        <v>7</v>
      </c>
      <c r="E81" s="2"/>
    </row>
    <row r="82" spans="2:15" x14ac:dyDescent="0.25">
      <c r="B82" s="26" t="s">
        <v>100</v>
      </c>
      <c r="C82" s="3">
        <f>1000*C81/C17</f>
        <v>39.18</v>
      </c>
      <c r="D82" s="4" t="s">
        <v>101</v>
      </c>
      <c r="E82" s="2"/>
    </row>
    <row r="83" spans="2:15" x14ac:dyDescent="0.25">
      <c r="B83" s="26"/>
      <c r="C83" s="3">
        <f>1000*C81/C18</f>
        <v>32.65</v>
      </c>
      <c r="D83" s="4" t="s">
        <v>102</v>
      </c>
      <c r="E83" s="2"/>
    </row>
    <row r="84" spans="2:15" x14ac:dyDescent="0.25">
      <c r="B84" s="26" t="s">
        <v>202</v>
      </c>
      <c r="C84" s="15">
        <f>C81/(C80*10)</f>
        <v>13.627826086956523</v>
      </c>
      <c r="D84" s="4" t="s">
        <v>6</v>
      </c>
      <c r="E84" s="2"/>
    </row>
    <row r="85" spans="2:15" x14ac:dyDescent="0.25">
      <c r="B85" s="26"/>
      <c r="C85" s="96">
        <f>C84*365</f>
        <v>4974.1565217391308</v>
      </c>
      <c r="D85" s="4" t="s">
        <v>17</v>
      </c>
      <c r="E85" s="2"/>
    </row>
    <row r="86" spans="2:15" x14ac:dyDescent="0.25">
      <c r="B86" s="13" t="s">
        <v>75</v>
      </c>
      <c r="C86" s="43"/>
      <c r="D86" s="14"/>
      <c r="E86" s="33"/>
    </row>
    <row r="87" spans="2:15" ht="22.5" x14ac:dyDescent="0.25">
      <c r="B87" s="1" t="s">
        <v>129</v>
      </c>
      <c r="C87" s="158">
        <v>20</v>
      </c>
      <c r="D87" s="2" t="s">
        <v>130</v>
      </c>
      <c r="E87" s="36" t="s">
        <v>236</v>
      </c>
    </row>
    <row r="88" spans="2:15" x14ac:dyDescent="0.25">
      <c r="B88" s="1" t="s">
        <v>131</v>
      </c>
      <c r="C88" s="3">
        <f>C87/100*C98</f>
        <v>311.04000000000002</v>
      </c>
      <c r="D88" s="4" t="s">
        <v>8</v>
      </c>
      <c r="E88" s="2"/>
    </row>
    <row r="89" spans="2:15" x14ac:dyDescent="0.25">
      <c r="B89" s="38" t="s">
        <v>78</v>
      </c>
      <c r="C89" s="6"/>
      <c r="D89" s="4"/>
      <c r="E89" s="2"/>
    </row>
    <row r="90" spans="2:15" x14ac:dyDescent="0.25">
      <c r="B90" s="1" t="s">
        <v>80</v>
      </c>
      <c r="C90" s="158">
        <v>950</v>
      </c>
      <c r="D90" s="27" t="s">
        <v>79</v>
      </c>
      <c r="E90" s="2" t="s">
        <v>237</v>
      </c>
    </row>
    <row r="91" spans="2:15" x14ac:dyDescent="0.25">
      <c r="B91" s="1" t="s">
        <v>81</v>
      </c>
      <c r="C91" s="158">
        <v>750</v>
      </c>
      <c r="D91" s="27" t="s">
        <v>79</v>
      </c>
      <c r="E91" s="2" t="s">
        <v>238</v>
      </c>
    </row>
    <row r="92" spans="2:15" ht="22.5" x14ac:dyDescent="0.25">
      <c r="B92" s="1" t="s">
        <v>82</v>
      </c>
      <c r="C92" s="158">
        <v>1000</v>
      </c>
      <c r="D92" s="27" t="s">
        <v>79</v>
      </c>
      <c r="E92" s="36" t="s">
        <v>215</v>
      </c>
      <c r="O92" s="118">
        <v>1100</v>
      </c>
    </row>
    <row r="93" spans="2:15" x14ac:dyDescent="0.25">
      <c r="B93" s="38" t="s">
        <v>83</v>
      </c>
      <c r="C93" s="41"/>
      <c r="D93" s="4"/>
      <c r="E93" s="2"/>
      <c r="O93" s="119">
        <v>1000</v>
      </c>
    </row>
    <row r="94" spans="2:15" x14ac:dyDescent="0.25">
      <c r="B94" s="1" t="s">
        <v>84</v>
      </c>
      <c r="C94" s="3">
        <f t="shared" ref="C94:C96" si="1">C90/1000*C75</f>
        <v>1026</v>
      </c>
      <c r="D94" s="4" t="s">
        <v>6</v>
      </c>
      <c r="E94" s="2"/>
      <c r="O94" s="120">
        <v>850</v>
      </c>
    </row>
    <row r="95" spans="2:15" x14ac:dyDescent="0.25">
      <c r="B95" s="1" t="s">
        <v>85</v>
      </c>
      <c r="C95" s="3">
        <f t="shared" si="1"/>
        <v>529.20000000000005</v>
      </c>
      <c r="D95" s="4" t="s">
        <v>6</v>
      </c>
      <c r="E95" s="2"/>
    </row>
    <row r="96" spans="2:15" x14ac:dyDescent="0.25">
      <c r="B96" s="1" t="s">
        <v>86</v>
      </c>
      <c r="C96" s="3">
        <f t="shared" si="1"/>
        <v>0</v>
      </c>
      <c r="D96" s="4" t="s">
        <v>6</v>
      </c>
      <c r="E96" s="2"/>
    </row>
    <row r="97" spans="2:15" x14ac:dyDescent="0.25">
      <c r="B97" s="1" t="s">
        <v>87</v>
      </c>
      <c r="C97" s="3">
        <f>IF(C50="YES",C51/100*SUM(C94:C95),0)</f>
        <v>0</v>
      </c>
      <c r="D97" s="4" t="s">
        <v>6</v>
      </c>
      <c r="E97" s="2"/>
    </row>
    <row r="98" spans="2:15" x14ac:dyDescent="0.25">
      <c r="B98" s="1" t="s">
        <v>88</v>
      </c>
      <c r="C98" s="3">
        <f>SUM(C94:C97)</f>
        <v>1555.2</v>
      </c>
      <c r="D98" s="4" t="s">
        <v>6</v>
      </c>
      <c r="E98" s="2"/>
    </row>
    <row r="99" spans="2:15" x14ac:dyDescent="0.25">
      <c r="B99" s="26"/>
      <c r="C99" s="151">
        <f>C98*365</f>
        <v>567648</v>
      </c>
      <c r="D99" s="4" t="s">
        <v>17</v>
      </c>
      <c r="E99" s="2"/>
    </row>
    <row r="100" spans="2:15" x14ac:dyDescent="0.25">
      <c r="B100" s="26" t="s">
        <v>103</v>
      </c>
      <c r="C100" s="3">
        <f>C98*1000/C17</f>
        <v>19.440000000000001</v>
      </c>
      <c r="D100" s="4" t="s">
        <v>104</v>
      </c>
      <c r="E100" s="2"/>
    </row>
    <row r="101" spans="2:15" x14ac:dyDescent="0.25">
      <c r="B101" s="26"/>
      <c r="C101" s="3">
        <f>C98*1000/C18</f>
        <v>16.2</v>
      </c>
      <c r="D101" s="4" t="s">
        <v>105</v>
      </c>
      <c r="E101" s="2"/>
    </row>
    <row r="102" spans="2:15" x14ac:dyDescent="0.25">
      <c r="B102" s="38" t="s">
        <v>110</v>
      </c>
      <c r="C102" s="3"/>
      <c r="D102" s="4"/>
      <c r="E102" s="2"/>
    </row>
    <row r="103" spans="2:15" x14ac:dyDescent="0.25">
      <c r="B103" s="26" t="s">
        <v>107</v>
      </c>
      <c r="C103" s="158">
        <v>65</v>
      </c>
      <c r="D103" s="4" t="s">
        <v>106</v>
      </c>
      <c r="E103" s="2" t="s">
        <v>239</v>
      </c>
    </row>
    <row r="104" spans="2:15" ht="22.5" x14ac:dyDescent="0.25">
      <c r="B104" s="26" t="s">
        <v>108</v>
      </c>
      <c r="C104" s="158">
        <v>60</v>
      </c>
      <c r="D104" s="4" t="s">
        <v>106</v>
      </c>
      <c r="E104" s="36" t="s">
        <v>215</v>
      </c>
    </row>
    <row r="105" spans="2:15" x14ac:dyDescent="0.25">
      <c r="B105" s="26" t="s">
        <v>109</v>
      </c>
      <c r="C105" s="39">
        <f>((C94+C95+C97)*C103+C96*C104)/C98</f>
        <v>65</v>
      </c>
      <c r="D105" s="4" t="s">
        <v>106</v>
      </c>
      <c r="E105" s="2"/>
    </row>
    <row r="106" spans="2:15" x14ac:dyDescent="0.25">
      <c r="B106" s="13" t="s">
        <v>9</v>
      </c>
      <c r="C106" s="43"/>
      <c r="D106" s="14"/>
      <c r="E106" s="33"/>
    </row>
    <row r="107" spans="2:15" x14ac:dyDescent="0.25">
      <c r="B107" s="1" t="s">
        <v>3</v>
      </c>
      <c r="C107" s="39">
        <f>C105/10</f>
        <v>6.5</v>
      </c>
      <c r="D107" s="4" t="s">
        <v>24</v>
      </c>
      <c r="E107" s="2"/>
    </row>
    <row r="108" spans="2:15" x14ac:dyDescent="0.25">
      <c r="B108" s="38" t="s">
        <v>185</v>
      </c>
      <c r="C108" s="3"/>
      <c r="D108" s="4"/>
      <c r="E108" s="2"/>
    </row>
    <row r="109" spans="2:15" ht="22.5" x14ac:dyDescent="0.25">
      <c r="B109" s="1" t="s">
        <v>180</v>
      </c>
      <c r="C109" s="158">
        <v>30</v>
      </c>
      <c r="D109" s="4" t="s">
        <v>46</v>
      </c>
      <c r="E109" s="2" t="s">
        <v>240</v>
      </c>
    </row>
    <row r="110" spans="2:15" x14ac:dyDescent="0.25">
      <c r="B110" s="1" t="s">
        <v>114</v>
      </c>
      <c r="C110" s="3">
        <f>C107*C109/100*C98</f>
        <v>3032.64</v>
      </c>
      <c r="D110" s="4" t="s">
        <v>10</v>
      </c>
      <c r="E110" s="2"/>
      <c r="O110" s="115">
        <v>75</v>
      </c>
    </row>
    <row r="111" spans="2:15" x14ac:dyDescent="0.25">
      <c r="B111" s="1"/>
      <c r="C111" s="15">
        <f>C110*365/C17</f>
        <v>13.836419999999999</v>
      </c>
      <c r="D111" s="4" t="s">
        <v>25</v>
      </c>
      <c r="E111" s="2"/>
      <c r="O111" s="116">
        <v>60</v>
      </c>
    </row>
    <row r="112" spans="2:15" x14ac:dyDescent="0.25">
      <c r="B112" s="1"/>
      <c r="C112" s="151">
        <f>C110*365</f>
        <v>1106913.5999999999</v>
      </c>
      <c r="D112" s="4" t="s">
        <v>2</v>
      </c>
      <c r="E112" s="2"/>
      <c r="O112" s="117">
        <v>53</v>
      </c>
    </row>
    <row r="113" spans="2:5" ht="22.5" x14ac:dyDescent="0.25">
      <c r="B113" s="1" t="s">
        <v>151</v>
      </c>
      <c r="C113" s="158">
        <v>35</v>
      </c>
      <c r="D113" s="4" t="s">
        <v>25</v>
      </c>
      <c r="E113" s="2" t="s">
        <v>241</v>
      </c>
    </row>
    <row r="114" spans="2:5" x14ac:dyDescent="0.25">
      <c r="B114" s="1"/>
      <c r="C114" s="3">
        <f>C113*C17/365</f>
        <v>7671.232876712329</v>
      </c>
      <c r="D114" s="4" t="s">
        <v>10</v>
      </c>
      <c r="E114" s="2"/>
    </row>
    <row r="115" spans="2:5" x14ac:dyDescent="0.25">
      <c r="B115" s="1"/>
      <c r="C115" s="96">
        <f>C114*365</f>
        <v>2800000</v>
      </c>
      <c r="D115" s="4" t="s">
        <v>2</v>
      </c>
      <c r="E115" s="2"/>
    </row>
    <row r="116" spans="2:5" x14ac:dyDescent="0.25">
      <c r="B116" s="68" t="s">
        <v>274</v>
      </c>
      <c r="C116" s="97">
        <f>C112/C115</f>
        <v>0.39532628571428569</v>
      </c>
      <c r="D116" s="4" t="s">
        <v>115</v>
      </c>
      <c r="E116" s="2"/>
    </row>
    <row r="117" spans="2:5" x14ac:dyDescent="0.25">
      <c r="B117" s="38" t="s">
        <v>186</v>
      </c>
      <c r="C117" s="3"/>
      <c r="D117" s="4"/>
      <c r="E117" s="2"/>
    </row>
    <row r="118" spans="2:5" x14ac:dyDescent="0.25">
      <c r="B118" s="1" t="s">
        <v>181</v>
      </c>
      <c r="C118" s="158">
        <v>50</v>
      </c>
      <c r="D118" s="4" t="s">
        <v>46</v>
      </c>
      <c r="E118" s="2" t="s">
        <v>242</v>
      </c>
    </row>
    <row r="119" spans="2:5" x14ac:dyDescent="0.25">
      <c r="B119" s="1" t="s">
        <v>12</v>
      </c>
      <c r="C119" s="3">
        <f>C107*C118/100*C98</f>
        <v>5054.4000000000005</v>
      </c>
      <c r="D119" s="4" t="s">
        <v>10</v>
      </c>
      <c r="E119" s="2"/>
    </row>
    <row r="120" spans="2:5" x14ac:dyDescent="0.25">
      <c r="B120" s="1"/>
      <c r="C120" s="96">
        <f>C119*365</f>
        <v>1844856.0000000002</v>
      </c>
      <c r="D120" s="4" t="s">
        <v>2</v>
      </c>
      <c r="E120" s="2"/>
    </row>
    <row r="121" spans="2:5" x14ac:dyDescent="0.25">
      <c r="B121" s="13" t="s">
        <v>279</v>
      </c>
      <c r="C121" s="43"/>
      <c r="D121" s="14"/>
      <c r="E121" s="33"/>
    </row>
    <row r="122" spans="2:5" x14ac:dyDescent="0.25">
      <c r="B122" s="71" t="s">
        <v>280</v>
      </c>
      <c r="C122" s="96">
        <f>'Basic Module'!C12</f>
        <v>565</v>
      </c>
      <c r="D122" s="81" t="s">
        <v>211</v>
      </c>
      <c r="E122" s="2"/>
    </row>
    <row r="123" spans="2:5" x14ac:dyDescent="0.25">
      <c r="B123" s="1" t="s">
        <v>277</v>
      </c>
      <c r="C123" s="96">
        <f>C112</f>
        <v>1106913.5999999999</v>
      </c>
      <c r="D123" s="4" t="s">
        <v>2</v>
      </c>
      <c r="E123" s="2"/>
    </row>
    <row r="124" spans="2:5" ht="24" x14ac:dyDescent="0.25">
      <c r="B124" s="1" t="s">
        <v>278</v>
      </c>
      <c r="C124" s="152">
        <f>-C122/1000000*C123</f>
        <v>-625.40618399999983</v>
      </c>
      <c r="D124" s="4" t="s">
        <v>282</v>
      </c>
      <c r="E124" s="2" t="s">
        <v>284</v>
      </c>
    </row>
    <row r="125" spans="2:5" ht="33.75" x14ac:dyDescent="0.25">
      <c r="B125" s="37" t="s">
        <v>306</v>
      </c>
      <c r="C125" s="152">
        <v>0</v>
      </c>
      <c r="D125" s="4" t="s">
        <v>282</v>
      </c>
      <c r="E125" s="2" t="s">
        <v>291</v>
      </c>
    </row>
    <row r="126" spans="2:5" x14ac:dyDescent="0.25">
      <c r="B126" s="1" t="s">
        <v>281</v>
      </c>
      <c r="C126" s="153">
        <f>SUM(C124:C125)</f>
        <v>-625.40618399999983</v>
      </c>
      <c r="D126" s="45" t="s">
        <v>283</v>
      </c>
      <c r="E126" s="2"/>
    </row>
    <row r="127" spans="2:5" x14ac:dyDescent="0.25">
      <c r="B127" s="13" t="s">
        <v>275</v>
      </c>
      <c r="C127" s="43"/>
      <c r="D127" s="14"/>
      <c r="E127" s="33"/>
    </row>
    <row r="128" spans="2:5" x14ac:dyDescent="0.25">
      <c r="B128" s="1" t="s">
        <v>14</v>
      </c>
      <c r="C128" s="52">
        <f>'Basic Module'!C16</f>
        <v>0.15</v>
      </c>
      <c r="D128" s="4" t="s">
        <v>119</v>
      </c>
      <c r="E128" s="2"/>
    </row>
    <row r="129" spans="2:5" x14ac:dyDescent="0.25">
      <c r="B129" s="1" t="s">
        <v>120</v>
      </c>
      <c r="C129" s="3">
        <f>-C110*C128</f>
        <v>-454.89599999999996</v>
      </c>
      <c r="D129" s="4" t="s">
        <v>121</v>
      </c>
      <c r="E129" s="36" t="s">
        <v>250</v>
      </c>
    </row>
    <row r="130" spans="2:5" x14ac:dyDescent="0.25">
      <c r="B130" s="1"/>
      <c r="C130" s="152">
        <f>C129*365</f>
        <v>-166037.03999999998</v>
      </c>
      <c r="D130" s="40" t="s">
        <v>122</v>
      </c>
      <c r="E130" s="2"/>
    </row>
    <row r="131" spans="2:5" ht="56.25" x14ac:dyDescent="0.25">
      <c r="B131" s="1" t="s">
        <v>15</v>
      </c>
      <c r="C131" s="3">
        <f>-C26/100*0.6*C113*C17/365</f>
        <v>-1380.8219178082193</v>
      </c>
      <c r="D131" s="4" t="s">
        <v>10</v>
      </c>
      <c r="E131" s="36" t="s">
        <v>243</v>
      </c>
    </row>
    <row r="132" spans="2:5" x14ac:dyDescent="0.25">
      <c r="B132" s="1"/>
      <c r="C132" s="96">
        <f>C131*365</f>
        <v>-504000.00000000006</v>
      </c>
      <c r="D132" s="4" t="s">
        <v>2</v>
      </c>
      <c r="E132" s="36"/>
    </row>
    <row r="133" spans="2:5" x14ac:dyDescent="0.25">
      <c r="B133" s="1"/>
      <c r="C133" s="152">
        <f>C132*C128</f>
        <v>-75600</v>
      </c>
      <c r="D133" s="40" t="s">
        <v>122</v>
      </c>
      <c r="E133" s="36"/>
    </row>
    <row r="134" spans="2:5" x14ac:dyDescent="0.25">
      <c r="B134" s="1" t="s">
        <v>123</v>
      </c>
      <c r="C134" s="52">
        <f>'Basic Module'!C17</f>
        <v>10</v>
      </c>
      <c r="D134" s="4" t="s">
        <v>124</v>
      </c>
      <c r="E134" s="36"/>
    </row>
    <row r="135" spans="2:5" x14ac:dyDescent="0.25">
      <c r="B135" s="1" t="s">
        <v>16</v>
      </c>
      <c r="C135" s="15">
        <f>-(C64/C81*C84-C84)</f>
        <v>-7.7634782608695669</v>
      </c>
      <c r="D135" s="4" t="s">
        <v>6</v>
      </c>
      <c r="E135" s="36"/>
    </row>
    <row r="136" spans="2:5" x14ac:dyDescent="0.25">
      <c r="B136" s="1"/>
      <c r="C136" s="96">
        <f>C135*365</f>
        <v>-2833.6695652173921</v>
      </c>
      <c r="D136" s="4" t="s">
        <v>17</v>
      </c>
      <c r="E136" s="36"/>
    </row>
    <row r="137" spans="2:5" x14ac:dyDescent="0.25">
      <c r="B137" s="1"/>
      <c r="C137" s="152">
        <f>C136*C134</f>
        <v>-28336.695652173919</v>
      </c>
      <c r="D137" s="40" t="s">
        <v>122</v>
      </c>
      <c r="E137" s="36"/>
    </row>
    <row r="138" spans="2:5" x14ac:dyDescent="0.25">
      <c r="B138" s="26" t="s">
        <v>303</v>
      </c>
      <c r="C138" s="96">
        <f>'Basic Module'!C18</f>
        <v>10000</v>
      </c>
      <c r="D138" s="4" t="s">
        <v>125</v>
      </c>
      <c r="E138" s="36"/>
    </row>
    <row r="139" spans="2:5" ht="69" x14ac:dyDescent="0.25">
      <c r="B139" s="26"/>
      <c r="C139" s="152">
        <f>1.5*0.5*C17*C138/40000</f>
        <v>15000</v>
      </c>
      <c r="D139" s="40" t="s">
        <v>122</v>
      </c>
      <c r="E139" s="36" t="s">
        <v>304</v>
      </c>
    </row>
    <row r="140" spans="2:5" ht="57.75" x14ac:dyDescent="0.25">
      <c r="B140" s="26" t="s">
        <v>22</v>
      </c>
      <c r="C140" s="152">
        <f>0.01*1.3*C17*81098*(C17^(-0.684))</f>
        <v>37353.382252430019</v>
      </c>
      <c r="D140" s="40" t="s">
        <v>122</v>
      </c>
      <c r="E140" s="36" t="s">
        <v>244</v>
      </c>
    </row>
    <row r="141" spans="2:5" x14ac:dyDescent="0.25">
      <c r="B141" s="44" t="s">
        <v>21</v>
      </c>
      <c r="C141" s="153">
        <f>C130+C133+C137+C139+C140</f>
        <v>-217620.35339974385</v>
      </c>
      <c r="D141" s="45" t="s">
        <v>122</v>
      </c>
      <c r="E141" s="2"/>
    </row>
    <row r="142" spans="2:5" x14ac:dyDescent="0.25">
      <c r="B142" s="13" t="s">
        <v>276</v>
      </c>
      <c r="C142" s="43"/>
      <c r="D142" s="14"/>
      <c r="E142" s="33"/>
    </row>
    <row r="143" spans="2:5" x14ac:dyDescent="0.25">
      <c r="B143" s="1" t="s">
        <v>126</v>
      </c>
      <c r="C143" s="96">
        <f>IF(C23="NO",0,C24)</f>
        <v>1250</v>
      </c>
      <c r="D143" s="4" t="s">
        <v>8</v>
      </c>
      <c r="E143" s="2"/>
    </row>
    <row r="144" spans="2:5" x14ac:dyDescent="0.25">
      <c r="B144" s="1" t="s">
        <v>191</v>
      </c>
      <c r="C144" s="121" t="s">
        <v>135</v>
      </c>
      <c r="D144" s="50" t="s">
        <v>32</v>
      </c>
      <c r="E144" s="2"/>
    </row>
    <row r="145" spans="2:5" x14ac:dyDescent="0.25">
      <c r="B145" s="1" t="s">
        <v>192</v>
      </c>
      <c r="C145" s="96" t="str">
        <f>C50</f>
        <v>NO</v>
      </c>
      <c r="D145" s="50" t="s">
        <v>32</v>
      </c>
      <c r="E145" s="2"/>
    </row>
    <row r="146" spans="2:5" x14ac:dyDescent="0.25">
      <c r="B146" s="1" t="s">
        <v>127</v>
      </c>
      <c r="C146" s="98">
        <f>-C26/100</f>
        <v>-0.3</v>
      </c>
      <c r="D146" s="4" t="s">
        <v>46</v>
      </c>
      <c r="E146" s="2"/>
    </row>
    <row r="147" spans="2:5" x14ac:dyDescent="0.25">
      <c r="B147" s="1" t="s">
        <v>128</v>
      </c>
      <c r="C147" s="151">
        <f>C54</f>
        <v>1658.5714285714284</v>
      </c>
      <c r="D147" s="4" t="s">
        <v>8</v>
      </c>
      <c r="E147" s="2"/>
    </row>
    <row r="148" spans="2:5" x14ac:dyDescent="0.25">
      <c r="B148" s="1" t="s">
        <v>18</v>
      </c>
      <c r="C148" s="151">
        <f>C88</f>
        <v>311.04000000000002</v>
      </c>
      <c r="D148" s="4" t="s">
        <v>8</v>
      </c>
      <c r="E148" s="2"/>
    </row>
    <row r="149" spans="2:5" x14ac:dyDescent="0.25">
      <c r="B149" s="1" t="s">
        <v>132</v>
      </c>
      <c r="C149" s="151">
        <f>C110/20</f>
        <v>151.63200000000001</v>
      </c>
      <c r="D149" s="4" t="s">
        <v>20</v>
      </c>
      <c r="E149" s="2" t="s">
        <v>251</v>
      </c>
    </row>
    <row r="150" spans="2:5" x14ac:dyDescent="0.25">
      <c r="B150" s="1"/>
      <c r="C150" s="96">
        <f>C149/2</f>
        <v>75.816000000000003</v>
      </c>
      <c r="D150" s="4" t="s">
        <v>133</v>
      </c>
      <c r="E150" s="2" t="s">
        <v>252</v>
      </c>
    </row>
    <row r="151" spans="2:5" x14ac:dyDescent="0.25">
      <c r="B151" s="1" t="s">
        <v>134</v>
      </c>
      <c r="C151" s="121" t="s">
        <v>135</v>
      </c>
      <c r="D151" s="50" t="s">
        <v>32</v>
      </c>
      <c r="E151" s="2"/>
    </row>
    <row r="152" spans="2:5" x14ac:dyDescent="0.25">
      <c r="B152" s="16" t="s">
        <v>138</v>
      </c>
      <c r="C152" s="122" t="s">
        <v>135</v>
      </c>
      <c r="D152" s="18" t="s">
        <v>32</v>
      </c>
      <c r="E152" s="34"/>
    </row>
    <row r="154" spans="2:5" x14ac:dyDescent="0.25">
      <c r="B154" s="23" t="s">
        <v>139</v>
      </c>
      <c r="C154" s="24" t="s">
        <v>205</v>
      </c>
      <c r="D154" s="25" t="s">
        <v>19</v>
      </c>
      <c r="E154" s="35" t="s">
        <v>28</v>
      </c>
    </row>
    <row r="155" spans="2:5" x14ac:dyDescent="0.25">
      <c r="B155" s="11" t="s">
        <v>34</v>
      </c>
      <c r="C155" s="42"/>
      <c r="D155" s="12"/>
      <c r="E155" s="32"/>
    </row>
    <row r="156" spans="2:5" x14ac:dyDescent="0.25">
      <c r="B156" s="38" t="s">
        <v>90</v>
      </c>
      <c r="C156" s="15"/>
      <c r="D156" s="27"/>
      <c r="E156" s="2"/>
    </row>
    <row r="157" spans="2:5" ht="33.75" customHeight="1" x14ac:dyDescent="0.25">
      <c r="B157" s="1" t="s">
        <v>118</v>
      </c>
      <c r="C157" s="158" t="s">
        <v>137</v>
      </c>
      <c r="D157" s="27"/>
      <c r="E157" s="2" t="s">
        <v>296</v>
      </c>
    </row>
    <row r="158" spans="2:5" x14ac:dyDescent="0.25">
      <c r="B158" s="1" t="s">
        <v>91</v>
      </c>
      <c r="C158" s="3">
        <f>C159*C9/24</f>
        <v>1250</v>
      </c>
      <c r="D158" s="4" t="s">
        <v>8</v>
      </c>
      <c r="E158" s="2"/>
    </row>
    <row r="159" spans="2:5" x14ac:dyDescent="0.25">
      <c r="B159" s="26" t="s">
        <v>35</v>
      </c>
      <c r="C159" s="157">
        <v>0.75</v>
      </c>
      <c r="D159" s="27" t="s">
        <v>36</v>
      </c>
      <c r="E159" s="36" t="s">
        <v>227</v>
      </c>
    </row>
    <row r="160" spans="2:5" x14ac:dyDescent="0.25">
      <c r="B160" s="1" t="s">
        <v>93</v>
      </c>
      <c r="C160" s="159">
        <v>30</v>
      </c>
      <c r="D160" s="27" t="s">
        <v>46</v>
      </c>
      <c r="E160" s="36" t="s">
        <v>228</v>
      </c>
    </row>
    <row r="161" spans="2:5" x14ac:dyDescent="0.25">
      <c r="B161" s="1" t="s">
        <v>45</v>
      </c>
      <c r="C161" s="159">
        <v>50</v>
      </c>
      <c r="D161" s="27" t="s">
        <v>46</v>
      </c>
      <c r="E161" s="36" t="s">
        <v>229</v>
      </c>
    </row>
    <row r="162" spans="2:5" x14ac:dyDescent="0.25">
      <c r="B162" s="38" t="s">
        <v>140</v>
      </c>
      <c r="C162" s="15"/>
      <c r="D162" s="27"/>
      <c r="E162" s="36"/>
    </row>
    <row r="163" spans="2:5" x14ac:dyDescent="0.25">
      <c r="B163" s="1" t="s">
        <v>94</v>
      </c>
      <c r="C163" s="3">
        <f>(1-C160/100)*C16</f>
        <v>3360</v>
      </c>
      <c r="D163" s="4" t="s">
        <v>1</v>
      </c>
      <c r="E163" s="36"/>
    </row>
    <row r="164" spans="2:5" x14ac:dyDescent="0.25">
      <c r="B164" s="1" t="s">
        <v>95</v>
      </c>
      <c r="C164" s="3">
        <f>(1-C161/100)*C9*C12/1000</f>
        <v>2400</v>
      </c>
      <c r="D164" s="4" t="s">
        <v>1</v>
      </c>
      <c r="E164" s="36"/>
    </row>
    <row r="165" spans="2:5" x14ac:dyDescent="0.25">
      <c r="B165" s="13" t="s">
        <v>4</v>
      </c>
      <c r="C165" s="43"/>
      <c r="D165" s="14"/>
      <c r="E165" s="33"/>
    </row>
    <row r="166" spans="2:5" x14ac:dyDescent="0.25">
      <c r="B166" s="38" t="s">
        <v>141</v>
      </c>
      <c r="C166" s="15"/>
      <c r="D166" s="27"/>
      <c r="E166" s="36"/>
    </row>
    <row r="167" spans="2:5" x14ac:dyDescent="0.25">
      <c r="B167" s="1" t="s">
        <v>47</v>
      </c>
      <c r="C167" s="3">
        <f>C9*C12/1000*C161/100</f>
        <v>2400</v>
      </c>
      <c r="D167" s="27" t="s">
        <v>7</v>
      </c>
      <c r="E167" s="2"/>
    </row>
    <row r="168" spans="2:5" ht="22.5" x14ac:dyDescent="0.25">
      <c r="B168" s="1" t="s">
        <v>44</v>
      </c>
      <c r="C168" s="159">
        <v>3.5</v>
      </c>
      <c r="D168" s="4" t="s">
        <v>5</v>
      </c>
      <c r="E168" s="2" t="s">
        <v>221</v>
      </c>
    </row>
    <row r="169" spans="2:5" ht="22.5" x14ac:dyDescent="0.25">
      <c r="B169" s="1" t="s">
        <v>59</v>
      </c>
      <c r="C169" s="3">
        <f>C13*100</f>
        <v>75</v>
      </c>
      <c r="D169" s="4" t="s">
        <v>60</v>
      </c>
      <c r="E169" s="36" t="s">
        <v>230</v>
      </c>
    </row>
    <row r="170" spans="2:5" x14ac:dyDescent="0.25">
      <c r="B170" s="1" t="s">
        <v>199</v>
      </c>
      <c r="C170" s="15">
        <f>C167/(C168*10)</f>
        <v>68.571428571428569</v>
      </c>
      <c r="D170" s="4" t="s">
        <v>6</v>
      </c>
      <c r="E170" s="2"/>
    </row>
    <row r="171" spans="2:5" x14ac:dyDescent="0.25">
      <c r="B171" s="38" t="s">
        <v>142</v>
      </c>
      <c r="C171" s="15"/>
      <c r="D171" s="27"/>
      <c r="E171" s="36"/>
    </row>
    <row r="172" spans="2:5" ht="22.5" x14ac:dyDescent="0.25">
      <c r="B172" s="1" t="s">
        <v>143</v>
      </c>
      <c r="C172" s="157">
        <v>0.65</v>
      </c>
      <c r="D172" s="4" t="s">
        <v>23</v>
      </c>
      <c r="E172" s="36" t="s">
        <v>245</v>
      </c>
    </row>
    <row r="173" spans="2:5" x14ac:dyDescent="0.25">
      <c r="B173" s="1"/>
      <c r="C173" s="3">
        <f>C172*C16*(1-C160/100)</f>
        <v>2184</v>
      </c>
      <c r="D173" s="4" t="s">
        <v>7</v>
      </c>
      <c r="E173" s="2"/>
    </row>
    <row r="174" spans="2:5" ht="22.5" x14ac:dyDescent="0.25">
      <c r="B174" s="1" t="s">
        <v>144</v>
      </c>
      <c r="C174" s="159">
        <v>6</v>
      </c>
      <c r="D174" s="4" t="s">
        <v>5</v>
      </c>
      <c r="E174" s="2" t="s">
        <v>220</v>
      </c>
    </row>
    <row r="175" spans="2:5" x14ac:dyDescent="0.25">
      <c r="B175" s="1" t="s">
        <v>145</v>
      </c>
      <c r="C175" s="158">
        <v>70</v>
      </c>
      <c r="D175" s="4" t="s">
        <v>60</v>
      </c>
      <c r="E175" s="2" t="s">
        <v>246</v>
      </c>
    </row>
    <row r="176" spans="2:5" x14ac:dyDescent="0.25">
      <c r="B176" s="1" t="s">
        <v>200</v>
      </c>
      <c r="C176" s="15">
        <f>C173/(C174*10)</f>
        <v>36.4</v>
      </c>
      <c r="D176" s="4" t="s">
        <v>6</v>
      </c>
      <c r="E176" s="2"/>
    </row>
    <row r="177" spans="2:5" x14ac:dyDescent="0.25">
      <c r="B177" s="13" t="s">
        <v>52</v>
      </c>
      <c r="C177" s="43"/>
      <c r="D177" s="14"/>
      <c r="E177" s="33"/>
    </row>
    <row r="178" spans="2:5" x14ac:dyDescent="0.25">
      <c r="B178" s="37" t="s">
        <v>219</v>
      </c>
      <c r="C178" s="53" t="str">
        <f>C44</f>
        <v>NO</v>
      </c>
      <c r="D178" s="4"/>
      <c r="E178" s="36" t="s">
        <v>247</v>
      </c>
    </row>
    <row r="179" spans="2:5" x14ac:dyDescent="0.25">
      <c r="B179" s="1" t="s">
        <v>55</v>
      </c>
      <c r="C179" s="53">
        <f>C45</f>
        <v>0</v>
      </c>
      <c r="D179" s="4"/>
      <c r="E179" s="36" t="s">
        <v>247</v>
      </c>
    </row>
    <row r="180" spans="2:5" x14ac:dyDescent="0.25">
      <c r="B180" s="1" t="s">
        <v>56</v>
      </c>
      <c r="C180" s="53">
        <f>C46</f>
        <v>0</v>
      </c>
      <c r="D180" s="4" t="s">
        <v>6</v>
      </c>
      <c r="E180" s="36" t="s">
        <v>247</v>
      </c>
    </row>
    <row r="181" spans="2:5" x14ac:dyDescent="0.25">
      <c r="B181" s="1" t="s">
        <v>57</v>
      </c>
      <c r="C181" s="53">
        <f>C47</f>
        <v>5</v>
      </c>
      <c r="D181" s="4" t="s">
        <v>58</v>
      </c>
      <c r="E181" s="36" t="s">
        <v>247</v>
      </c>
    </row>
    <row r="182" spans="2:5" x14ac:dyDescent="0.25">
      <c r="B182" s="1" t="s">
        <v>77</v>
      </c>
      <c r="C182" s="53">
        <f>C48</f>
        <v>90</v>
      </c>
      <c r="D182" s="4" t="s">
        <v>60</v>
      </c>
      <c r="E182" s="36" t="s">
        <v>247</v>
      </c>
    </row>
    <row r="183" spans="2:5" x14ac:dyDescent="0.25">
      <c r="B183" s="13" t="s">
        <v>50</v>
      </c>
      <c r="C183" s="43"/>
      <c r="D183" s="14"/>
      <c r="E183" s="33"/>
    </row>
    <row r="184" spans="2:5" ht="33.75" x14ac:dyDescent="0.25">
      <c r="B184" s="1" t="s">
        <v>51</v>
      </c>
      <c r="C184" s="158">
        <v>15</v>
      </c>
      <c r="D184" s="4" t="s">
        <v>194</v>
      </c>
      <c r="E184" s="36" t="s">
        <v>232</v>
      </c>
    </row>
    <row r="185" spans="2:5" x14ac:dyDescent="0.25">
      <c r="B185" s="1" t="s">
        <v>96</v>
      </c>
      <c r="C185" s="3">
        <f>C184*C190</f>
        <v>1574.5714285714284</v>
      </c>
      <c r="D185" s="4" t="s">
        <v>8</v>
      </c>
      <c r="E185" s="2"/>
    </row>
    <row r="186" spans="2:5" x14ac:dyDescent="0.25">
      <c r="B186" s="5" t="s">
        <v>61</v>
      </c>
      <c r="C186" s="3"/>
      <c r="D186" s="4"/>
      <c r="E186" s="2"/>
    </row>
    <row r="187" spans="2:5" x14ac:dyDescent="0.25">
      <c r="B187" s="1" t="s">
        <v>62</v>
      </c>
      <c r="C187" s="3">
        <f>C170</f>
        <v>68.571428571428569</v>
      </c>
      <c r="D187" s="4" t="s">
        <v>6</v>
      </c>
      <c r="E187" s="2"/>
    </row>
    <row r="188" spans="2:5" x14ac:dyDescent="0.25">
      <c r="B188" s="1" t="s">
        <v>146</v>
      </c>
      <c r="C188" s="3">
        <f>C176</f>
        <v>36.4</v>
      </c>
      <c r="D188" s="4" t="s">
        <v>6</v>
      </c>
      <c r="E188" s="2"/>
    </row>
    <row r="189" spans="2:5" x14ac:dyDescent="0.25">
      <c r="B189" s="1" t="s">
        <v>64</v>
      </c>
      <c r="C189" s="3">
        <f>C180</f>
        <v>0</v>
      </c>
      <c r="D189" s="4" t="s">
        <v>6</v>
      </c>
      <c r="E189" s="2"/>
    </row>
    <row r="190" spans="2:5" x14ac:dyDescent="0.25">
      <c r="B190" s="1" t="s">
        <v>53</v>
      </c>
      <c r="C190" s="3">
        <f>SUM(C187:C189)</f>
        <v>104.97142857142856</v>
      </c>
      <c r="D190" s="4" t="s">
        <v>6</v>
      </c>
      <c r="E190" s="2"/>
    </row>
    <row r="191" spans="2:5" x14ac:dyDescent="0.25">
      <c r="B191" s="5" t="s">
        <v>65</v>
      </c>
      <c r="C191" s="3"/>
      <c r="D191" s="4"/>
      <c r="E191" s="2"/>
    </row>
    <row r="192" spans="2:5" x14ac:dyDescent="0.25">
      <c r="B192" s="1" t="s">
        <v>62</v>
      </c>
      <c r="C192" s="3">
        <f>C167</f>
        <v>2400</v>
      </c>
      <c r="D192" s="4" t="s">
        <v>7</v>
      </c>
      <c r="E192" s="2"/>
    </row>
    <row r="193" spans="2:5" x14ac:dyDescent="0.25">
      <c r="B193" s="1" t="s">
        <v>63</v>
      </c>
      <c r="C193" s="3">
        <f>C173</f>
        <v>2184</v>
      </c>
      <c r="D193" s="4" t="s">
        <v>7</v>
      </c>
      <c r="E193" s="2"/>
    </row>
    <row r="194" spans="2:5" x14ac:dyDescent="0.25">
      <c r="B194" s="1" t="s">
        <v>64</v>
      </c>
      <c r="C194" s="3">
        <f>1000*C180*C181/100</f>
        <v>0</v>
      </c>
      <c r="D194" s="4" t="s">
        <v>7</v>
      </c>
      <c r="E194" s="2"/>
    </row>
    <row r="195" spans="2:5" x14ac:dyDescent="0.25">
      <c r="B195" s="1" t="s">
        <v>53</v>
      </c>
      <c r="C195" s="3">
        <f>SUM(C192:C194)</f>
        <v>4584</v>
      </c>
      <c r="D195" s="4" t="s">
        <v>7</v>
      </c>
      <c r="E195" s="2"/>
    </row>
    <row r="196" spans="2:5" x14ac:dyDescent="0.25">
      <c r="B196" s="5" t="s">
        <v>66</v>
      </c>
      <c r="C196" s="3"/>
      <c r="D196" s="4"/>
      <c r="E196" s="2"/>
    </row>
    <row r="197" spans="2:5" x14ac:dyDescent="0.25">
      <c r="B197" s="1" t="s">
        <v>62</v>
      </c>
      <c r="C197" s="3">
        <f>C192*C169/100</f>
        <v>1800</v>
      </c>
      <c r="D197" s="4" t="s">
        <v>67</v>
      </c>
      <c r="E197" s="2"/>
    </row>
    <row r="198" spans="2:5" x14ac:dyDescent="0.25">
      <c r="B198" s="1" t="s">
        <v>63</v>
      </c>
      <c r="C198" s="3">
        <f>C193*C175/100</f>
        <v>1528.8</v>
      </c>
      <c r="D198" s="4" t="s">
        <v>67</v>
      </c>
      <c r="E198" s="2"/>
    </row>
    <row r="199" spans="2:5" x14ac:dyDescent="0.25">
      <c r="B199" s="1" t="s">
        <v>64</v>
      </c>
      <c r="C199" s="3">
        <f>C194*C182/100</f>
        <v>0</v>
      </c>
      <c r="D199" s="4" t="s">
        <v>67</v>
      </c>
      <c r="E199" s="2"/>
    </row>
    <row r="200" spans="2:5" x14ac:dyDescent="0.25">
      <c r="B200" s="1" t="s">
        <v>53</v>
      </c>
      <c r="C200" s="3">
        <f>SUM(C197:C199)</f>
        <v>3328.8</v>
      </c>
      <c r="D200" s="4" t="s">
        <v>67</v>
      </c>
      <c r="E200" s="2"/>
    </row>
    <row r="201" spans="2:5" x14ac:dyDescent="0.25">
      <c r="B201" s="5" t="s">
        <v>72</v>
      </c>
      <c r="C201" s="3"/>
      <c r="D201" s="27"/>
      <c r="E201" s="2"/>
    </row>
    <row r="202" spans="2:5" x14ac:dyDescent="0.25">
      <c r="B202" s="26" t="s">
        <v>68</v>
      </c>
      <c r="C202" s="3">
        <f>C71</f>
        <v>60</v>
      </c>
      <c r="D202" s="27" t="s">
        <v>73</v>
      </c>
      <c r="E202" s="36" t="s">
        <v>247</v>
      </c>
    </row>
    <row r="203" spans="2:5" x14ac:dyDescent="0.25">
      <c r="B203" s="26" t="s">
        <v>147</v>
      </c>
      <c r="C203" s="3">
        <f>C72</f>
        <v>40</v>
      </c>
      <c r="D203" s="27" t="s">
        <v>73</v>
      </c>
      <c r="E203" s="36" t="s">
        <v>247</v>
      </c>
    </row>
    <row r="204" spans="2:5" x14ac:dyDescent="0.25">
      <c r="B204" s="26" t="s">
        <v>70</v>
      </c>
      <c r="C204" s="3">
        <f>C73</f>
        <v>85</v>
      </c>
      <c r="D204" s="27" t="s">
        <v>73</v>
      </c>
      <c r="E204" s="36" t="s">
        <v>247</v>
      </c>
    </row>
    <row r="205" spans="2:5" x14ac:dyDescent="0.25">
      <c r="B205" s="5" t="s">
        <v>89</v>
      </c>
      <c r="C205" s="3"/>
      <c r="D205" s="27"/>
      <c r="E205" s="36"/>
    </row>
    <row r="206" spans="2:5" x14ac:dyDescent="0.25">
      <c r="B206" s="26" t="s">
        <v>68</v>
      </c>
      <c r="C206" s="3">
        <f>C197*C202/100</f>
        <v>1080</v>
      </c>
      <c r="D206" s="27" t="s">
        <v>74</v>
      </c>
      <c r="E206" s="36"/>
    </row>
    <row r="207" spans="2:5" x14ac:dyDescent="0.25">
      <c r="B207" s="26" t="s">
        <v>69</v>
      </c>
      <c r="C207" s="3">
        <f t="shared" ref="C207" si="2">C198*C203/100</f>
        <v>611.52</v>
      </c>
      <c r="D207" s="27" t="s">
        <v>74</v>
      </c>
      <c r="E207" s="36"/>
    </row>
    <row r="208" spans="2:5" x14ac:dyDescent="0.25">
      <c r="B208" s="26" t="s">
        <v>70</v>
      </c>
      <c r="C208" s="3">
        <f t="shared" ref="C208" si="3">C199*C204/100</f>
        <v>0</v>
      </c>
      <c r="D208" s="27" t="s">
        <v>74</v>
      </c>
      <c r="E208" s="36"/>
    </row>
    <row r="209" spans="2:5" x14ac:dyDescent="0.25">
      <c r="B209" s="26" t="s">
        <v>71</v>
      </c>
      <c r="C209" s="3">
        <f>SUM(C206:C208)</f>
        <v>1691.52</v>
      </c>
      <c r="D209" s="27" t="s">
        <v>74</v>
      </c>
      <c r="E209" s="2"/>
    </row>
    <row r="210" spans="2:5" x14ac:dyDescent="0.25">
      <c r="B210" s="13" t="s">
        <v>97</v>
      </c>
      <c r="C210" s="43"/>
      <c r="D210" s="14"/>
      <c r="E210" s="33"/>
    </row>
    <row r="211" spans="2:5" x14ac:dyDescent="0.25">
      <c r="B211" s="26" t="s">
        <v>98</v>
      </c>
      <c r="C211" s="3">
        <f>C80</f>
        <v>23</v>
      </c>
      <c r="D211" s="27" t="s">
        <v>5</v>
      </c>
      <c r="E211" s="36" t="s">
        <v>247</v>
      </c>
    </row>
    <row r="212" spans="2:5" x14ac:dyDescent="0.25">
      <c r="B212" s="26" t="s">
        <v>99</v>
      </c>
      <c r="C212" s="3">
        <f>C195-C209</f>
        <v>2892.48</v>
      </c>
      <c r="D212" s="4" t="s">
        <v>7</v>
      </c>
      <c r="E212" s="36"/>
    </row>
    <row r="213" spans="2:5" x14ac:dyDescent="0.25">
      <c r="B213" s="26" t="s">
        <v>100</v>
      </c>
      <c r="C213" s="3">
        <f>1000*C212/C17</f>
        <v>36.155999999999999</v>
      </c>
      <c r="D213" s="4" t="s">
        <v>101</v>
      </c>
      <c r="E213" s="36"/>
    </row>
    <row r="214" spans="2:5" x14ac:dyDescent="0.25">
      <c r="B214" s="26"/>
      <c r="C214" s="3">
        <f>1000*C212/C18</f>
        <v>30.13</v>
      </c>
      <c r="D214" s="4" t="s">
        <v>102</v>
      </c>
      <c r="E214" s="36"/>
    </row>
    <row r="215" spans="2:5" x14ac:dyDescent="0.25">
      <c r="B215" s="26" t="s">
        <v>202</v>
      </c>
      <c r="C215" s="15">
        <f>C212/(C211*10)</f>
        <v>12.576000000000001</v>
      </c>
      <c r="D215" s="4" t="s">
        <v>6</v>
      </c>
      <c r="E215" s="36"/>
    </row>
    <row r="216" spans="2:5" x14ac:dyDescent="0.25">
      <c r="B216" s="26"/>
      <c r="C216" s="96">
        <f>C215*365</f>
        <v>4590.24</v>
      </c>
      <c r="D216" s="4" t="s">
        <v>17</v>
      </c>
      <c r="E216" s="36"/>
    </row>
    <row r="217" spans="2:5" x14ac:dyDescent="0.25">
      <c r="B217" s="13" t="s">
        <v>75</v>
      </c>
      <c r="C217" s="43"/>
      <c r="D217" s="14"/>
      <c r="E217" s="33"/>
    </row>
    <row r="218" spans="2:5" ht="22.5" x14ac:dyDescent="0.25">
      <c r="B218" s="1" t="s">
        <v>129</v>
      </c>
      <c r="C218" s="3">
        <f>C87</f>
        <v>20</v>
      </c>
      <c r="D218" s="2" t="s">
        <v>130</v>
      </c>
      <c r="E218" s="36" t="s">
        <v>247</v>
      </c>
    </row>
    <row r="219" spans="2:5" x14ac:dyDescent="0.25">
      <c r="B219" s="1" t="s">
        <v>131</v>
      </c>
      <c r="C219" s="3">
        <f>C218/100*C228</f>
        <v>296.928</v>
      </c>
      <c r="D219" s="4" t="s">
        <v>8</v>
      </c>
      <c r="E219" s="36"/>
    </row>
    <row r="220" spans="2:5" x14ac:dyDescent="0.25">
      <c r="B220" s="38" t="s">
        <v>78</v>
      </c>
      <c r="C220" s="6"/>
      <c r="D220" s="4"/>
      <c r="E220" s="36"/>
    </row>
    <row r="221" spans="2:5" x14ac:dyDescent="0.25">
      <c r="B221" s="1" t="s">
        <v>80</v>
      </c>
      <c r="C221" s="3">
        <f>C90</f>
        <v>950</v>
      </c>
      <c r="D221" s="27" t="s">
        <v>79</v>
      </c>
      <c r="E221" s="36" t="s">
        <v>247</v>
      </c>
    </row>
    <row r="222" spans="2:5" x14ac:dyDescent="0.25">
      <c r="B222" s="1" t="s">
        <v>148</v>
      </c>
      <c r="C222" s="3">
        <f>C91</f>
        <v>750</v>
      </c>
      <c r="D222" s="27" t="s">
        <v>79</v>
      </c>
      <c r="E222" s="36" t="s">
        <v>247</v>
      </c>
    </row>
    <row r="223" spans="2:5" x14ac:dyDescent="0.25">
      <c r="B223" s="1" t="s">
        <v>82</v>
      </c>
      <c r="C223" s="3">
        <f>C92</f>
        <v>1000</v>
      </c>
      <c r="D223" s="27" t="s">
        <v>79</v>
      </c>
      <c r="E223" s="36" t="s">
        <v>247</v>
      </c>
    </row>
    <row r="224" spans="2:5" x14ac:dyDescent="0.25">
      <c r="B224" s="38" t="s">
        <v>83</v>
      </c>
      <c r="C224" s="41"/>
      <c r="D224" s="4"/>
      <c r="E224" s="36"/>
    </row>
    <row r="225" spans="2:5" x14ac:dyDescent="0.25">
      <c r="B225" s="1" t="s">
        <v>84</v>
      </c>
      <c r="C225" s="3">
        <f t="shared" ref="C225:C227" si="4">C221/1000*C206</f>
        <v>1026</v>
      </c>
      <c r="D225" s="4" t="s">
        <v>6</v>
      </c>
      <c r="E225" s="36"/>
    </row>
    <row r="226" spans="2:5" x14ac:dyDescent="0.25">
      <c r="B226" s="1" t="s">
        <v>149</v>
      </c>
      <c r="C226" s="3">
        <f t="shared" si="4"/>
        <v>458.64</v>
      </c>
      <c r="D226" s="4" t="s">
        <v>6</v>
      </c>
      <c r="E226" s="36"/>
    </row>
    <row r="227" spans="2:5" x14ac:dyDescent="0.25">
      <c r="B227" s="1" t="s">
        <v>86</v>
      </c>
      <c r="C227" s="3">
        <f t="shared" si="4"/>
        <v>0</v>
      </c>
      <c r="D227" s="4" t="s">
        <v>6</v>
      </c>
      <c r="E227" s="36"/>
    </row>
    <row r="228" spans="2:5" x14ac:dyDescent="0.25">
      <c r="B228" s="1" t="s">
        <v>88</v>
      </c>
      <c r="C228" s="3">
        <f>SUM(C225:C227)</f>
        <v>1484.6399999999999</v>
      </c>
      <c r="D228" s="4" t="s">
        <v>6</v>
      </c>
      <c r="E228" s="36"/>
    </row>
    <row r="229" spans="2:5" x14ac:dyDescent="0.25">
      <c r="B229" s="26"/>
      <c r="C229" s="151">
        <f>C228*365</f>
        <v>541893.6</v>
      </c>
      <c r="D229" s="4" t="s">
        <v>17</v>
      </c>
      <c r="E229" s="36"/>
    </row>
    <row r="230" spans="2:5" x14ac:dyDescent="0.25">
      <c r="B230" s="26" t="s">
        <v>103</v>
      </c>
      <c r="C230" s="3">
        <f>C228*1000/C17</f>
        <v>18.557999999999996</v>
      </c>
      <c r="D230" s="4" t="s">
        <v>104</v>
      </c>
      <c r="E230" s="36"/>
    </row>
    <row r="231" spans="2:5" x14ac:dyDescent="0.25">
      <c r="B231" s="26"/>
      <c r="C231" s="3">
        <f>C228*1000/C18</f>
        <v>15.464999999999998</v>
      </c>
      <c r="D231" s="4" t="s">
        <v>105</v>
      </c>
      <c r="E231" s="36"/>
    </row>
    <row r="232" spans="2:5" x14ac:dyDescent="0.25">
      <c r="B232" s="38" t="s">
        <v>110</v>
      </c>
      <c r="C232" s="3"/>
      <c r="D232" s="4"/>
      <c r="E232" s="36"/>
    </row>
    <row r="233" spans="2:5" x14ac:dyDescent="0.25">
      <c r="B233" s="26" t="s">
        <v>183</v>
      </c>
      <c r="C233" s="3">
        <f>C103</f>
        <v>65</v>
      </c>
      <c r="D233" s="4" t="s">
        <v>106</v>
      </c>
      <c r="E233" s="36" t="s">
        <v>247</v>
      </c>
    </row>
    <row r="234" spans="2:5" x14ac:dyDescent="0.25">
      <c r="B234" s="26" t="s">
        <v>108</v>
      </c>
      <c r="C234" s="3">
        <f>C104</f>
        <v>60</v>
      </c>
      <c r="D234" s="4" t="s">
        <v>106</v>
      </c>
      <c r="E234" s="36" t="s">
        <v>247</v>
      </c>
    </row>
    <row r="235" spans="2:5" x14ac:dyDescent="0.25">
      <c r="B235" s="26" t="s">
        <v>109</v>
      </c>
      <c r="C235" s="39">
        <f>((C225+C226)*C233+C227*C234)/C228</f>
        <v>65</v>
      </c>
      <c r="D235" s="4" t="s">
        <v>106</v>
      </c>
      <c r="E235" s="36"/>
    </row>
    <row r="236" spans="2:5" x14ac:dyDescent="0.25">
      <c r="B236" s="13" t="s">
        <v>9</v>
      </c>
      <c r="C236" s="43"/>
      <c r="D236" s="14"/>
      <c r="E236" s="33"/>
    </row>
    <row r="237" spans="2:5" x14ac:dyDescent="0.25">
      <c r="B237" s="1" t="s">
        <v>3</v>
      </c>
      <c r="C237" s="39">
        <f>C235/10</f>
        <v>6.5</v>
      </c>
      <c r="D237" s="4" t="s">
        <v>24</v>
      </c>
      <c r="E237" s="2"/>
    </row>
    <row r="238" spans="2:5" x14ac:dyDescent="0.25">
      <c r="B238" s="38" t="s">
        <v>116</v>
      </c>
      <c r="C238" s="3"/>
      <c r="D238" s="4"/>
      <c r="E238" s="2"/>
    </row>
    <row r="239" spans="2:5" x14ac:dyDescent="0.25">
      <c r="B239" s="1" t="s">
        <v>11</v>
      </c>
      <c r="C239" s="3">
        <f>C109</f>
        <v>30</v>
      </c>
      <c r="D239" s="4"/>
      <c r="E239" s="36" t="s">
        <v>247</v>
      </c>
    </row>
    <row r="240" spans="2:5" x14ac:dyDescent="0.25">
      <c r="B240" s="1" t="s">
        <v>182</v>
      </c>
      <c r="C240" s="3">
        <f>C237*C239/100*C228</f>
        <v>2895.0479999999998</v>
      </c>
      <c r="D240" s="4" t="s">
        <v>10</v>
      </c>
      <c r="E240" s="36"/>
    </row>
    <row r="241" spans="2:5" x14ac:dyDescent="0.25">
      <c r="B241" s="1"/>
      <c r="C241" s="15">
        <f>C240*365/C17</f>
        <v>13.2086565</v>
      </c>
      <c r="D241" s="4" t="s">
        <v>25</v>
      </c>
      <c r="E241" s="36"/>
    </row>
    <row r="242" spans="2:5" x14ac:dyDescent="0.25">
      <c r="B242" s="1"/>
      <c r="C242" s="151">
        <f>C240*365</f>
        <v>1056692.52</v>
      </c>
      <c r="D242" s="4" t="s">
        <v>2</v>
      </c>
      <c r="E242" s="36"/>
    </row>
    <row r="243" spans="2:5" ht="22.5" x14ac:dyDescent="0.25">
      <c r="B243" s="1" t="s">
        <v>150</v>
      </c>
      <c r="C243" s="158">
        <v>15</v>
      </c>
      <c r="D243" s="4" t="s">
        <v>25</v>
      </c>
      <c r="E243" s="36" t="s">
        <v>249</v>
      </c>
    </row>
    <row r="244" spans="2:5" x14ac:dyDescent="0.25">
      <c r="B244" s="1"/>
      <c r="C244" s="3">
        <f>C243*C17/365</f>
        <v>3287.6712328767121</v>
      </c>
      <c r="D244" s="4" t="s">
        <v>10</v>
      </c>
      <c r="E244" s="36"/>
    </row>
    <row r="245" spans="2:5" x14ac:dyDescent="0.25">
      <c r="B245" s="1"/>
      <c r="C245" s="96">
        <f>C244*365</f>
        <v>1200000</v>
      </c>
      <c r="D245" s="4" t="s">
        <v>2</v>
      </c>
      <c r="E245" s="36"/>
    </row>
    <row r="246" spans="2:5" x14ac:dyDescent="0.25">
      <c r="B246" s="68" t="s">
        <v>274</v>
      </c>
      <c r="C246" s="97">
        <f>C242/C245</f>
        <v>0.8805771</v>
      </c>
      <c r="D246" s="4" t="s">
        <v>115</v>
      </c>
      <c r="E246" s="36"/>
    </row>
    <row r="247" spans="2:5" x14ac:dyDescent="0.25">
      <c r="B247" s="38" t="s">
        <v>117</v>
      </c>
      <c r="C247" s="3"/>
      <c r="D247" s="4"/>
      <c r="E247" s="36"/>
    </row>
    <row r="248" spans="2:5" x14ac:dyDescent="0.25">
      <c r="B248" s="1" t="s">
        <v>181</v>
      </c>
      <c r="C248" s="3">
        <f>C118</f>
        <v>50</v>
      </c>
      <c r="D248" s="4" t="s">
        <v>46</v>
      </c>
      <c r="E248" s="36" t="s">
        <v>247</v>
      </c>
    </row>
    <row r="249" spans="2:5" x14ac:dyDescent="0.25">
      <c r="B249" s="1" t="s">
        <v>12</v>
      </c>
      <c r="C249" s="3">
        <f>C237*C248/100*C228</f>
        <v>4825.08</v>
      </c>
      <c r="D249" s="4" t="s">
        <v>10</v>
      </c>
      <c r="E249" s="36"/>
    </row>
    <row r="250" spans="2:5" x14ac:dyDescent="0.25">
      <c r="B250" s="1"/>
      <c r="C250" s="96">
        <f>C249*365</f>
        <v>1761154.2</v>
      </c>
      <c r="D250" s="4" t="s">
        <v>2</v>
      </c>
      <c r="E250" s="2"/>
    </row>
    <row r="251" spans="2:5" x14ac:dyDescent="0.25">
      <c r="B251" s="13" t="s">
        <v>279</v>
      </c>
      <c r="C251" s="43"/>
      <c r="D251" s="14"/>
      <c r="E251" s="33"/>
    </row>
    <row r="252" spans="2:5" x14ac:dyDescent="0.25">
      <c r="B252" s="71" t="s">
        <v>280</v>
      </c>
      <c r="C252" s="96">
        <f>'Basic Module'!C12</f>
        <v>565</v>
      </c>
      <c r="D252" s="81" t="s">
        <v>211</v>
      </c>
      <c r="E252" s="2"/>
    </row>
    <row r="253" spans="2:5" x14ac:dyDescent="0.25">
      <c r="B253" s="1" t="s">
        <v>277</v>
      </c>
      <c r="C253" s="96">
        <f>C242</f>
        <v>1056692.52</v>
      </c>
      <c r="D253" s="4" t="s">
        <v>2</v>
      </c>
      <c r="E253" s="2"/>
    </row>
    <row r="254" spans="2:5" ht="24" x14ac:dyDescent="0.25">
      <c r="B254" s="1" t="s">
        <v>278</v>
      </c>
      <c r="C254" s="152">
        <f>-C252/1000000*C253</f>
        <v>-597.03127380000001</v>
      </c>
      <c r="D254" s="4" t="s">
        <v>282</v>
      </c>
      <c r="E254" s="2" t="s">
        <v>284</v>
      </c>
    </row>
    <row r="255" spans="2:5" ht="33.75" x14ac:dyDescent="0.25">
      <c r="B255" s="37" t="s">
        <v>306</v>
      </c>
      <c r="C255" s="152">
        <v>0</v>
      </c>
      <c r="D255" s="4" t="s">
        <v>282</v>
      </c>
      <c r="E255" s="2" t="s">
        <v>291</v>
      </c>
    </row>
    <row r="256" spans="2:5" x14ac:dyDescent="0.25">
      <c r="B256" s="1" t="s">
        <v>281</v>
      </c>
      <c r="C256" s="153">
        <f>SUM(C254:C255)</f>
        <v>-597.03127380000001</v>
      </c>
      <c r="D256" s="45" t="s">
        <v>283</v>
      </c>
      <c r="E256" s="2"/>
    </row>
    <row r="257" spans="2:5" x14ac:dyDescent="0.25">
      <c r="B257" s="13" t="s">
        <v>275</v>
      </c>
      <c r="C257" s="43"/>
      <c r="D257" s="14"/>
      <c r="E257" s="33"/>
    </row>
    <row r="258" spans="2:5" x14ac:dyDescent="0.25">
      <c r="B258" s="1" t="s">
        <v>14</v>
      </c>
      <c r="C258" s="52">
        <f>'Basic Module'!C16</f>
        <v>0.15</v>
      </c>
      <c r="D258" s="4" t="s">
        <v>119</v>
      </c>
      <c r="E258" s="2"/>
    </row>
    <row r="259" spans="2:5" x14ac:dyDescent="0.25">
      <c r="B259" s="1" t="s">
        <v>120</v>
      </c>
      <c r="C259" s="3">
        <f>-C240*C258</f>
        <v>-434.25719999999995</v>
      </c>
      <c r="D259" s="4" t="s">
        <v>121</v>
      </c>
      <c r="E259" s="36" t="s">
        <v>250</v>
      </c>
    </row>
    <row r="260" spans="2:5" x14ac:dyDescent="0.25">
      <c r="B260" s="1"/>
      <c r="C260" s="152">
        <f>C259*365</f>
        <v>-158503.878</v>
      </c>
      <c r="D260" s="40" t="s">
        <v>122</v>
      </c>
      <c r="E260" s="36"/>
    </row>
    <row r="261" spans="2:5" x14ac:dyDescent="0.25">
      <c r="B261" s="1" t="s">
        <v>123</v>
      </c>
      <c r="C261" s="52">
        <f>'Basic Module'!C17</f>
        <v>10</v>
      </c>
      <c r="D261" s="4" t="s">
        <v>124</v>
      </c>
      <c r="E261" s="36"/>
    </row>
    <row r="262" spans="2:5" x14ac:dyDescent="0.25">
      <c r="B262" s="1" t="s">
        <v>16</v>
      </c>
      <c r="C262" s="15">
        <f>-(C195/C212*C215-C215)</f>
        <v>-7.3544347826086955</v>
      </c>
      <c r="D262" s="4" t="s">
        <v>6</v>
      </c>
      <c r="E262" s="36"/>
    </row>
    <row r="263" spans="2:5" x14ac:dyDescent="0.25">
      <c r="B263" s="1"/>
      <c r="C263" s="96">
        <f>C262*365</f>
        <v>-2684.3686956521738</v>
      </c>
      <c r="D263" s="4" t="s">
        <v>17</v>
      </c>
      <c r="E263" s="36"/>
    </row>
    <row r="264" spans="2:5" x14ac:dyDescent="0.25">
      <c r="B264" s="1"/>
      <c r="C264" s="152">
        <f>C263*C261</f>
        <v>-26843.686956521738</v>
      </c>
      <c r="D264" s="40" t="s">
        <v>122</v>
      </c>
      <c r="E264" s="36"/>
    </row>
    <row r="265" spans="2:5" x14ac:dyDescent="0.25">
      <c r="B265" s="26" t="s">
        <v>303</v>
      </c>
      <c r="C265" s="96">
        <f>'Basic Module'!C18</f>
        <v>10000</v>
      </c>
      <c r="D265" s="4" t="s">
        <v>125</v>
      </c>
      <c r="E265" s="36"/>
    </row>
    <row r="266" spans="2:5" x14ac:dyDescent="0.25">
      <c r="B266" s="26"/>
      <c r="C266" s="152">
        <f>1.5*0.5*C17*C265/40000</f>
        <v>15000</v>
      </c>
      <c r="D266" s="40" t="s">
        <v>122</v>
      </c>
      <c r="E266" s="36" t="s">
        <v>247</v>
      </c>
    </row>
    <row r="267" spans="2:5" x14ac:dyDescent="0.25">
      <c r="B267" s="26" t="s">
        <v>22</v>
      </c>
      <c r="C267" s="152">
        <f>C140</f>
        <v>37353.382252430019</v>
      </c>
      <c r="D267" s="40" t="s">
        <v>122</v>
      </c>
      <c r="E267" s="36" t="s">
        <v>247</v>
      </c>
    </row>
    <row r="268" spans="2:5" x14ac:dyDescent="0.25">
      <c r="B268" s="44" t="s">
        <v>21</v>
      </c>
      <c r="C268" s="153">
        <f>C260+C264+C266+C267</f>
        <v>-132994.18270409171</v>
      </c>
      <c r="D268" s="45" t="s">
        <v>122</v>
      </c>
      <c r="E268" s="2"/>
    </row>
    <row r="269" spans="2:5" x14ac:dyDescent="0.25">
      <c r="B269" s="13" t="s">
        <v>276</v>
      </c>
      <c r="C269" s="43"/>
      <c r="D269" s="14"/>
      <c r="E269" s="33"/>
    </row>
    <row r="270" spans="2:5" x14ac:dyDescent="0.25">
      <c r="B270" s="1" t="s">
        <v>126</v>
      </c>
      <c r="C270" s="96">
        <f>IF(C157="NO",0,C158)</f>
        <v>1250</v>
      </c>
      <c r="D270" s="4" t="s">
        <v>8</v>
      </c>
      <c r="E270" s="2"/>
    </row>
    <row r="271" spans="2:5" x14ac:dyDescent="0.25">
      <c r="B271" s="1" t="s">
        <v>191</v>
      </c>
      <c r="C271" s="121" t="s">
        <v>135</v>
      </c>
      <c r="D271" s="50" t="s">
        <v>32</v>
      </c>
      <c r="E271" s="2"/>
    </row>
    <row r="272" spans="2:5" x14ac:dyDescent="0.25">
      <c r="B272" s="1" t="s">
        <v>128</v>
      </c>
      <c r="C272" s="151">
        <f>C185</f>
        <v>1574.5714285714284</v>
      </c>
      <c r="D272" s="4" t="s">
        <v>8</v>
      </c>
      <c r="E272" s="2"/>
    </row>
    <row r="273" spans="2:5" x14ac:dyDescent="0.25">
      <c r="B273" s="1" t="s">
        <v>18</v>
      </c>
      <c r="C273" s="151">
        <f>C219</f>
        <v>296.928</v>
      </c>
      <c r="D273" s="4" t="s">
        <v>8</v>
      </c>
      <c r="E273" s="2"/>
    </row>
    <row r="274" spans="2:5" x14ac:dyDescent="0.25">
      <c r="B274" s="1" t="s">
        <v>132</v>
      </c>
      <c r="C274" s="151">
        <f>C240/20</f>
        <v>144.75239999999999</v>
      </c>
      <c r="D274" s="4" t="s">
        <v>20</v>
      </c>
      <c r="E274" s="2" t="s">
        <v>251</v>
      </c>
    </row>
    <row r="275" spans="2:5" x14ac:dyDescent="0.25">
      <c r="B275" s="1"/>
      <c r="C275" s="96">
        <f>C274/2</f>
        <v>72.376199999999997</v>
      </c>
      <c r="D275" s="4" t="s">
        <v>133</v>
      </c>
      <c r="E275" s="2" t="s">
        <v>252</v>
      </c>
    </row>
    <row r="276" spans="2:5" x14ac:dyDescent="0.25">
      <c r="B276" s="1" t="s">
        <v>134</v>
      </c>
      <c r="C276" s="121" t="s">
        <v>135</v>
      </c>
      <c r="D276" s="50" t="s">
        <v>32</v>
      </c>
      <c r="E276" s="2"/>
    </row>
    <row r="277" spans="2:5" x14ac:dyDescent="0.25">
      <c r="B277" s="16" t="s">
        <v>138</v>
      </c>
      <c r="C277" s="122" t="s">
        <v>135</v>
      </c>
      <c r="D277" s="18" t="s">
        <v>32</v>
      </c>
      <c r="E277" s="34"/>
    </row>
    <row r="279" spans="2:5" x14ac:dyDescent="0.25">
      <c r="B279" s="23" t="s">
        <v>152</v>
      </c>
      <c r="C279" s="24" t="s">
        <v>205</v>
      </c>
      <c r="D279" s="25" t="s">
        <v>19</v>
      </c>
      <c r="E279" s="35" t="s">
        <v>28</v>
      </c>
    </row>
    <row r="280" spans="2:5" x14ac:dyDescent="0.25">
      <c r="B280" s="11" t="s">
        <v>34</v>
      </c>
      <c r="C280" s="42"/>
      <c r="D280" s="12"/>
      <c r="E280" s="32"/>
    </row>
    <row r="281" spans="2:5" x14ac:dyDescent="0.25">
      <c r="B281" s="38" t="s">
        <v>153</v>
      </c>
      <c r="C281" s="15"/>
      <c r="D281" s="27"/>
      <c r="E281" s="36"/>
    </row>
    <row r="282" spans="2:5" x14ac:dyDescent="0.25">
      <c r="B282" s="1" t="s">
        <v>94</v>
      </c>
      <c r="C282" s="3">
        <f>C16</f>
        <v>4800</v>
      </c>
      <c r="D282" s="4" t="s">
        <v>1</v>
      </c>
      <c r="E282" s="36"/>
    </row>
    <row r="283" spans="2:5" x14ac:dyDescent="0.25">
      <c r="B283" s="1" t="s">
        <v>95</v>
      </c>
      <c r="C283" s="3">
        <f>C9*C12/1000</f>
        <v>4800</v>
      </c>
      <c r="D283" s="4" t="s">
        <v>1</v>
      </c>
      <c r="E283" s="36"/>
    </row>
    <row r="284" spans="2:5" x14ac:dyDescent="0.25">
      <c r="B284" s="13" t="s">
        <v>4</v>
      </c>
      <c r="C284" s="43"/>
      <c r="D284" s="14"/>
      <c r="E284" s="33"/>
    </row>
    <row r="285" spans="2:5" x14ac:dyDescent="0.25">
      <c r="B285" s="38" t="s">
        <v>142</v>
      </c>
      <c r="C285" s="15"/>
      <c r="D285" s="27"/>
      <c r="E285" s="36"/>
    </row>
    <row r="286" spans="2:5" x14ac:dyDescent="0.25">
      <c r="B286" s="1" t="s">
        <v>154</v>
      </c>
      <c r="C286" s="157">
        <v>0.3</v>
      </c>
      <c r="D286" s="4" t="s">
        <v>23</v>
      </c>
      <c r="E286" s="36" t="s">
        <v>253</v>
      </c>
    </row>
    <row r="287" spans="2:5" x14ac:dyDescent="0.25">
      <c r="B287" s="1"/>
      <c r="C287" s="3">
        <f>C286*C282</f>
        <v>1440</v>
      </c>
      <c r="D287" s="4" t="s">
        <v>7</v>
      </c>
      <c r="E287" s="36"/>
    </row>
    <row r="288" spans="2:5" x14ac:dyDescent="0.25">
      <c r="B288" s="1" t="s">
        <v>156</v>
      </c>
      <c r="C288" s="159">
        <v>3.5</v>
      </c>
      <c r="D288" s="4" t="s">
        <v>5</v>
      </c>
      <c r="E288" s="2" t="s">
        <v>254</v>
      </c>
    </row>
    <row r="289" spans="2:5" x14ac:dyDescent="0.25">
      <c r="B289" s="1" t="s">
        <v>155</v>
      </c>
      <c r="C289" s="159">
        <v>4</v>
      </c>
      <c r="D289" s="4" t="s">
        <v>5</v>
      </c>
      <c r="E289" s="2" t="s">
        <v>157</v>
      </c>
    </row>
    <row r="290" spans="2:5" x14ac:dyDescent="0.25">
      <c r="B290" s="1" t="s">
        <v>158</v>
      </c>
      <c r="C290" s="158">
        <v>56</v>
      </c>
      <c r="D290" s="4" t="s">
        <v>60</v>
      </c>
      <c r="E290" s="2" t="s">
        <v>255</v>
      </c>
    </row>
    <row r="291" spans="2:5" x14ac:dyDescent="0.25">
      <c r="B291" s="1" t="s">
        <v>203</v>
      </c>
      <c r="C291" s="15">
        <f>C287/(C289*10)</f>
        <v>36</v>
      </c>
      <c r="D291" s="4" t="s">
        <v>6</v>
      </c>
      <c r="E291" s="2"/>
    </row>
    <row r="292" spans="2:5" x14ac:dyDescent="0.25">
      <c r="B292" s="13" t="s">
        <v>97</v>
      </c>
      <c r="C292" s="43"/>
      <c r="D292" s="14"/>
      <c r="E292" s="33"/>
    </row>
    <row r="293" spans="2:5" x14ac:dyDescent="0.25">
      <c r="B293" s="26" t="s">
        <v>98</v>
      </c>
      <c r="C293" s="158">
        <v>24</v>
      </c>
      <c r="D293" s="27" t="s">
        <v>5</v>
      </c>
      <c r="E293" s="36" t="s">
        <v>256</v>
      </c>
    </row>
    <row r="294" spans="2:5" x14ac:dyDescent="0.25">
      <c r="B294" s="26" t="s">
        <v>99</v>
      </c>
      <c r="C294" s="3">
        <f>C287</f>
        <v>1440</v>
      </c>
      <c r="D294" s="4" t="s">
        <v>7</v>
      </c>
      <c r="E294" s="2"/>
    </row>
    <row r="295" spans="2:5" x14ac:dyDescent="0.25">
      <c r="B295" s="26" t="s">
        <v>100</v>
      </c>
      <c r="C295" s="3">
        <f>1000*C294/C17</f>
        <v>18</v>
      </c>
      <c r="D295" s="4" t="s">
        <v>101</v>
      </c>
      <c r="E295" s="2"/>
    </row>
    <row r="296" spans="2:5" x14ac:dyDescent="0.25">
      <c r="B296" s="26"/>
      <c r="C296" s="3">
        <f>1000*C294/C18</f>
        <v>15</v>
      </c>
      <c r="D296" s="4" t="s">
        <v>102</v>
      </c>
      <c r="E296" s="2"/>
    </row>
    <row r="297" spans="2:5" x14ac:dyDescent="0.25">
      <c r="B297" s="26" t="s">
        <v>202</v>
      </c>
      <c r="C297" s="15">
        <f>C294/(C293*10)</f>
        <v>6</v>
      </c>
      <c r="D297" s="4" t="s">
        <v>6</v>
      </c>
      <c r="E297" s="2"/>
    </row>
    <row r="298" spans="2:5" x14ac:dyDescent="0.25">
      <c r="B298" s="26"/>
      <c r="C298" s="96">
        <f>C297*365</f>
        <v>2190</v>
      </c>
      <c r="D298" s="4" t="s">
        <v>17</v>
      </c>
      <c r="E298" s="2"/>
    </row>
    <row r="299" spans="2:5" x14ac:dyDescent="0.25">
      <c r="B299" s="13" t="s">
        <v>75</v>
      </c>
      <c r="C299" s="43"/>
      <c r="D299" s="14"/>
      <c r="E299" s="33"/>
    </row>
    <row r="300" spans="2:5" ht="22.5" x14ac:dyDescent="0.25">
      <c r="B300" s="1" t="s">
        <v>129</v>
      </c>
      <c r="C300" s="3">
        <f>C87</f>
        <v>20</v>
      </c>
      <c r="D300" s="2" t="s">
        <v>130</v>
      </c>
      <c r="E300" s="36" t="s">
        <v>247</v>
      </c>
    </row>
    <row r="301" spans="2:5" x14ac:dyDescent="0.25">
      <c r="B301" s="1" t="s">
        <v>131</v>
      </c>
      <c r="C301" s="3">
        <f>C300/100*C305</f>
        <v>208.32</v>
      </c>
      <c r="D301" s="4" t="s">
        <v>8</v>
      </c>
      <c r="E301" s="2"/>
    </row>
    <row r="302" spans="2:5" x14ac:dyDescent="0.25">
      <c r="B302" s="38" t="s">
        <v>78</v>
      </c>
      <c r="C302" s="6"/>
      <c r="D302" s="4"/>
      <c r="E302" s="2"/>
    </row>
    <row r="303" spans="2:5" x14ac:dyDescent="0.25">
      <c r="B303" s="1" t="s">
        <v>160</v>
      </c>
      <c r="C303" s="158">
        <v>217</v>
      </c>
      <c r="D303" s="27" t="s">
        <v>159</v>
      </c>
      <c r="E303" s="2" t="s">
        <v>257</v>
      </c>
    </row>
    <row r="304" spans="2:5" x14ac:dyDescent="0.25">
      <c r="B304" s="38" t="s">
        <v>83</v>
      </c>
      <c r="C304" s="41"/>
      <c r="D304" s="4"/>
      <c r="E304" s="2"/>
    </row>
    <row r="305" spans="2:5" x14ac:dyDescent="0.25">
      <c r="B305" s="1" t="s">
        <v>161</v>
      </c>
      <c r="C305" s="3">
        <f>C303/1000*C282</f>
        <v>1041.5999999999999</v>
      </c>
      <c r="D305" s="4" t="s">
        <v>6</v>
      </c>
      <c r="E305" s="2"/>
    </row>
    <row r="306" spans="2:5" x14ac:dyDescent="0.25">
      <c r="B306" s="26"/>
      <c r="C306" s="151">
        <f>C305*365</f>
        <v>380183.99999999994</v>
      </c>
      <c r="D306" s="4" t="s">
        <v>17</v>
      </c>
      <c r="E306" s="2"/>
    </row>
    <row r="307" spans="2:5" x14ac:dyDescent="0.25">
      <c r="B307" s="26" t="s">
        <v>103</v>
      </c>
      <c r="C307" s="3">
        <f>C305*1000/C17</f>
        <v>13.019999999999998</v>
      </c>
      <c r="D307" s="4" t="s">
        <v>104</v>
      </c>
      <c r="E307" s="2" t="s">
        <v>258</v>
      </c>
    </row>
    <row r="308" spans="2:5" x14ac:dyDescent="0.25">
      <c r="B308" s="26"/>
      <c r="C308" s="3">
        <f>C305*1000/C18</f>
        <v>10.85</v>
      </c>
      <c r="D308" s="4" t="s">
        <v>105</v>
      </c>
      <c r="E308" s="2"/>
    </row>
    <row r="309" spans="2:5" x14ac:dyDescent="0.25">
      <c r="B309" s="38" t="s">
        <v>110</v>
      </c>
      <c r="C309" s="3"/>
      <c r="D309" s="4"/>
      <c r="E309" s="2"/>
    </row>
    <row r="310" spans="2:5" x14ac:dyDescent="0.25">
      <c r="B310" s="26" t="s">
        <v>162</v>
      </c>
      <c r="C310" s="158">
        <v>65</v>
      </c>
      <c r="D310" s="4" t="s">
        <v>106</v>
      </c>
      <c r="E310" s="2" t="s">
        <v>259</v>
      </c>
    </row>
    <row r="311" spans="2:5" x14ac:dyDescent="0.25">
      <c r="B311" s="13" t="s">
        <v>9</v>
      </c>
      <c r="C311" s="43"/>
      <c r="D311" s="14"/>
      <c r="E311" s="33"/>
    </row>
    <row r="312" spans="2:5" x14ac:dyDescent="0.25">
      <c r="B312" s="1" t="s">
        <v>3</v>
      </c>
      <c r="C312" s="39">
        <f>C310/10</f>
        <v>6.5</v>
      </c>
      <c r="D312" s="4" t="s">
        <v>24</v>
      </c>
      <c r="E312" s="2"/>
    </row>
    <row r="313" spans="2:5" x14ac:dyDescent="0.25">
      <c r="B313" s="38" t="s">
        <v>116</v>
      </c>
      <c r="C313" s="3"/>
      <c r="D313" s="4"/>
      <c r="E313" s="2"/>
    </row>
    <row r="314" spans="2:5" ht="22.5" x14ac:dyDescent="0.25">
      <c r="B314" s="1" t="s">
        <v>180</v>
      </c>
      <c r="C314" s="158">
        <v>30</v>
      </c>
      <c r="D314" s="4" t="s">
        <v>46</v>
      </c>
      <c r="E314" s="2" t="s">
        <v>260</v>
      </c>
    </row>
    <row r="315" spans="2:5" x14ac:dyDescent="0.25">
      <c r="B315" s="1" t="s">
        <v>114</v>
      </c>
      <c r="C315" s="3">
        <f>C312*C314/100*C305</f>
        <v>2031.1199999999997</v>
      </c>
      <c r="D315" s="4" t="s">
        <v>10</v>
      </c>
      <c r="E315" s="2"/>
    </row>
    <row r="316" spans="2:5" x14ac:dyDescent="0.25">
      <c r="B316" s="1"/>
      <c r="C316" s="15">
        <f>C315*365/C17</f>
        <v>9.2669849999999983</v>
      </c>
      <c r="D316" s="4" t="s">
        <v>25</v>
      </c>
      <c r="E316" s="2"/>
    </row>
    <row r="317" spans="2:5" x14ac:dyDescent="0.25">
      <c r="B317" s="1"/>
      <c r="C317" s="151">
        <f>C315*365</f>
        <v>741358.79999999993</v>
      </c>
      <c r="D317" s="4" t="s">
        <v>2</v>
      </c>
      <c r="E317" s="2"/>
    </row>
    <row r="318" spans="2:5" x14ac:dyDescent="0.25">
      <c r="B318" s="1" t="s">
        <v>163</v>
      </c>
      <c r="C318" s="159">
        <v>8</v>
      </c>
      <c r="D318" s="4" t="s">
        <v>25</v>
      </c>
      <c r="E318" s="2" t="s">
        <v>261</v>
      </c>
    </row>
    <row r="319" spans="2:5" x14ac:dyDescent="0.25">
      <c r="B319" s="1"/>
      <c r="C319" s="3">
        <f>C318*C17/12/30</f>
        <v>1777.7777777777778</v>
      </c>
      <c r="D319" s="4" t="s">
        <v>10</v>
      </c>
      <c r="E319" s="2"/>
    </row>
    <row r="320" spans="2:5" x14ac:dyDescent="0.25">
      <c r="B320" s="1"/>
      <c r="C320" s="96">
        <f>C319*365</f>
        <v>648888.88888888888</v>
      </c>
      <c r="D320" s="4" t="s">
        <v>2</v>
      </c>
      <c r="E320" s="2"/>
    </row>
    <row r="321" spans="2:5" x14ac:dyDescent="0.25">
      <c r="B321" s="68" t="s">
        <v>274</v>
      </c>
      <c r="C321" s="97">
        <f>C317/C320</f>
        <v>1.1425049999999999</v>
      </c>
      <c r="D321" s="4" t="s">
        <v>115</v>
      </c>
      <c r="E321" s="2"/>
    </row>
    <row r="322" spans="2:5" x14ac:dyDescent="0.25">
      <c r="B322" s="38" t="s">
        <v>117</v>
      </c>
      <c r="C322" s="3"/>
      <c r="D322" s="4"/>
      <c r="E322" s="2"/>
    </row>
    <row r="323" spans="2:5" x14ac:dyDescent="0.25">
      <c r="B323" s="1" t="s">
        <v>181</v>
      </c>
      <c r="C323" s="158">
        <v>50</v>
      </c>
      <c r="D323" s="4" t="s">
        <v>46</v>
      </c>
      <c r="E323" s="2" t="s">
        <v>242</v>
      </c>
    </row>
    <row r="324" spans="2:5" x14ac:dyDescent="0.25">
      <c r="B324" s="1" t="s">
        <v>12</v>
      </c>
      <c r="C324" s="3">
        <f>C312*C323/100*C305</f>
        <v>3385.2</v>
      </c>
      <c r="D324" s="4" t="s">
        <v>10</v>
      </c>
      <c r="E324" s="2"/>
    </row>
    <row r="325" spans="2:5" x14ac:dyDescent="0.25">
      <c r="B325" s="1"/>
      <c r="C325" s="96">
        <f>C324*365</f>
        <v>1235598</v>
      </c>
      <c r="D325" s="4" t="s">
        <v>2</v>
      </c>
      <c r="E325" s="2"/>
    </row>
    <row r="326" spans="2:5" x14ac:dyDescent="0.25">
      <c r="B326" s="13" t="s">
        <v>279</v>
      </c>
      <c r="C326" s="43"/>
      <c r="D326" s="14"/>
      <c r="E326" s="33"/>
    </row>
    <row r="327" spans="2:5" x14ac:dyDescent="0.25">
      <c r="B327" s="71" t="s">
        <v>280</v>
      </c>
      <c r="C327" s="96">
        <f>'Basic Module'!C12</f>
        <v>565</v>
      </c>
      <c r="D327" s="81" t="s">
        <v>211</v>
      </c>
      <c r="E327" s="2"/>
    </row>
    <row r="328" spans="2:5" x14ac:dyDescent="0.25">
      <c r="B328" s="1" t="s">
        <v>277</v>
      </c>
      <c r="C328" s="96">
        <f>C317</f>
        <v>741358.79999999993</v>
      </c>
      <c r="D328" s="4" t="s">
        <v>2</v>
      </c>
      <c r="E328" s="2"/>
    </row>
    <row r="329" spans="2:5" ht="24" x14ac:dyDescent="0.25">
      <c r="B329" s="1" t="s">
        <v>278</v>
      </c>
      <c r="C329" s="152">
        <f>-C327/1000000*C328</f>
        <v>-418.86772199999996</v>
      </c>
      <c r="D329" s="4" t="s">
        <v>282</v>
      </c>
      <c r="E329" s="2" t="s">
        <v>284</v>
      </c>
    </row>
    <row r="330" spans="2:5" x14ac:dyDescent="0.25">
      <c r="B330" s="1" t="s">
        <v>285</v>
      </c>
      <c r="C330" s="96">
        <f>IF('Basic Module'!C13="YES",C306,0)</f>
        <v>0</v>
      </c>
      <c r="D330" s="4" t="s">
        <v>17</v>
      </c>
      <c r="E330" s="2"/>
    </row>
    <row r="331" spans="2:5" x14ac:dyDescent="0.25">
      <c r="B331" s="1" t="s">
        <v>286</v>
      </c>
      <c r="C331" s="96">
        <f>C330*C310/100</f>
        <v>0</v>
      </c>
      <c r="D331" s="4" t="s">
        <v>17</v>
      </c>
      <c r="E331" s="2"/>
    </row>
    <row r="332" spans="2:5" x14ac:dyDescent="0.25">
      <c r="B332" s="1" t="s">
        <v>287</v>
      </c>
      <c r="C332" s="161">
        <v>21</v>
      </c>
      <c r="D332" s="50" t="s">
        <v>32</v>
      </c>
      <c r="E332" s="2" t="s">
        <v>288</v>
      </c>
    </row>
    <row r="333" spans="2:5" x14ac:dyDescent="0.25">
      <c r="B333" s="1" t="s">
        <v>289</v>
      </c>
      <c r="C333" s="162">
        <v>0.72</v>
      </c>
      <c r="D333" s="50" t="s">
        <v>290</v>
      </c>
      <c r="E333" s="2"/>
    </row>
    <row r="334" spans="2:5" ht="33.75" x14ac:dyDescent="0.25">
      <c r="B334" s="37" t="s">
        <v>307</v>
      </c>
      <c r="C334" s="152">
        <f>-C331*C332*C333/1000</f>
        <v>0</v>
      </c>
      <c r="D334" s="4" t="s">
        <v>282</v>
      </c>
      <c r="E334" s="2" t="s">
        <v>291</v>
      </c>
    </row>
    <row r="335" spans="2:5" x14ac:dyDescent="0.25">
      <c r="B335" s="1" t="s">
        <v>281</v>
      </c>
      <c r="C335" s="153">
        <f>C329+C334</f>
        <v>-418.86772199999996</v>
      </c>
      <c r="D335" s="45" t="s">
        <v>283</v>
      </c>
      <c r="E335" s="2"/>
    </row>
    <row r="336" spans="2:5" x14ac:dyDescent="0.25">
      <c r="B336" s="13" t="s">
        <v>275</v>
      </c>
      <c r="C336" s="43"/>
      <c r="D336" s="14"/>
      <c r="E336" s="33"/>
    </row>
    <row r="337" spans="2:5" x14ac:dyDescent="0.25">
      <c r="B337" s="1" t="s">
        <v>14</v>
      </c>
      <c r="C337" s="52">
        <f>'Basic Module'!C16</f>
        <v>0.15</v>
      </c>
      <c r="D337" s="4" t="s">
        <v>119</v>
      </c>
      <c r="E337" s="2"/>
    </row>
    <row r="338" spans="2:5" x14ac:dyDescent="0.25">
      <c r="B338" s="1" t="s">
        <v>120</v>
      </c>
      <c r="C338" s="3">
        <f>-C315*C337</f>
        <v>-304.66799999999995</v>
      </c>
      <c r="D338" s="4" t="s">
        <v>121</v>
      </c>
      <c r="E338" s="36" t="s">
        <v>250</v>
      </c>
    </row>
    <row r="339" spans="2:5" x14ac:dyDescent="0.25">
      <c r="B339" s="1"/>
      <c r="C339" s="152">
        <f>C338*365</f>
        <v>-111203.81999999998</v>
      </c>
      <c r="D339" s="40" t="s">
        <v>122</v>
      </c>
      <c r="E339" s="36"/>
    </row>
    <row r="340" spans="2:5" ht="49.5" x14ac:dyDescent="0.25">
      <c r="B340" s="26" t="s">
        <v>164</v>
      </c>
      <c r="C340" s="152">
        <f>(12.321*C345^(-0.422))/100*C317</f>
        <v>17413.228746383484</v>
      </c>
      <c r="D340" s="40" t="s">
        <v>122</v>
      </c>
      <c r="E340" s="36" t="s">
        <v>262</v>
      </c>
    </row>
    <row r="341" spans="2:5" x14ac:dyDescent="0.25">
      <c r="B341" s="44" t="s">
        <v>21</v>
      </c>
      <c r="C341" s="153">
        <f>C339+C340</f>
        <v>-93790.591253616498</v>
      </c>
      <c r="D341" s="45" t="s">
        <v>122</v>
      </c>
      <c r="E341" s="2"/>
    </row>
    <row r="342" spans="2:5" x14ac:dyDescent="0.25">
      <c r="B342" s="13" t="s">
        <v>276</v>
      </c>
      <c r="C342" s="43"/>
      <c r="D342" s="14"/>
      <c r="E342" s="33"/>
    </row>
    <row r="343" spans="2:5" x14ac:dyDescent="0.25">
      <c r="B343" s="1" t="s">
        <v>18</v>
      </c>
      <c r="C343" s="151">
        <f>C301</f>
        <v>208.32</v>
      </c>
      <c r="D343" s="4" t="s">
        <v>8</v>
      </c>
      <c r="E343" s="2"/>
    </row>
    <row r="344" spans="2:5" x14ac:dyDescent="0.25">
      <c r="B344" s="1" t="s">
        <v>132</v>
      </c>
      <c r="C344" s="151">
        <f>C315/20</f>
        <v>101.55599999999998</v>
      </c>
      <c r="D344" s="4" t="s">
        <v>20</v>
      </c>
      <c r="E344" s="2" t="s">
        <v>251</v>
      </c>
    </row>
    <row r="345" spans="2:5" x14ac:dyDescent="0.25">
      <c r="B345" s="1"/>
      <c r="C345" s="96">
        <f>C344/2</f>
        <v>50.777999999999992</v>
      </c>
      <c r="D345" s="4" t="s">
        <v>133</v>
      </c>
      <c r="E345" s="2" t="s">
        <v>252</v>
      </c>
    </row>
    <row r="346" spans="2:5" x14ac:dyDescent="0.25">
      <c r="B346" s="16" t="s">
        <v>134</v>
      </c>
      <c r="C346" s="122" t="s">
        <v>135</v>
      </c>
      <c r="D346" s="18" t="s">
        <v>32</v>
      </c>
      <c r="E346" s="34"/>
    </row>
    <row r="348" spans="2:5" x14ac:dyDescent="0.25">
      <c r="B348" s="23" t="s">
        <v>165</v>
      </c>
      <c r="C348" s="24" t="s">
        <v>205</v>
      </c>
      <c r="D348" s="25" t="s">
        <v>19</v>
      </c>
      <c r="E348" s="35" t="s">
        <v>28</v>
      </c>
    </row>
    <row r="349" spans="2:5" x14ac:dyDescent="0.25">
      <c r="B349" s="11" t="s">
        <v>34</v>
      </c>
      <c r="C349" s="42"/>
      <c r="D349" s="12"/>
      <c r="E349" s="32"/>
    </row>
    <row r="350" spans="2:5" x14ac:dyDescent="0.25">
      <c r="B350" s="38" t="s">
        <v>166</v>
      </c>
      <c r="C350" s="15"/>
      <c r="D350" s="27"/>
      <c r="E350" s="36"/>
    </row>
    <row r="351" spans="2:5" x14ac:dyDescent="0.25">
      <c r="B351" s="1" t="s">
        <v>94</v>
      </c>
      <c r="C351" s="3">
        <f>C16</f>
        <v>4800</v>
      </c>
      <c r="D351" s="4" t="s">
        <v>1</v>
      </c>
      <c r="E351" s="36"/>
    </row>
    <row r="352" spans="2:5" x14ac:dyDescent="0.25">
      <c r="B352" s="1" t="s">
        <v>95</v>
      </c>
      <c r="C352" s="3">
        <f>C9*C12/1000</f>
        <v>4800</v>
      </c>
      <c r="D352" s="4" t="s">
        <v>1</v>
      </c>
      <c r="E352" s="36"/>
    </row>
    <row r="353" spans="2:5" x14ac:dyDescent="0.25">
      <c r="B353" s="13" t="s">
        <v>4</v>
      </c>
      <c r="C353" s="43"/>
      <c r="D353" s="14"/>
      <c r="E353" s="33"/>
    </row>
    <row r="354" spans="2:5" x14ac:dyDescent="0.25">
      <c r="B354" s="38" t="s">
        <v>142</v>
      </c>
      <c r="C354" s="15"/>
      <c r="D354" s="27"/>
      <c r="E354" s="36"/>
    </row>
    <row r="355" spans="2:5" x14ac:dyDescent="0.25">
      <c r="B355" s="1" t="s">
        <v>168</v>
      </c>
      <c r="C355" s="157">
        <v>6</v>
      </c>
      <c r="D355" s="4" t="s">
        <v>167</v>
      </c>
      <c r="E355" s="2" t="s">
        <v>263</v>
      </c>
    </row>
    <row r="356" spans="2:5" x14ac:dyDescent="0.25">
      <c r="B356" s="1"/>
      <c r="C356" s="3">
        <f>C355*C18/365</f>
        <v>1578.0821917808219</v>
      </c>
      <c r="D356" s="4" t="s">
        <v>7</v>
      </c>
      <c r="E356" s="2"/>
    </row>
    <row r="357" spans="2:5" x14ac:dyDescent="0.25">
      <c r="B357" s="1" t="s">
        <v>169</v>
      </c>
      <c r="C357" s="159">
        <v>6</v>
      </c>
      <c r="D357" s="4" t="s">
        <v>5</v>
      </c>
      <c r="E357" s="2" t="s">
        <v>264</v>
      </c>
    </row>
    <row r="358" spans="2:5" x14ac:dyDescent="0.25">
      <c r="B358" s="1" t="s">
        <v>170</v>
      </c>
      <c r="C358" s="158">
        <v>55</v>
      </c>
      <c r="D358" s="4" t="s">
        <v>60</v>
      </c>
      <c r="E358" s="2" t="s">
        <v>265</v>
      </c>
    </row>
    <row r="359" spans="2:5" x14ac:dyDescent="0.25">
      <c r="B359" s="1" t="s">
        <v>204</v>
      </c>
      <c r="C359" s="15">
        <f>C356/(C357*10)</f>
        <v>26.301369863013697</v>
      </c>
      <c r="D359" s="4" t="s">
        <v>6</v>
      </c>
      <c r="E359" s="2"/>
    </row>
    <row r="360" spans="2:5" x14ac:dyDescent="0.25">
      <c r="B360" s="13" t="s">
        <v>97</v>
      </c>
      <c r="C360" s="43"/>
      <c r="D360" s="14"/>
      <c r="E360" s="33"/>
    </row>
    <row r="361" spans="2:5" x14ac:dyDescent="0.25">
      <c r="B361" s="26" t="s">
        <v>98</v>
      </c>
      <c r="C361" s="158">
        <v>25</v>
      </c>
      <c r="D361" s="27" t="s">
        <v>5</v>
      </c>
      <c r="E361" s="36" t="s">
        <v>266</v>
      </c>
    </row>
    <row r="362" spans="2:5" x14ac:dyDescent="0.25">
      <c r="B362" s="26" t="s">
        <v>99</v>
      </c>
      <c r="C362" s="3">
        <f>C356</f>
        <v>1578.0821917808219</v>
      </c>
      <c r="D362" s="4" t="s">
        <v>7</v>
      </c>
      <c r="E362" s="2"/>
    </row>
    <row r="363" spans="2:5" x14ac:dyDescent="0.25">
      <c r="B363" s="26" t="s">
        <v>100</v>
      </c>
      <c r="C363" s="3">
        <f>1000*C362/C17</f>
        <v>19.726027397260275</v>
      </c>
      <c r="D363" s="4" t="s">
        <v>101</v>
      </c>
      <c r="E363" s="2"/>
    </row>
    <row r="364" spans="2:5" x14ac:dyDescent="0.25">
      <c r="B364" s="26"/>
      <c r="C364" s="3">
        <f>1000*C362/C18</f>
        <v>16.43835616438356</v>
      </c>
      <c r="D364" s="4" t="s">
        <v>102</v>
      </c>
      <c r="E364" s="2"/>
    </row>
    <row r="365" spans="2:5" x14ac:dyDescent="0.25">
      <c r="B365" s="26" t="s">
        <v>202</v>
      </c>
      <c r="C365" s="15">
        <f>C362/(C361*10)</f>
        <v>6.3123287671232875</v>
      </c>
      <c r="D365" s="4" t="s">
        <v>6</v>
      </c>
      <c r="E365" s="2"/>
    </row>
    <row r="366" spans="2:5" x14ac:dyDescent="0.25">
      <c r="B366" s="26"/>
      <c r="C366" s="96">
        <f>C365*365</f>
        <v>2304</v>
      </c>
      <c r="D366" s="4" t="s">
        <v>17</v>
      </c>
      <c r="E366" s="2"/>
    </row>
    <row r="367" spans="2:5" x14ac:dyDescent="0.25">
      <c r="B367" s="13" t="s">
        <v>75</v>
      </c>
      <c r="C367" s="43"/>
      <c r="D367" s="14"/>
      <c r="E367" s="33"/>
    </row>
    <row r="368" spans="2:5" x14ac:dyDescent="0.25">
      <c r="B368" s="38" t="s">
        <v>78</v>
      </c>
      <c r="C368" s="6"/>
      <c r="D368" s="4"/>
      <c r="E368" s="2"/>
    </row>
    <row r="369" spans="2:5" x14ac:dyDescent="0.25">
      <c r="B369" s="51" t="s">
        <v>171</v>
      </c>
      <c r="C369" s="158">
        <v>180</v>
      </c>
      <c r="D369" s="4" t="s">
        <v>172</v>
      </c>
      <c r="E369" s="2" t="s">
        <v>267</v>
      </c>
    </row>
    <row r="370" spans="2:5" x14ac:dyDescent="0.25">
      <c r="B370" s="1" t="s">
        <v>160</v>
      </c>
      <c r="C370" s="41">
        <f>C369/(C378/100)</f>
        <v>257.14285714285717</v>
      </c>
      <c r="D370" s="27" t="s">
        <v>159</v>
      </c>
      <c r="E370" s="2" t="s">
        <v>270</v>
      </c>
    </row>
    <row r="371" spans="2:5" x14ac:dyDescent="0.25">
      <c r="B371" s="38" t="s">
        <v>83</v>
      </c>
      <c r="C371" s="41"/>
      <c r="D371" s="4"/>
      <c r="E371" s="2"/>
    </row>
    <row r="372" spans="2:5" x14ac:dyDescent="0.25">
      <c r="B372" s="1" t="s">
        <v>173</v>
      </c>
      <c r="C372" s="3">
        <f>C369/1000*C351</f>
        <v>864</v>
      </c>
      <c r="D372" s="4" t="s">
        <v>6</v>
      </c>
      <c r="E372" s="2"/>
    </row>
    <row r="373" spans="2:5" x14ac:dyDescent="0.25">
      <c r="B373" s="1" t="s">
        <v>161</v>
      </c>
      <c r="C373" s="3">
        <f>C372/(C378/100)</f>
        <v>1234.2857142857144</v>
      </c>
      <c r="D373" s="4" t="s">
        <v>6</v>
      </c>
      <c r="E373" s="2"/>
    </row>
    <row r="374" spans="2:5" x14ac:dyDescent="0.25">
      <c r="B374" s="26"/>
      <c r="C374" s="151">
        <f>C373*365</f>
        <v>450514.2857142858</v>
      </c>
      <c r="D374" s="4" t="s">
        <v>17</v>
      </c>
      <c r="E374" s="2"/>
    </row>
    <row r="375" spans="2:5" x14ac:dyDescent="0.25">
      <c r="B375" s="26" t="s">
        <v>103</v>
      </c>
      <c r="C375" s="3">
        <f>C373*1000/C17</f>
        <v>15.428571428571432</v>
      </c>
      <c r="D375" s="4" t="s">
        <v>104</v>
      </c>
      <c r="E375" s="2" t="s">
        <v>269</v>
      </c>
    </row>
    <row r="376" spans="2:5" x14ac:dyDescent="0.25">
      <c r="B376" s="26"/>
      <c r="C376" s="3">
        <f>C373*1000/C18</f>
        <v>12.857142857142859</v>
      </c>
      <c r="D376" s="4" t="s">
        <v>105</v>
      </c>
      <c r="E376" s="2"/>
    </row>
    <row r="377" spans="2:5" x14ac:dyDescent="0.25">
      <c r="B377" s="38" t="s">
        <v>110</v>
      </c>
      <c r="C377" s="3"/>
      <c r="D377" s="4"/>
      <c r="E377" s="2"/>
    </row>
    <row r="378" spans="2:5" x14ac:dyDescent="0.25">
      <c r="B378" s="26" t="s">
        <v>292</v>
      </c>
      <c r="C378" s="158">
        <v>70</v>
      </c>
      <c r="D378" s="4" t="s">
        <v>106</v>
      </c>
      <c r="E378" s="2" t="s">
        <v>268</v>
      </c>
    </row>
    <row r="379" spans="2:5" x14ac:dyDescent="0.25">
      <c r="B379" s="13" t="s">
        <v>9</v>
      </c>
      <c r="C379" s="43"/>
      <c r="D379" s="14"/>
      <c r="E379" s="33"/>
    </row>
    <row r="380" spans="2:5" x14ac:dyDescent="0.25">
      <c r="B380" s="1" t="s">
        <v>3</v>
      </c>
      <c r="C380" s="39">
        <f>C378/10</f>
        <v>7</v>
      </c>
      <c r="D380" s="4" t="s">
        <v>24</v>
      </c>
      <c r="E380" s="2"/>
    </row>
    <row r="381" spans="2:5" x14ac:dyDescent="0.25">
      <c r="B381" s="38" t="s">
        <v>116</v>
      </c>
      <c r="C381" s="3"/>
      <c r="D381" s="4"/>
      <c r="E381" s="2"/>
    </row>
    <row r="382" spans="2:5" ht="22.5" x14ac:dyDescent="0.25">
      <c r="B382" s="1" t="s">
        <v>180</v>
      </c>
      <c r="C382" s="158">
        <v>30</v>
      </c>
      <c r="D382" s="4" t="s">
        <v>46</v>
      </c>
      <c r="E382" s="2" t="s">
        <v>260</v>
      </c>
    </row>
    <row r="383" spans="2:5" x14ac:dyDescent="0.25">
      <c r="B383" s="1" t="s">
        <v>114</v>
      </c>
      <c r="C383" s="3">
        <f>C380*C382/100*C373</f>
        <v>2592.0000000000005</v>
      </c>
      <c r="D383" s="4" t="s">
        <v>10</v>
      </c>
      <c r="E383" s="2"/>
    </row>
    <row r="384" spans="2:5" x14ac:dyDescent="0.25">
      <c r="B384" s="1"/>
      <c r="C384" s="15">
        <f>C383*365/C17</f>
        <v>11.826000000000002</v>
      </c>
      <c r="D384" s="4" t="s">
        <v>25</v>
      </c>
      <c r="E384" s="2"/>
    </row>
    <row r="385" spans="2:5" x14ac:dyDescent="0.25">
      <c r="B385" s="1"/>
      <c r="C385" s="151">
        <f>C383*365</f>
        <v>946080.00000000012</v>
      </c>
      <c r="D385" s="4" t="s">
        <v>2</v>
      </c>
      <c r="E385" s="2"/>
    </row>
    <row r="386" spans="2:5" x14ac:dyDescent="0.25">
      <c r="B386" s="1" t="s">
        <v>174</v>
      </c>
      <c r="C386" s="158">
        <v>3</v>
      </c>
      <c r="D386" s="4" t="s">
        <v>25</v>
      </c>
      <c r="E386" s="2" t="s">
        <v>271</v>
      </c>
    </row>
    <row r="387" spans="2:5" x14ac:dyDescent="0.25">
      <c r="B387" s="1"/>
      <c r="C387" s="3">
        <f>C386*C17/12/30</f>
        <v>666.66666666666663</v>
      </c>
      <c r="D387" s="4" t="s">
        <v>10</v>
      </c>
      <c r="E387" s="2"/>
    </row>
    <row r="388" spans="2:5" x14ac:dyDescent="0.25">
      <c r="B388" s="1"/>
      <c r="C388" s="96">
        <f>C387*365</f>
        <v>243333.33333333331</v>
      </c>
      <c r="D388" s="4" t="s">
        <v>2</v>
      </c>
      <c r="E388" s="2"/>
    </row>
    <row r="389" spans="2:5" x14ac:dyDescent="0.25">
      <c r="B389" s="68" t="s">
        <v>274</v>
      </c>
      <c r="C389" s="97">
        <f>C385/C388</f>
        <v>3.8880000000000008</v>
      </c>
      <c r="D389" s="4" t="s">
        <v>115</v>
      </c>
      <c r="E389" s="2"/>
    </row>
    <row r="390" spans="2:5" x14ac:dyDescent="0.25">
      <c r="B390" s="38" t="s">
        <v>117</v>
      </c>
      <c r="C390" s="3"/>
      <c r="D390" s="4"/>
      <c r="E390" s="2"/>
    </row>
    <row r="391" spans="2:5" x14ac:dyDescent="0.25">
      <c r="B391" s="1" t="s">
        <v>181</v>
      </c>
      <c r="C391" s="158">
        <v>50</v>
      </c>
      <c r="D391" s="4" t="s">
        <v>46</v>
      </c>
      <c r="E391" s="2" t="s">
        <v>242</v>
      </c>
    </row>
    <row r="392" spans="2:5" x14ac:dyDescent="0.25">
      <c r="B392" s="1" t="s">
        <v>12</v>
      </c>
      <c r="C392" s="3">
        <f>C380*C391/100*C373</f>
        <v>4320.0000000000009</v>
      </c>
      <c r="D392" s="4" t="s">
        <v>10</v>
      </c>
      <c r="E392" s="2"/>
    </row>
    <row r="393" spans="2:5" x14ac:dyDescent="0.25">
      <c r="B393" s="1"/>
      <c r="C393" s="96">
        <f>C392*365</f>
        <v>1576800.0000000002</v>
      </c>
      <c r="D393" s="4" t="s">
        <v>2</v>
      </c>
      <c r="E393" s="2"/>
    </row>
    <row r="394" spans="2:5" x14ac:dyDescent="0.25">
      <c r="B394" s="13" t="s">
        <v>279</v>
      </c>
      <c r="C394" s="43"/>
      <c r="D394" s="14"/>
      <c r="E394" s="33"/>
    </row>
    <row r="395" spans="2:5" x14ac:dyDescent="0.25">
      <c r="B395" s="71" t="s">
        <v>280</v>
      </c>
      <c r="C395" s="96">
        <f>'Basic Module'!C12</f>
        <v>565</v>
      </c>
      <c r="D395" s="81" t="s">
        <v>211</v>
      </c>
      <c r="E395" s="2"/>
    </row>
    <row r="396" spans="2:5" x14ac:dyDescent="0.25">
      <c r="B396" s="1" t="s">
        <v>277</v>
      </c>
      <c r="C396" s="96">
        <f>C385</f>
        <v>946080.00000000012</v>
      </c>
      <c r="D396" s="4" t="s">
        <v>2</v>
      </c>
      <c r="E396" s="2"/>
    </row>
    <row r="397" spans="2:5" ht="24" x14ac:dyDescent="0.25">
      <c r="B397" s="1" t="s">
        <v>278</v>
      </c>
      <c r="C397" s="152">
        <f>-C395/1000000*C396</f>
        <v>-534.53520000000003</v>
      </c>
      <c r="D397" s="4" t="s">
        <v>282</v>
      </c>
      <c r="E397" s="2" t="s">
        <v>284</v>
      </c>
    </row>
    <row r="398" spans="2:5" x14ac:dyDescent="0.25">
      <c r="B398" s="1" t="s">
        <v>285</v>
      </c>
      <c r="C398" s="96">
        <f>IF('Basic Module'!C14="YES",C374,0)</f>
        <v>0</v>
      </c>
      <c r="D398" s="4" t="s">
        <v>17</v>
      </c>
      <c r="E398" s="2"/>
    </row>
    <row r="399" spans="2:5" x14ac:dyDescent="0.25">
      <c r="B399" s="1" t="s">
        <v>286</v>
      </c>
      <c r="C399" s="96">
        <f>C398*C378/100</f>
        <v>0</v>
      </c>
      <c r="D399" s="4" t="s">
        <v>17</v>
      </c>
      <c r="E399" s="2"/>
    </row>
    <row r="400" spans="2:5" x14ac:dyDescent="0.25">
      <c r="B400" s="1" t="s">
        <v>287</v>
      </c>
      <c r="C400" s="161">
        <v>21</v>
      </c>
      <c r="D400" s="50" t="s">
        <v>32</v>
      </c>
      <c r="E400" s="2" t="s">
        <v>288</v>
      </c>
    </row>
    <row r="401" spans="2:5" x14ac:dyDescent="0.25">
      <c r="B401" s="1" t="s">
        <v>289</v>
      </c>
      <c r="C401" s="162">
        <v>0.72</v>
      </c>
      <c r="D401" s="50" t="s">
        <v>290</v>
      </c>
      <c r="E401" s="2"/>
    </row>
    <row r="402" spans="2:5" ht="33.75" x14ac:dyDescent="0.25">
      <c r="B402" s="37" t="s">
        <v>309</v>
      </c>
      <c r="C402" s="152">
        <f>-C399*C400*C401/1000</f>
        <v>0</v>
      </c>
      <c r="D402" s="4" t="s">
        <v>282</v>
      </c>
      <c r="E402" s="2" t="s">
        <v>291</v>
      </c>
    </row>
    <row r="403" spans="2:5" x14ac:dyDescent="0.25">
      <c r="B403" s="1" t="s">
        <v>281</v>
      </c>
      <c r="C403" s="153">
        <f>C397+C402</f>
        <v>-534.53520000000003</v>
      </c>
      <c r="D403" s="45" t="s">
        <v>283</v>
      </c>
      <c r="E403" s="2"/>
    </row>
    <row r="404" spans="2:5" x14ac:dyDescent="0.25">
      <c r="B404" s="13" t="s">
        <v>275</v>
      </c>
      <c r="C404" s="43"/>
      <c r="D404" s="14"/>
      <c r="E404" s="33"/>
    </row>
    <row r="405" spans="2:5" x14ac:dyDescent="0.25">
      <c r="B405" s="1" t="s">
        <v>14</v>
      </c>
      <c r="C405" s="52">
        <f>'Basic Module'!C16</f>
        <v>0.15</v>
      </c>
      <c r="D405" s="4" t="s">
        <v>119</v>
      </c>
      <c r="E405" s="2"/>
    </row>
    <row r="406" spans="2:5" x14ac:dyDescent="0.25">
      <c r="B406" s="1" t="s">
        <v>120</v>
      </c>
      <c r="C406" s="3">
        <f>-C383*C405</f>
        <v>-388.80000000000007</v>
      </c>
      <c r="D406" s="4" t="s">
        <v>121</v>
      </c>
      <c r="E406" s="36" t="s">
        <v>250</v>
      </c>
    </row>
    <row r="407" spans="2:5" x14ac:dyDescent="0.25">
      <c r="B407" s="1"/>
      <c r="C407" s="152">
        <f>C406*365</f>
        <v>-141912.00000000003</v>
      </c>
      <c r="D407" s="40" t="s">
        <v>122</v>
      </c>
      <c r="E407" s="36"/>
    </row>
    <row r="408" spans="2:5" ht="49.5" x14ac:dyDescent="0.25">
      <c r="B408" s="26" t="s">
        <v>164</v>
      </c>
      <c r="C408" s="152">
        <f>(12.321*C414^(-0.422))/100*C385</f>
        <v>20048.836158492071</v>
      </c>
      <c r="D408" s="40" t="s">
        <v>122</v>
      </c>
      <c r="E408" s="36" t="s">
        <v>262</v>
      </c>
    </row>
    <row r="409" spans="2:5" ht="46.5" x14ac:dyDescent="0.25">
      <c r="B409" s="26" t="s">
        <v>175</v>
      </c>
      <c r="C409" s="152">
        <f>2*C9/5*15*0.02</f>
        <v>4800</v>
      </c>
      <c r="D409" s="40" t="s">
        <v>122</v>
      </c>
      <c r="E409" s="36" t="s">
        <v>272</v>
      </c>
    </row>
    <row r="410" spans="2:5" x14ac:dyDescent="0.25">
      <c r="B410" s="44" t="s">
        <v>21</v>
      </c>
      <c r="C410" s="153">
        <f>C407+C408+C409</f>
        <v>-117063.16384150795</v>
      </c>
      <c r="D410" s="45" t="s">
        <v>122</v>
      </c>
      <c r="E410" s="2"/>
    </row>
    <row r="411" spans="2:5" x14ac:dyDescent="0.25">
      <c r="B411" s="13" t="s">
        <v>276</v>
      </c>
      <c r="C411" s="43"/>
      <c r="D411" s="14"/>
      <c r="E411" s="33"/>
    </row>
    <row r="412" spans="2:5" x14ac:dyDescent="0.25">
      <c r="B412" s="1" t="s">
        <v>176</v>
      </c>
      <c r="C412" s="121" t="s">
        <v>177</v>
      </c>
      <c r="D412" s="4" t="s">
        <v>178</v>
      </c>
      <c r="E412" s="2"/>
    </row>
    <row r="413" spans="2:5" x14ac:dyDescent="0.25">
      <c r="B413" s="1" t="s">
        <v>132</v>
      </c>
      <c r="C413" s="151">
        <f>C383/20</f>
        <v>129.60000000000002</v>
      </c>
      <c r="D413" s="4" t="s">
        <v>20</v>
      </c>
      <c r="E413" s="2" t="s">
        <v>251</v>
      </c>
    </row>
    <row r="414" spans="2:5" x14ac:dyDescent="0.25">
      <c r="B414" s="1"/>
      <c r="C414" s="96">
        <f>C413/2</f>
        <v>64.800000000000011</v>
      </c>
      <c r="D414" s="4" t="s">
        <v>133</v>
      </c>
      <c r="E414" s="2" t="s">
        <v>252</v>
      </c>
    </row>
    <row r="415" spans="2:5" x14ac:dyDescent="0.25">
      <c r="B415" s="1" t="s">
        <v>134</v>
      </c>
      <c r="C415" s="121" t="s">
        <v>135</v>
      </c>
      <c r="D415" s="50" t="s">
        <v>32</v>
      </c>
      <c r="E415" s="2"/>
    </row>
    <row r="416" spans="2:5" x14ac:dyDescent="0.25">
      <c r="B416" s="16" t="s">
        <v>138</v>
      </c>
      <c r="C416" s="122" t="s">
        <v>135</v>
      </c>
      <c r="D416" s="18" t="s">
        <v>32</v>
      </c>
      <c r="E416" s="34"/>
    </row>
    <row r="418" spans="2:2" x14ac:dyDescent="0.25">
      <c r="B418" s="8" t="s">
        <v>196</v>
      </c>
    </row>
  </sheetData>
  <sheetProtection algorithmName="SHA-512" hashValue="QRb/cfzR6ZDpR4ymX3Nb5s4NhLbgXRykrlY0fY/HORz1guvAQoiVoXGaog79BFlBLuiLWb1OjFl1Shq8riNGeg==" saltValue="GwYM+KsV95t0epQ6pi6fpg==" spinCount="100000" sheet="1" objects="1" scenarios="1"/>
  <dataValidations count="8">
    <dataValidation type="list" errorStyle="information" showInputMessage="1" showErrorMessage="1" error="Typical vaue: 40-60" prompt="Insert default value" sqref="C15">
      <formula1>gBOD5capd</formula1>
    </dataValidation>
    <dataValidation type="list" errorStyle="information" allowBlank="1" showInputMessage="1" showErrorMessage="1" error="Typical value: 30-97" prompt="Insert default value" sqref="C48">
      <formula1>VSDS</formula1>
    </dataValidation>
    <dataValidation type="list" errorStyle="information" allowBlank="1" showInputMessage="1" showErrorMessage="1" error="Typical value: 60-99" prompt="Insert default value" sqref="C73">
      <formula1>VSdestruction</formula1>
    </dataValidation>
    <dataValidation type="list" errorStyle="information" allowBlank="1" showInputMessage="1" showErrorMessage="1" error="Typical value: 50-85" prompt="Insert default value" sqref="C104">
      <formula1>methanecontent</formula1>
    </dataValidation>
    <dataValidation type="list" errorStyle="information" allowBlank="1" showInputMessage="1" showErrorMessage="1" error="Typical value: 700-2000" prompt="Insert default value" sqref="C92">
      <formula1>$O$92:$O$94</formula1>
    </dataValidation>
    <dataValidation type="list" errorStyle="information" allowBlank="1" showInputMessage="1" showErrorMessage="1" error="Typical range: 5-95" prompt="Insert default value" sqref="C47">
      <formula1>$O$47:$O$49</formula1>
    </dataValidation>
    <dataValidation type="list" errorStyle="information" allowBlank="1" showInputMessage="1" showErrorMessage="1" error="Insert &quot;YES&quot; or &quot;NO&quot;" prompt="Insert default value" sqref="C44 C50">
      <formula1>$O$44:$O$45</formula1>
    </dataValidation>
    <dataValidation type="list" allowBlank="1" showInputMessage="1" showErrorMessage="1" error="Select &quot;YES&quot; or &quot;NO&quot;" prompt="Insert default value" sqref="C23 C157">
      <formula1>$O$23:$O$24</formula1>
    </dataValidation>
  </dataValidations>
  <pageMargins left="0.70866141732283472" right="0.70866141732283472" top="0.59055118110236227" bottom="0.39370078740157483" header="0.31496062992125984" footer="0.31496062992125984"/>
  <pageSetup paperSize="9" scale="69" orientation="portrait" r:id="rId1"/>
  <drawing r:id="rId2"/>
  <legacyDrawing r:id="rId3"/>
  <oleObjects>
    <mc:AlternateContent xmlns:mc="http://schemas.openxmlformats.org/markup-compatibility/2006">
      <mc:Choice Requires="x14">
        <oleObject progId="AcroExch.Document.DC" dvAspect="DVASPECT_ICON" shapeId="2050" r:id="rId4">
          <objectPr locked="0" defaultSize="0" autoPict="0" r:id="rId5">
            <anchor moveWithCells="1">
              <from>
                <xdr:col>5</xdr:col>
                <xdr:colOff>66675</xdr:colOff>
                <xdr:row>1</xdr:row>
                <xdr:rowOff>19050</xdr:rowOff>
              </from>
              <to>
                <xdr:col>5</xdr:col>
                <xdr:colOff>1333500</xdr:colOff>
                <xdr:row>5</xdr:row>
                <xdr:rowOff>180975</xdr:rowOff>
              </to>
            </anchor>
          </objectPr>
        </oleObject>
      </mc:Choice>
      <mc:Fallback>
        <oleObject progId="AcroExch.Document.DC" dvAspect="DVASPECT_ICON" shapeId="2050" r:id="rId4"/>
      </mc:Fallback>
    </mc:AlternateContent>
  </oleObjec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Introduction</vt:lpstr>
      <vt:lpstr>Basic Module</vt:lpstr>
      <vt:lpstr>Advanced Module</vt:lpstr>
      <vt:lpstr>gBOD5capd</vt:lpstr>
      <vt:lpstr>GHGemissions</vt:lpstr>
      <vt:lpstr>methanecontent</vt:lpstr>
      <vt:lpstr>'Advanced Module'!Print_Area</vt:lpstr>
      <vt:lpstr>'Basic Module'!Print_Area</vt:lpstr>
      <vt:lpstr>VSdestruction</vt:lpstr>
      <vt:lpstr>VSDS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KB</dc:creator>
  <cp:lastModifiedBy>CGoff</cp:lastModifiedBy>
  <cp:lastPrinted>2015-12-13T10:41:37Z</cp:lastPrinted>
  <dcterms:created xsi:type="dcterms:W3CDTF">2014-01-25T00:03:34Z</dcterms:created>
  <dcterms:modified xsi:type="dcterms:W3CDTF">2016-02-24T19:56:50Z</dcterms:modified>
</cp:coreProperties>
</file>