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7.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drawings/drawing8.xml" ContentType="application/vnd.openxmlformats-officedocument.drawing+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ttps://usepa.sharepoint.com/sites/IntlMethane/Shared Documents/Fossil Fuels/Oil&amp;Gas/GO BAG - GMI O&amp;G/Tools and Resources/SMART Plus/"/>
    </mc:Choice>
  </mc:AlternateContent>
  <xr:revisionPtr revIDLastSave="4" documentId="8_{1AAA68CE-E12F-423B-8A2A-B9A12587A749}" xr6:coauthVersionLast="47" xr6:coauthVersionMax="47" xr10:uidLastSave="{92AAA25E-C036-41B2-A422-487DB184891F}"/>
  <bookViews>
    <workbookView xWindow="-28920" yWindow="-120" windowWidth="29040" windowHeight="15720" tabRatio="933" xr2:uid="{00000000-000D-0000-FFFF-FFFF00000000}"/>
  </bookViews>
  <sheets>
    <sheet name="Cover" sheetId="35" r:id="rId1"/>
    <sheet name="Language &amp; User Guide" sheetId="32" r:id="rId2"/>
    <sheet name="Contents" sheetId="34" r:id="rId3"/>
    <sheet name="Results (Graphical) – Facility" sheetId="33" r:id="rId4"/>
    <sheet name="Results (Tabular) - Facility" sheetId="11" r:id="rId5"/>
    <sheet name="Setup - Facility Details" sheetId="1" r:id="rId6"/>
    <sheet name="Setup - Fuel Use" sheetId="36" r:id="rId7"/>
    <sheet name="Setup - Flashing Losses" sheetId="38" r:id="rId8"/>
    <sheet name="Detailed Results Tabulation" sheetId="37" r:id="rId9"/>
    <sheet name="Calculations - Combustion" sheetId="28" r:id="rId10"/>
    <sheet name="Calculations - Fugitives" sheetId="2" r:id="rId11"/>
    <sheet name="EFs - Equipment Leaks" sheetId="9" r:id="rId12"/>
    <sheet name="Equipment Schedules" sheetId="10" r:id="rId13"/>
    <sheet name="EFs - Other" sheetId="5" r:id="rId14"/>
    <sheet name="Constants" sheetId="8" r:id="rId15"/>
    <sheet name="Lookup Tables" sheetId="6" r:id="rId16"/>
    <sheet name="Lookup Lists" sheetId="7" r:id="rId17"/>
    <sheet name="Utilities - Venting Calculation" sheetId="12" r:id="rId18"/>
    <sheet name="Utilities - Gas Properties" sheetId="30" r:id="rId19"/>
    <sheet name="Compressibility Factors" sheetId="14" r:id="rId20"/>
    <sheet name="Translation Table" sheetId="31" r:id="rId21"/>
  </sheets>
  <externalReferences>
    <externalReference r:id="rId22"/>
  </externalReferences>
  <definedNames>
    <definedName name="_BW37">'Setup - Fuel Use'!$BW$40</definedName>
    <definedName name="_BW38">'Setup - Fuel Use'!$BW$41</definedName>
    <definedName name="_BW39">'Setup - Fuel Use'!$BW$42</definedName>
    <definedName name="_BW40">'Setup - Fuel Use'!$BW$43</definedName>
    <definedName name="_BW41">'Setup - Fuel Use'!$BW$44</definedName>
    <definedName name="_BW42">'Setup - Fuel Use'!$BW$45</definedName>
    <definedName name="_BW43">'Setup - Fuel Use'!$BW$46</definedName>
    <definedName name="_BW44">'Setup - Fuel Use'!$BW$47</definedName>
    <definedName name="_BW45">'Setup - Fuel Use'!$BW$48</definedName>
    <definedName name="_BW46">'Setup - Fuel Use'!$BW$49</definedName>
    <definedName name="_BW47">'Setup - Fuel Use'!$BW$50</definedName>
    <definedName name="_BW55">'Setup - Fuel Use'!$BW$58</definedName>
    <definedName name="_BW56">'Setup - Fuel Use'!$BW$59</definedName>
    <definedName name="_BW57">'Setup - Fuel Use'!$BW$60</definedName>
    <definedName name="_BW58">'Setup - Fuel Use'!$BW$61</definedName>
    <definedName name="_BW59">'Setup - Fuel Use'!$BW$62</definedName>
    <definedName name="_BW60">'Setup - Fuel Use'!$BW$63</definedName>
    <definedName name="_BW61">'Setup - Fuel Use'!$BW$64</definedName>
    <definedName name="_BW62">'Setup - Fuel Use'!$BW$65</definedName>
    <definedName name="_BW63">'Setup - Fuel Use'!$BW$66</definedName>
    <definedName name="_BW64">'Setup - Fuel Use'!$BW$67</definedName>
    <definedName name="_BW73">'Setup - Fuel Use'!$BW$76</definedName>
    <definedName name="_BW74">'Setup - Fuel Use'!$BW$77</definedName>
    <definedName name="_BW75">'Setup - Fuel Use'!$BW$78</definedName>
    <definedName name="_BW76">'Setup - Fuel Use'!$BW$79</definedName>
    <definedName name="_BW77">'Setup - Fuel Use'!$BW$80</definedName>
    <definedName name="_BW78">'Setup - Fuel Use'!$BW$81</definedName>
    <definedName name="_BW79">'Setup - Fuel Use'!$BW$82</definedName>
    <definedName name="_BW80">'Setup - Fuel Use'!$BW$83</definedName>
    <definedName name="_BW81">'Setup - Fuel Use'!$BW$84</definedName>
    <definedName name="_BW82">'Setup - Fuel Use'!$BW$85</definedName>
    <definedName name="_DR37">CHOOSE(_BW37," ",SolidFuels,LiquidFuels,GaseousFuels)</definedName>
    <definedName name="_DR38">CHOOSE(_BW38," ",SolidFuels,LiquidFuels,GaseousFuels)</definedName>
    <definedName name="_DR39">CHOOSE(_BW39," ",SolidFuels,LiquidFuels,GaseousFuels)</definedName>
    <definedName name="_DR40">CHOOSE(_BW40," ",SolidFuels,LiquidFuels,GaseousFuels)</definedName>
    <definedName name="_DR41">CHOOSE(_BW41," ",SolidFuels,LiquidFuels,GaseousFuels)</definedName>
    <definedName name="_DR42">CHOOSE(_BW42," ",SolidFuels,LiquidFuels,GaseousFuels)</definedName>
    <definedName name="_DR43">CHOOSE(_BW43," ",SolidFuels,LiquidFuels,GaseousFuels)</definedName>
    <definedName name="_DR44">CHOOSE(_BW44," ",SolidFuels,LiquidFuels,GaseousFuels)</definedName>
    <definedName name="_DR45">CHOOSE(_BW45," ",SolidFuels,LiquidFuels,GaseousFuels)</definedName>
    <definedName name="_DR46">CHOOSE(_BW46," ",SolidFuels,LiquidFuels,GaseousFuels)</definedName>
    <definedName name="_DR47">CHOOSE(_BW47," ",SolidFuels,LiquidFuels,GaseousFuels)</definedName>
    <definedName name="_DR55">CHOOSE(_BW55," ",LiquidFuels,GaseousFuels)</definedName>
    <definedName name="_DR56">CHOOSE(_BW56," ",LiquidFuels,GaseousFuels)</definedName>
    <definedName name="_DR57">CHOOSE(_BW57," ",LiquidFuels,GaseousFuels)</definedName>
    <definedName name="_DR58">CHOOSE(_BW58," ",LiquidFuels,GaseousFuels)</definedName>
    <definedName name="_DR59">CHOOSE(_BW59," ",LiquidFuels,GaseousFuels)</definedName>
    <definedName name="_DR60">CHOOSE(_BW60," ",LiquidFuels,GaseousFuels)</definedName>
    <definedName name="_DR61">CHOOSE(_BW61," ",LiquidFuels,GaseousFuels)</definedName>
    <definedName name="_DR62">CHOOSE(_BW62," ",LiquidFuels,GaseousFuels)</definedName>
    <definedName name="_DR63">CHOOSE(_BW63," ",LiquidFuels,GaseousFuels)</definedName>
    <definedName name="_DR64">CHOOSE(_BW64," ",LiquidFuels,GaseousFuels)</definedName>
    <definedName name="_DR73">CHOOSE(_BW73," ",LiquidFuels,GaseousFuels)</definedName>
    <definedName name="_DR74">CHOOSE(_BW74," ",LiquidFuels,GaseousFuels)</definedName>
    <definedName name="_DR75">CHOOSE(_BW75," ",LiquidFuels,GaseousFuels)</definedName>
    <definedName name="_DR76">CHOOSE(_BW76," ",LiquidFuels,GaseousFuels)</definedName>
    <definedName name="_DR77">CHOOSE(_BW77," ",LiquidFuels,GaseousFuels)</definedName>
    <definedName name="_DR78">CHOOSE(_BW78," ",LiquidFuels,GaseousFuels)</definedName>
    <definedName name="_DR79">CHOOSE(_BW79," ",LiquidFuels,GaseousFuels)</definedName>
    <definedName name="_DR80">CHOOSE(_BW80," ",LiquidFuels,GaseousFuels)</definedName>
    <definedName name="_DR81">CHOOSE(_BW81," ",LiquidFuels,GaseousFuels)</definedName>
    <definedName name="_DR82">CHOOSE(_BW82," ",LiquidFuels,GaseousFuels)</definedName>
    <definedName name="_xlnm._FilterDatabase" localSheetId="20" hidden="1">'Translation Table'!$A$3:$J$3194</definedName>
    <definedName name="All">'EFs - Equipment Leaks'!$A$5</definedName>
    <definedName name="AppType">'Lookup Lists'!$B$69:$B$75</definedName>
    <definedName name="Basis">'Lookup Lists'!$B$86:$B$88</definedName>
    <definedName name="CasingGas_CH4">'Setup - Facility Details'!$E$81</definedName>
    <definedName name="CasingGas_CO2">'Setup - Facility Details'!$F$81</definedName>
    <definedName name="CasingGas_H2S">'Setup - Facility Details'!$H$81</definedName>
    <definedName name="CasingGas_M">'Setup - Facility Details'!$C$81</definedName>
    <definedName name="CasingGas_N2">'Setup - Facility Details'!$G$81</definedName>
    <definedName name="CC_C10">Constants!$X$16</definedName>
    <definedName name="CC_C2">Constants!$X$6</definedName>
    <definedName name="CC_C3">Constants!$X$7</definedName>
    <definedName name="CC_C6">Constants!$X$12</definedName>
    <definedName name="CC_C7">Constants!$X$13</definedName>
    <definedName name="CC_C8">Constants!$X$14</definedName>
    <definedName name="CC_C9">Constants!$X$15</definedName>
    <definedName name="CC_CH4">Constants!$X$5</definedName>
    <definedName name="CC_CO2">Constants!$X$18</definedName>
    <definedName name="CC_H2O">Constants!$X$20</definedName>
    <definedName name="CC_H2S">Constants!$X$17</definedName>
    <definedName name="CC_iC4">Constants!$X$8</definedName>
    <definedName name="CC_iC5">Constants!$X$10</definedName>
    <definedName name="CC_N2">Constants!$X$19</definedName>
    <definedName name="CC_nC4">Constants!$X$9</definedName>
    <definedName name="CC_nC5">Constants!$X$11</definedName>
    <definedName name="CC_O2">Constants!$X$22</definedName>
    <definedName name="CC_SO2">Constants!$X$21</definedName>
    <definedName name="CF_Value">'Lookup Tables'!$D$5:$D$25</definedName>
    <definedName name="ColName">'Translation Table'!$C$1</definedName>
    <definedName name="Cp_Air">Constants!$B$44</definedName>
    <definedName name="Cv_Air">Constants!$B$43</definedName>
    <definedName name="DehydratorType">'Lookup Lists'!$B$13:$B$15</definedName>
    <definedName name="density_Air">Constants!$B$45</definedName>
    <definedName name="density_CH4">Constants!$E$5</definedName>
    <definedName name="density_FuelGas">Constants!$B$49</definedName>
    <definedName name="density_NG">Constants!$B$40</definedName>
    <definedName name="E3m3_per_d_to_bscf_per_y">'Lookup Tables'!$D$80</definedName>
    <definedName name="E3m3_per_d_to_E3m3_per_d">'Lookup Tables'!$D$74</definedName>
    <definedName name="E3m3_per_d_to_E3m3_per_mo">'Lookup Tables'!$D$84</definedName>
    <definedName name="E3m3_per_d_to_E3m3_per_y">'Lookup Tables'!$D$82</definedName>
    <definedName name="E3m3_per_d_to_E6_m3_per_d">'Lookup Tables'!$D$111</definedName>
    <definedName name="E3m3_per_d_to_E6m3_per_d">'Lookup Tables'!$D$75</definedName>
    <definedName name="E3m3_per_d_to_E6m3_per_mo">'Lookup Tables'!$D$78</definedName>
    <definedName name="E3m3_per_d_to_E6m3_per_y">'Lookup Tables'!$D$81</definedName>
    <definedName name="E3m3_per_d_to_m3_per_d">'Lookup Tables'!$D$83</definedName>
    <definedName name="E3m3_per_d_to_m3_per_h">'Lookup Tables'!$D$71</definedName>
    <definedName name="E3m3_per_d_to_mmscf_per_d">'Lookup Tables'!$D$73</definedName>
    <definedName name="E3m3_per_d_to_mmscf_per_mo">'Lookup Tables'!$D$77</definedName>
    <definedName name="E3m3_per_d_to_mmscf_per_y">'Lookup Tables'!$D$79</definedName>
    <definedName name="E3m3_per_d_to_mscf_per_d">'Lookup Tables'!$D$72</definedName>
    <definedName name="E3m3_per_d_to_mscf_per_mo">'Lookup Tables'!$D$76</definedName>
    <definedName name="E3m3_per_d_to_scf_per_h">'Lookup Tables'!$D$70</definedName>
    <definedName name="EmittedSubstance">'Lookup Tables'!$B$329:$B$331</definedName>
    <definedName name="EngineType">'Lookup Lists'!$B$80:$B$85</definedName>
    <definedName name="EngLiqFuel">'Lookup Lists'!$B$82</definedName>
    <definedName name="English">'Lookup Tables'!$C$365</definedName>
    <definedName name="EquipmentSchedules">'Equipment Schedules'!$B$1:$B$672</definedName>
    <definedName name="EspañolColombia">'Lookup Tables'!$C$367</definedName>
    <definedName name="FacilityLists">INDEX('Lookup Tables'!$B$154:$I$167,0,MATCH('Setup - Facility Details'!$C$11,'Lookup Tables'!$B$153:$I$153,0))</definedName>
    <definedName name="FacilitySelection">OFFSET(FacilityLists,0,0,COUNTA(FacilityLists),1)</definedName>
    <definedName name="Flags">INDIRECT('Language &amp; User Guide'!$S$1)</definedName>
    <definedName name="Flare">'Lookup Lists'!$B$98</definedName>
    <definedName name="FlaredAcidGas_CH4">'Setup - Facility Details'!$E$78</definedName>
    <definedName name="FlaredAcidGas_CO2">'Setup - Facility Details'!$F$78</definedName>
    <definedName name="FlaredAcidGas_H2S">'Setup - Facility Details'!$H$78</definedName>
    <definedName name="FlaredAcidGas_HHV">Constants!$B$52</definedName>
    <definedName name="FlaredAcidGas_M">'Setup - Facility Details'!$C$78</definedName>
    <definedName name="FlaredAcidGas_N2">'Setup - Facility Details'!$G$78</definedName>
    <definedName name="FlareGas_CH4">'Setup - Facility Details'!$E$76</definedName>
    <definedName name="FlareGas_CO2">'Setup - Facility Details'!$F$76</definedName>
    <definedName name="FlareGas_H2S">'Setup - Facility Details'!$H$76</definedName>
    <definedName name="FlareGas_HHV">Constants!$B$51</definedName>
    <definedName name="FlareGas_M">'Setup - Facility Details'!$C$76</definedName>
    <definedName name="FlareGas_N2">'Setup - Facility Details'!$G$76</definedName>
    <definedName name="FTSource">OFFSET('Lookup Tables'!$K$153,0,0,COUNTA(RangeSource)-COUNTBLANK(RangeSource)+1,1)</definedName>
    <definedName name="FuelCategory">'Lookup Lists'!$B$40:$B$43</definedName>
    <definedName name="FuelCategory_v2">'Lookup Lists'!$B$44:$B$46</definedName>
    <definedName name="FuelGas_CarbonContent">Constants!$B$50</definedName>
    <definedName name="FuelGas_CH4">'Setup - Facility Details'!$E$75</definedName>
    <definedName name="FuelGas_CO2">'Setup - Facility Details'!$F$75</definedName>
    <definedName name="FuelGas_H2S">'Setup - Facility Details'!$H$75</definedName>
    <definedName name="FuelGas_HHV">Constants!$B$46</definedName>
    <definedName name="FuelGas_LHV">Constants!$B$47</definedName>
    <definedName name="FuelGas_M">'Setup - Facility Details'!$C$75</definedName>
    <definedName name="FuelGas_N2">'Setup - Facility Details'!$G$75</definedName>
    <definedName name="g_per_gal_to_tonne_per_m3">'Lookup Tables'!$D$5</definedName>
    <definedName name="g_per_scf_to_kg_per_Nm3">'Lookup Tables'!$D$7</definedName>
    <definedName name="g_per_ton_to_tonne_per_tonne">'Lookup Tables'!$D$6</definedName>
    <definedName name="gamma_Air">Constants!$B$41</definedName>
    <definedName name="gamma_NG">Constants!$B$38</definedName>
    <definedName name="Gas">'EFs - Equipment Leaks'!$A$4</definedName>
    <definedName name="GasDistribution">'Lookup Lists'!$B$11</definedName>
    <definedName name="GasEng">'Lookup Lists'!$B$83:$B$85</definedName>
    <definedName name="Gaseous">'Lookup Lists'!$B$43</definedName>
    <definedName name="GaseousFuels">'Lookup Lists'!$B$67:$B$68</definedName>
    <definedName name="GaseousUnits">'Lookup Tables'!$D$173:$D$181</definedName>
    <definedName name="GasProcessing">'Lookup Lists'!$B$8</definedName>
    <definedName name="GasRecipEngine2StrokeLeanBurn">'Lookup Lists'!$B$71</definedName>
    <definedName name="GasStorage">'Lookup Lists'!$B$10</definedName>
    <definedName name="GasTransmission">'Lookup Lists'!$B$9</definedName>
    <definedName name="GD">'Equipment Schedules'!$A$548</definedName>
    <definedName name="GJ_per_h_to_kW">'Lookup Tables'!$D$44</definedName>
    <definedName name="GJ_per_y_to_GJ_per_d">'Lookup Tables'!$D$109</definedName>
    <definedName name="GJ_per_y_to_GJ_per_mo">'Lookup Tables'!$D$110</definedName>
    <definedName name="GJ_per_y_to_mBTU_per_h">'Lookup Tables'!$D$104</definedName>
    <definedName name="GJ_per_y_to_MJ_per_h">'Lookup Tables'!$D$108</definedName>
    <definedName name="GJ_per_y_to_mmBTU_per_d">'Lookup Tables'!$D$105</definedName>
    <definedName name="GJ_per_y_to_mmBTU_per_mo">'Lookup Tables'!$D$106</definedName>
    <definedName name="GJ_per_y_to_mmBTU_per_y">'Lookup Tables'!$D$107</definedName>
    <definedName name="GP">'Equipment Schedules'!$A$369</definedName>
    <definedName name="GS">'Equipment Schedules'!$A$506</definedName>
    <definedName name="GT">'Equipment Schedules'!$A$463</definedName>
    <definedName name="Heater">'Lookup Lists'!$B$74:$B$75</definedName>
    <definedName name="HeaterBoilerType">'Lookup Lists'!$B$77:$B$79</definedName>
    <definedName name="Heavy">'Lookup Lists'!$B$22</definedName>
    <definedName name="HHV_C10">Constants!$O$16</definedName>
    <definedName name="HHV_C2">Constants!$O$6</definedName>
    <definedName name="HHV_C3">Constants!$O$7</definedName>
    <definedName name="HHV_C6">Constants!$O$12</definedName>
    <definedName name="HHV_C7">Constants!$O$13</definedName>
    <definedName name="HHV_C8">Constants!$O$14</definedName>
    <definedName name="HHV_C9">Constants!$O$15</definedName>
    <definedName name="HHV_CH4">Constants!$O$5</definedName>
    <definedName name="HHV_CO2">Constants!$O$18</definedName>
    <definedName name="HHV_H2O">Constants!$O$20</definedName>
    <definedName name="HHV_H2S">Constants!$O$17</definedName>
    <definedName name="HHV_iC4">Constants!$O$8</definedName>
    <definedName name="HHV_iC5">Constants!$O$10</definedName>
    <definedName name="HHV_N2">Constants!$O$19</definedName>
    <definedName name="HHV_nC4">Constants!$O$9</definedName>
    <definedName name="HHV_nC5">Constants!$O$11</definedName>
    <definedName name="HHV_NMVOC">Constants!$B$53</definedName>
    <definedName name="HHV_O2">Constants!$O$22</definedName>
    <definedName name="HHV_SO2">Constants!$O$21</definedName>
    <definedName name="HP_to_kW">'Lookup Tables'!$D$41</definedName>
    <definedName name="HydrocarbonLiquids">'Lookup Lists'!$B$19:$B$23</definedName>
    <definedName name="InstrumentNG_CH4">'Setup - Facility Details'!$E$80</definedName>
    <definedName name="InstrumentNG_CO2">'Setup - Facility Details'!$F$80</definedName>
    <definedName name="InstrumentNG_H2S">'Setup - Facility Details'!$H$80</definedName>
    <definedName name="InstrumentNG_M">'Setup - Facility Details'!$C$80</definedName>
    <definedName name="InstrumentNG_N2">'Setup - Facility Details'!$G$80</definedName>
    <definedName name="kg_per_h_to_lb_per_h">'Lookup Tables'!$D$47</definedName>
    <definedName name="kg_per_h_to_ton_per_d">'Lookup Tables'!$D$48</definedName>
    <definedName name="kg_per_h_to_ton_per_mo">'Lookup Tables'!$D$50</definedName>
    <definedName name="kg_per_h_to_ton_per_y">'Lookup Tables'!$D$52</definedName>
    <definedName name="kg_per_h_to_tonne_per_d">'Lookup Tables'!$D$49</definedName>
    <definedName name="kg_per_h_to_tonne_per_mo">'Lookup Tables'!$D$51</definedName>
    <definedName name="kg_per_h_to_tonne_per_y">'Lookup Tables'!$D$53</definedName>
    <definedName name="kg_per_m3_to_lb_per_ft3">'Lookup Tables'!$D$32</definedName>
    <definedName name="kg_per_m3_to_lb_per_gal">'Lookup Tables'!$D$101</definedName>
    <definedName name="kgCH4_per_activity_to_m3CH4_per_activity">'Lookup Tables'!$D$8</definedName>
    <definedName name="kPa_to_bar">'Lookup Tables'!$D$92</definedName>
    <definedName name="kPa_to_kg_per_cm2">'Lookup Tables'!$D$93</definedName>
    <definedName name="kPa_to_kPa">'Lookup Tables'!$D$91</definedName>
    <definedName name="kPa_to_oz_per_in2">'Lookup Tables'!$D$89</definedName>
    <definedName name="kPa_to_Pa">'Lookup Tables'!$D$90</definedName>
    <definedName name="kPa_to_psi">'Lookup Tables'!$D$28</definedName>
    <definedName name="kPag_to_barg">'Lookup Tables'!$D$88</definedName>
    <definedName name="kPag_to_kg_per_cm2g">'Lookup Tables'!$D$87</definedName>
    <definedName name="kPag_to_kPag">'Lookup Tables'!$D$86</definedName>
    <definedName name="kPag_to_psig">'Lookup Tables'!$D$85</definedName>
    <definedName name="kW_to_GJ_per_h">'Lookup Tables'!$D$42</definedName>
    <definedName name="kW_to_HP">'Lookup Tables'!$D$40</definedName>
    <definedName name="kW_to_kW">'Lookup Tables'!$D$94</definedName>
    <definedName name="kW_to_kWh_per_d">'Lookup Tables'!$D$95</definedName>
    <definedName name="kW_to_kWh_per_mo">'Lookup Tables'!$D$96</definedName>
    <definedName name="kW_to_mBTU_per_h">'Lookup Tables'!$D$98</definedName>
    <definedName name="kW_to_mmBTU_per_h">'Lookup Tables'!$D$99</definedName>
    <definedName name="kW_to_MW">'Lookup Tables'!$D$100</definedName>
    <definedName name="kW_to_MWh_per_y">'Lookup Tables'!$D$97</definedName>
    <definedName name="lb_CH4_to_m3_CH4">'Lookup Tables'!$D$9</definedName>
    <definedName name="lb_per_E3gal_to_tonne_per_m3">'Lookup Tables'!$D$10</definedName>
    <definedName name="lb_per_mmBTU_to_tonnes_per_GJ">'Lookup Tables'!$D$11</definedName>
    <definedName name="lb_per_mmscf_to_tonne_per_E3m3">'Lookup Tables'!$D$12</definedName>
    <definedName name="lb_per_ton_to_tonne_per_tonne">'Lookup Tables'!$D$13</definedName>
    <definedName name="LHV_C10">Constants!$K$16</definedName>
    <definedName name="LHV_C2">Constants!$K$6</definedName>
    <definedName name="LHV_C3">Constants!$K$7</definedName>
    <definedName name="LHV_C6">Constants!$K$12</definedName>
    <definedName name="LHV_C7">Constants!$K$13</definedName>
    <definedName name="LHV_C8">Constants!$K$14</definedName>
    <definedName name="LHV_C9">Constants!$K$15</definedName>
    <definedName name="LHV_CH4">Constants!$K$5</definedName>
    <definedName name="LHV_CO2">Constants!$K$18</definedName>
    <definedName name="LHV_H2O">Constants!$K$20</definedName>
    <definedName name="LHV_H2S">Constants!$K$17</definedName>
    <definedName name="LHV_iC4">Constants!$K$8</definedName>
    <definedName name="LHV_iC5">Constants!$K$10</definedName>
    <definedName name="LHV_N2">Constants!$K$19</definedName>
    <definedName name="LHV_nC4">Constants!$K$9</definedName>
    <definedName name="LHV_nC5">Constants!$K$11</definedName>
    <definedName name="LHV_NG">[1]Constants!$D$34</definedName>
    <definedName name="LHV_NMVOC">Constants!$B$54</definedName>
    <definedName name="LHV_O2">Constants!$K$22</definedName>
    <definedName name="LHV_SO2">Constants!$K$21</definedName>
    <definedName name="Light">'Lookup Lists'!$B$20</definedName>
    <definedName name="Liquid">'Lookup Lists'!$B$42</definedName>
    <definedName name="LiquidFuel_S">'Setup - Facility Details'!$C$90</definedName>
    <definedName name="LiquidFuels">'Lookup Lists'!$B$56:$B$66</definedName>
    <definedName name="LiquidUnits">'Lookup Tables'!$C$173:$C$181</definedName>
    <definedName name="M_Air">Constants!$B$42</definedName>
    <definedName name="M_C">Constants!$H$33</definedName>
    <definedName name="M_C10">Constants!$C$16</definedName>
    <definedName name="M_C2">Constants!$C$6</definedName>
    <definedName name="M_C3">Constants!$C$7</definedName>
    <definedName name="M_C6">Constants!$C$12</definedName>
    <definedName name="M_C7">Constants!$C$13</definedName>
    <definedName name="M_C8">Constants!$C$14</definedName>
    <definedName name="M_C9">Constants!$C$15</definedName>
    <definedName name="M_CH4">Constants!$C$5</definedName>
    <definedName name="M_CO">Constants!$C$26</definedName>
    <definedName name="M_CO2">Constants!$C$18</definedName>
    <definedName name="M_FuelGas">Constants!$B$48</definedName>
    <definedName name="M_H">Constants!$H$34</definedName>
    <definedName name="M_H2O">Constants!$C$20</definedName>
    <definedName name="M_H2S">Constants!$C$17</definedName>
    <definedName name="M_iC4">Constants!$C$8</definedName>
    <definedName name="M_iC5">Constants!$C$10</definedName>
    <definedName name="M_N">Constants!$H$36</definedName>
    <definedName name="M_N2">Constants!$C$19</definedName>
    <definedName name="M_N2O">Constants!$C$27</definedName>
    <definedName name="M_nC4">Constants!$C$9</definedName>
    <definedName name="M_nC5">Constants!$C$11</definedName>
    <definedName name="M_NMVOC">Constants!$C$29</definedName>
    <definedName name="M_NOx">Constants!$C$28</definedName>
    <definedName name="M_O">Constants!$H$35</definedName>
    <definedName name="M_O2">Constants!$C$22</definedName>
    <definedName name="M_ProcessGas">Constants!$B$39</definedName>
    <definedName name="M_S">Constants!$H$37</definedName>
    <definedName name="M_SO2">Constants!$C$21</definedName>
    <definedName name="m3_per_d_to_bbl_per_d">'Lookup Tables'!$D$36</definedName>
    <definedName name="m3_per_d_to_bbl_per_mo">'Lookup Tables'!$D$37</definedName>
    <definedName name="m3_per_d_to_bbl_per_y">'Lookup Tables'!$D$38</definedName>
    <definedName name="m3_per_d_to_E3m3_per_d">'Lookup Tables'!$D$29</definedName>
    <definedName name="m3_per_d_to_E3m3_per_y">'Lookup Tables'!$D$39</definedName>
    <definedName name="m3_per_d_to_gal_per_h">'Lookup Tables'!$D$35</definedName>
    <definedName name="m3_per_d_to_m3_per_d">'Lookup Tables'!$D$69</definedName>
    <definedName name="m3_per_d_to_m3_per_h">'Lookup Tables'!$D$27</definedName>
    <definedName name="m3_per_d_to_m3_per_mo">'Lookup Tables'!$D$33</definedName>
    <definedName name="m3_per_d_to_m3_per_y">'Lookup Tables'!$D$34</definedName>
    <definedName name="m3_per_d_to_mmscf_per_d">'Lookup Tables'!$D$31</definedName>
    <definedName name="m3_per_d_to_scf_per_h">'Lookup Tables'!$D$30</definedName>
    <definedName name="m3_per_h_to_E3m3_per_d">'Lookup Tables'!$D$64</definedName>
    <definedName name="m3_per_h_to_E3m3_per_mo">'Lookup Tables'!$D$66</definedName>
    <definedName name="m3_per_h_to_E3m3_per_y">'Lookup Tables'!$D$68</definedName>
    <definedName name="m3_per_h_to_gal_per_d">'Lookup Tables'!$D$56</definedName>
    <definedName name="m3_per_h_to_gal_per_h">'Lookup Tables'!$D$54</definedName>
    <definedName name="m3_per_h_to_gal_per_mo">'Lookup Tables'!$D$58</definedName>
    <definedName name="m3_per_h_to_gal_per_y">'Lookup Tables'!$D$60</definedName>
    <definedName name="m3_per_h_to_L_per_h">'Lookup Tables'!$D$55</definedName>
    <definedName name="m3_per_h_to_m3_per_d">'Lookup Tables'!$D$57</definedName>
    <definedName name="m3_per_h_to_m3_per_h">'Lookup Tables'!$D$26</definedName>
    <definedName name="m3_per_h_to_m3_per_mo">'Lookup Tables'!$D$59</definedName>
    <definedName name="m3_per_h_to_m3_per_y">'Lookup Tables'!$D$61</definedName>
    <definedName name="m3_per_h_to_mscf_per_d">'Lookup Tables'!$D$63</definedName>
    <definedName name="m3_per_h_to_mscf_per_mo">'Lookup Tables'!$D$65</definedName>
    <definedName name="m3_per_h_to_mscf_per_y">'Lookup Tables'!$D$67</definedName>
    <definedName name="m3_per_h_to_scf_per_h">'Lookup Tables'!$D$62</definedName>
    <definedName name="m3_per_m3Oil_to_scf_per_bblOil">'Lookup Tables'!$D$102</definedName>
    <definedName name="m3_per_m3Water_to_scf_per_bblWater">'Lookup Tables'!$D$103</definedName>
    <definedName name="Medium">'Lookup Lists'!$B$21</definedName>
    <definedName name="Methane">'Lookup Tables'!$B$330</definedName>
    <definedName name="mile_to_km">'Lookup Tables'!$D$14</definedName>
    <definedName name="mmBTU_per_h_to_kW">'Lookup Tables'!$D$43</definedName>
    <definedName name="MW_NG">[1]Constants!$D$30</definedName>
    <definedName name="n_">'Setup - Fuel Use'!$E$48</definedName>
    <definedName name="Natural_Gas">'Lookup Tables'!$B$329</definedName>
    <definedName name="NaturalGas">'Lookup Lists'!$B$18</definedName>
    <definedName name="None">'Lookup Lists'!$B$97</definedName>
    <definedName name="OffshoreGasProduction">'Lookup Lists'!$B$5</definedName>
    <definedName name="OffshoreOilProduction">'Lookup Lists'!$B$4</definedName>
    <definedName name="OfGP">'Equipment Schedules'!$A$94</definedName>
    <definedName name="OfOP">'Equipment Schedules'!$A$6</definedName>
    <definedName name="OilStorageSystemType">'Lookup Lists'!$B$89:$B$92</definedName>
    <definedName name="OnGP">'Equipment Schedules'!$A$274</definedName>
    <definedName name="OnOP">'Equipment Schedules'!$A$182</definedName>
    <definedName name="OnshoreGasProduction">'Lookup Lists'!$B$7</definedName>
    <definedName name="OnshoreOilProduction">'Lookup Lists'!$B$6</definedName>
    <definedName name="P_ratio">'Setup - Fuel Use'!$E$45</definedName>
    <definedName name="Pamb">Constants!$B$36</definedName>
    <definedName name="PetroleumRefining">'Lookup Lists'!$B$12</definedName>
    <definedName name="PR">'Equipment Schedules'!$A$581</definedName>
    <definedName name="_xlnm.Print_Area" localSheetId="3">'Results (Graphical) – Facility'!$A$1:$P$42</definedName>
    <definedName name="_xlnm.Print_Area" localSheetId="4">'Results (Tabular) - Facility'!$A$1:$J$45</definedName>
    <definedName name="_xlnm.Print_Area" localSheetId="5">'Setup - Facility Details'!$B$1:$K$90</definedName>
    <definedName name="ProcessGas_CH4">'Setup - Facility Details'!$E$74</definedName>
    <definedName name="ProcessGas_CO2">'Setup - Facility Details'!$F$74</definedName>
    <definedName name="ProcessGas_H2S">'Setup - Facility Details'!$H$74</definedName>
    <definedName name="ProcessGas_M">'Setup - Facility Details'!$C$74</definedName>
    <definedName name="ProcessGas_N2">'Setup - Facility Details'!$G$74</definedName>
    <definedName name="ProducedWaterStorageSystemType">'Lookup Lists'!$B$93:$B$95</definedName>
    <definedName name="Ps">Constants!$B$34</definedName>
    <definedName name="PT_Index">'Setup - Facility Details'!$T$2</definedName>
    <definedName name="PTRange">'Setup - Facility Details'!$Q$4:$Q$112</definedName>
    <definedName name="PTSource">Start_EQ:INDEX(PTRange,PT_Index)</definedName>
    <definedName name="RangeSource">'Lookup Tables'!$K$154:$K$168</definedName>
    <definedName name="Recip">'Lookup Lists'!$B$71:$B$73</definedName>
    <definedName name="Rg">Constants!$B$37</definedName>
    <definedName name="rngUn2">'Lookup Tables'!$B$26:$B$27</definedName>
    <definedName name="rngVal2">'Lookup Tables'!$D$26:$D$27</definedName>
    <definedName name="RnSource">'Calculations - Combustion'!$A$23:$A$27</definedName>
    <definedName name="scf_per_activity_to_m3_per_activity">'Lookup Tables'!$D$16</definedName>
    <definedName name="scf_per_d_per_device_to_m3_per_d_per_device">'Lookup Tables'!$D$18</definedName>
    <definedName name="scf_per_E6scf_to_m3_per_E6m3">'Lookup Tables'!$D$15</definedName>
    <definedName name="scf_per_h_per_device_to_m3_per_d_per_device">'Lookup Tables'!$D$17</definedName>
    <definedName name="scf_per_pipeline_mile_to_m3_per_pipeline_km">'Lookup Tables'!$D$19</definedName>
    <definedName name="scf_per_y_source_to_m3_per_y_per_source">'Lookup Tables'!$D$20</definedName>
    <definedName name="Solid">'Lookup Lists'!$B$41</definedName>
    <definedName name="SolidFuel_S">'Setup - Facility Details'!$C$86</definedName>
    <definedName name="SolidFuels">'Lookup Lists'!$B$47:$B$55</definedName>
    <definedName name="SolidUnits">'Lookup Tables'!$B$173:$B$181</definedName>
    <definedName name="SourceOfProperty">'Lookup Lists'!$B$35:$B$38</definedName>
    <definedName name="SourceOfQuantity">'Lookup Lists'!$B$30:$B$34</definedName>
    <definedName name="start">'Lookup Tables'!$E$4</definedName>
    <definedName name="Start_EQ">'Setup - Facility Details'!$Q$3</definedName>
    <definedName name="StartD">'EFs - Other'!$A$97</definedName>
    <definedName name="StartIMA">'EFs - Other'!$A$226</definedName>
    <definedName name="StartPCIP">'EFs - Other'!$A$61</definedName>
    <definedName name="TblDsitribution_EquipmentComponents">'Equipment Schedules'!$C$58:$AE$90</definedName>
    <definedName name="TblEF_Controllers">'Calculations - Fugitives'!$B$78:$C$82</definedName>
    <definedName name="TblErrorMsg">'Lookup Tables'!$B$341:$C$359</definedName>
    <definedName name="TblGasDistributionControllers">'EFs - Other'!$B$45:$C$54</definedName>
    <definedName name="TblGasProcessingControllers">'EFs - Other'!$B$30:$C$34</definedName>
    <definedName name="TblGasStorageControllers">'EFs - Other'!$B$40:$C$44</definedName>
    <definedName name="TblGasTransmissionControllers">'EFs - Other'!$B$35:$C$39</definedName>
    <definedName name="TblProcessUnitInventory">'Setup - Facility Details'!$C$51:$J$70</definedName>
    <definedName name="TblProduction_EquipmentComponents">'Equipment Schedules'!$C$94:$AE$159</definedName>
    <definedName name="TblProductionControllers">'EFs - Other'!$B$6:$C$11</definedName>
    <definedName name="TblTransmission_EquipmentComponents">'Equipment Schedules'!$C$13:$AE$57</definedName>
    <definedName name="Ti">'Setup - Fuel Use'!$E$39</definedName>
    <definedName name="tonne_to_kg">'Lookup Tables'!$D$45</definedName>
    <definedName name="tonnesCH4_per_d_source_to_m3CH4_per_d_per_source">'Lookup Tables'!$D$24</definedName>
    <definedName name="tonnesCH4_per_E3bbl_to_m3CH4_per_m3">'Lookup Tables'!$D$23</definedName>
    <definedName name="tonnesCH4_per_m3_to_m3CH4_per_m3">'Lookup Tables'!$D$25</definedName>
    <definedName name="tonnesCH4_per_pipeline_mile_to_m3CH4_per_pipeline_km">'Lookup Tables'!$D$22</definedName>
    <definedName name="tonnesCH4_to_m3CH4">'Lookup Tables'!$D$21</definedName>
    <definedName name="Ts">Constants!$B$33</definedName>
    <definedName name="Turbine">'Lookup Lists'!$B$70</definedName>
    <definedName name="ValidCompCrankcaseCF">'Lookup Tables'!$C$124:$C$125</definedName>
    <definedName name="ValidCompCrankcaseCF_V">'Lookup Tables'!$D$124:$D$125</definedName>
    <definedName name="ValidCompSealCF">'Lookup Tables'!$C$126:$C$128</definedName>
    <definedName name="ValidCompSealCF_V">'Lookup Tables'!$D$126:$D$128</definedName>
    <definedName name="ValidConnectorCF">'Lookup Tables'!$C$129:$C$130</definedName>
    <definedName name="ValidConnectorCF_V">'Lookup Tables'!$D$129:$D$130</definedName>
    <definedName name="ValidControllerTypes">'Lookup Lists'!$B$24:$B$29</definedName>
    <definedName name="ValidDehydratorTypes">'Lookup Lists'!$B$14:$B$15</definedName>
    <definedName name="ValidDistributionProcessUnits">'Equipment Schedules'!$B$57:$B$672</definedName>
    <definedName name="ValidDrainCF">'Lookup Tables'!$C$131:$C$132</definedName>
    <definedName name="ValidDrainCF_V">'Lookup Tables'!$D$131:$D$132</definedName>
    <definedName name="ValidHydrocarbonLiquidCategories">'Lookup Lists'!$B$20:$B$23</definedName>
    <definedName name="ValidIndustrySegments">'Lookup Lists'!$B$3:$B$12</definedName>
    <definedName name="ValidOELCF">'Lookup Tables'!$C$133:$C$134</definedName>
    <definedName name="ValidOELCF_V">'Lookup Tables'!$D$133:$D$134</definedName>
    <definedName name="ValidOtherCF">'Lookup Tables'!$C$135</definedName>
    <definedName name="ValidOtherCF_V">'Lookup Tables'!$D$135</definedName>
    <definedName name="ValidPneumaticSupplyGas">'Lookup Lists'!$B$16:$B$18</definedName>
    <definedName name="ValidProductionProcessUnits">'Equipment Schedules'!$B$94:$B$159</definedName>
    <definedName name="ValidPRVCF">'Lookup Tables'!$C$136:$C$138</definedName>
    <definedName name="ValidPRVCF_V">'Lookup Tables'!$D$136:$D$138</definedName>
    <definedName name="ValidPumpCF">'Lookup Tables'!$C$139:$C$142</definedName>
    <definedName name="ValidPumpCF_V">'Lookup Tables'!$D$139:$D$142</definedName>
    <definedName name="ValidRegulatorCF">'Lookup Tables'!$C$143</definedName>
    <definedName name="ValidRegulatorCF_V">'Lookup Tables'!$D$143</definedName>
    <definedName name="ValidSampConCF">'Lookup Tables'!$C$144:$C$145</definedName>
    <definedName name="ValidSampConCF_V">'Lookup Tables'!$D$144:$D$145</definedName>
    <definedName name="ValidTransmissionProcessUnits">'Equipment Schedules'!$B$13:$B$29</definedName>
    <definedName name="ValidUnitConversions">'Lookup Tables'!$E$5:$E$25</definedName>
    <definedName name="ValidValveCF">'Lookup Tables'!$C$146:$C$147</definedName>
    <definedName name="ValidValveCF_V">'Lookup Tables'!$D$146:$D$147</definedName>
    <definedName name="Vapor_CH4">'Setup - Facility Details'!$E$82</definedName>
    <definedName name="Vapor_CO2">'Setup - Facility Details'!$F$82</definedName>
    <definedName name="Vapor_H2S">'Setup - Facility Details'!$H$82</definedName>
    <definedName name="Vapor_M">'Setup - Facility Details'!$C$82</definedName>
    <definedName name="Vapor_N2">'Setup - Facility Details'!$G$82</definedName>
    <definedName name="VaporRecoveryCompressor">'Lookup Lists'!$B$99</definedName>
    <definedName name="VentControlDevice">'Lookup Lists'!$B$96:$B$99</definedName>
    <definedName name="VentedAcidGas_CH4">'Setup - Facility Details'!$E$79</definedName>
    <definedName name="VentedAcidGas_CO2">'Setup - Facility Details'!$F$79</definedName>
    <definedName name="VentedAcidGas_H2S">'Setup - Facility Details'!$H$79</definedName>
    <definedName name="VentedAcidGas_M">'Setup - Facility Details'!$C$79</definedName>
    <definedName name="VentedAcidGas_N2">'Setup - Facility Details'!$G$79</definedName>
    <definedName name="VentGas_CH4">'Setup - Facility Details'!$E$77</definedName>
    <definedName name="VentGas_CO2">'Setup - Facility Details'!$F$77</definedName>
    <definedName name="VentGas_H2S">'Setup - Facility Details'!$H$77</definedName>
    <definedName name="VentGas_M">'Setup - Facility Details'!$C$77</definedName>
    <definedName name="VentGas_N2">'Setup - Facility Details'!$G$77</definedName>
    <definedName name="VeryHeavy">'Lookup Lists'!$B$23</definedName>
    <definedName name="Vstp">Constants!$B$35</definedName>
    <definedName name="y_to_h">'Lookup Tables'!$D$46</definedName>
    <definedName name="中文">'Lookup Tables'!$C$366</definedName>
  </definedNames>
  <calcPr calcId="191029"/>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2" i="5" l="1"/>
  <c r="G31" i="5"/>
  <c r="G30" i="5"/>
  <c r="G52" i="5"/>
  <c r="G51" i="5"/>
  <c r="G50" i="5"/>
  <c r="G47" i="5"/>
  <c r="G46" i="5"/>
  <c r="G45" i="5"/>
  <c r="G42" i="5"/>
  <c r="G41" i="5"/>
  <c r="G40" i="5"/>
  <c r="G37" i="5"/>
  <c r="G36" i="5"/>
  <c r="G35" i="5"/>
  <c r="E37" i="5"/>
  <c r="E36" i="5"/>
  <c r="E35" i="5"/>
  <c r="J51" i="1" l="1"/>
  <c r="H82" i="2"/>
  <c r="G137" i="2"/>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O97" i="9"/>
  <c r="O96" i="9"/>
  <c r="O95" i="9"/>
  <c r="O94" i="9"/>
  <c r="O93" i="9"/>
  <c r="O92"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0" i="9"/>
  <c r="O39" i="9"/>
  <c r="O38" i="9"/>
  <c r="O37" i="9"/>
  <c r="O36" i="9"/>
  <c r="O35" i="9"/>
  <c r="O34" i="9"/>
  <c r="O33" i="9"/>
  <c r="O32" i="9"/>
  <c r="O31" i="9"/>
  <c r="O30" i="9"/>
  <c r="O29" i="9"/>
  <c r="O28" i="9"/>
  <c r="O27" i="9"/>
  <c r="O26" i="9"/>
  <c r="O25" i="9"/>
  <c r="O24" i="9"/>
  <c r="O23" i="9"/>
  <c r="O22" i="9"/>
  <c r="O21" i="9"/>
  <c r="O20" i="9"/>
  <c r="O19" i="9"/>
  <c r="O18" i="9"/>
  <c r="O17" i="9"/>
  <c r="O15" i="9"/>
  <c r="O16" i="9"/>
  <c r="O14" i="9"/>
  <c r="O13" i="9"/>
  <c r="O12" i="9"/>
  <c r="O11" i="9"/>
  <c r="O10" i="9"/>
  <c r="O9" i="9"/>
  <c r="O8" i="9"/>
  <c r="C32" i="1"/>
  <c r="AH68" i="28"/>
  <c r="AH67" i="28"/>
  <c r="AH62" i="28"/>
  <c r="AH61" i="28"/>
  <c r="AH56" i="28"/>
  <c r="AH55" i="28"/>
  <c r="AH50" i="28"/>
  <c r="AH49" i="28"/>
  <c r="AH44" i="28"/>
  <c r="AH43" i="28"/>
  <c r="AH38" i="28"/>
  <c r="AH37" i="28"/>
  <c r="K602" i="10"/>
  <c r="K601" i="10"/>
  <c r="K600" i="10"/>
  <c r="K599" i="10"/>
  <c r="K598" i="10"/>
  <c r="K597" i="10"/>
  <c r="K596" i="10"/>
  <c r="K595" i="10"/>
  <c r="K566" i="10"/>
  <c r="K565" i="10"/>
  <c r="K564" i="10"/>
  <c r="K563" i="10"/>
  <c r="K562" i="10"/>
  <c r="K561" i="10"/>
  <c r="K560" i="10"/>
  <c r="K559" i="10"/>
  <c r="K527" i="10"/>
  <c r="K526" i="10"/>
  <c r="K525" i="10"/>
  <c r="K524" i="10"/>
  <c r="K523" i="10"/>
  <c r="K522" i="10"/>
  <c r="K521" i="10"/>
  <c r="K520" i="10"/>
  <c r="K484" i="10"/>
  <c r="K483" i="10"/>
  <c r="K482" i="10"/>
  <c r="K481" i="10"/>
  <c r="K480" i="10"/>
  <c r="K479" i="10"/>
  <c r="K478" i="10"/>
  <c r="K477" i="10"/>
  <c r="K388" i="10"/>
  <c r="K387" i="10"/>
  <c r="K386" i="10"/>
  <c r="K385" i="10"/>
  <c r="K384" i="10"/>
  <c r="K383" i="10"/>
  <c r="K389" i="10"/>
  <c r="K390" i="10"/>
  <c r="K295" i="10"/>
  <c r="K294" i="10"/>
  <c r="K293" i="10"/>
  <c r="K292" i="10"/>
  <c r="K291" i="10"/>
  <c r="K290" i="10"/>
  <c r="K289" i="10"/>
  <c r="K288" i="10"/>
  <c r="K203" i="10"/>
  <c r="K202" i="10"/>
  <c r="K201" i="10"/>
  <c r="K200" i="10"/>
  <c r="K199" i="10"/>
  <c r="K198" i="10"/>
  <c r="K197" i="10"/>
  <c r="K196" i="10"/>
  <c r="K115" i="10"/>
  <c r="K114" i="10"/>
  <c r="K113" i="10"/>
  <c r="K112" i="10"/>
  <c r="K111" i="10"/>
  <c r="K110" i="10"/>
  <c r="K109" i="10"/>
  <c r="K108" i="10"/>
  <c r="K100" i="10"/>
  <c r="K101" i="10"/>
  <c r="K102" i="10"/>
  <c r="K103" i="10"/>
  <c r="K104" i="10"/>
  <c r="K105" i="10"/>
  <c r="K106" i="10"/>
  <c r="K107" i="10"/>
  <c r="D10" i="6" l="1"/>
  <c r="I39" i="1"/>
  <c r="I38" i="1"/>
  <c r="C175" i="2"/>
  <c r="N458" i="10" l="1"/>
  <c r="L458" i="10"/>
  <c r="K458" i="10" s="1"/>
  <c r="N365" i="10"/>
  <c r="L365" i="10"/>
  <c r="K365" i="10" s="1"/>
  <c r="K672" i="10"/>
  <c r="K671" i="10"/>
  <c r="K670" i="10"/>
  <c r="K669" i="10"/>
  <c r="K668" i="10"/>
  <c r="K667" i="10"/>
  <c r="K666" i="10"/>
  <c r="K665" i="10"/>
  <c r="K664" i="10"/>
  <c r="K663" i="10"/>
  <c r="K662" i="10"/>
  <c r="K661" i="10"/>
  <c r="K660" i="10"/>
  <c r="K659" i="10"/>
  <c r="K658" i="10"/>
  <c r="K657" i="10"/>
  <c r="K656" i="10"/>
  <c r="K655" i="10"/>
  <c r="K654" i="10"/>
  <c r="K653" i="10"/>
  <c r="K652" i="10"/>
  <c r="K651" i="10"/>
  <c r="K650" i="10"/>
  <c r="K649" i="10"/>
  <c r="K648" i="10"/>
  <c r="K647" i="10"/>
  <c r="K646" i="10"/>
  <c r="K645" i="10"/>
  <c r="K644" i="10"/>
  <c r="K643" i="10"/>
  <c r="K642" i="10"/>
  <c r="K641" i="10"/>
  <c r="K640" i="10"/>
  <c r="K639" i="10"/>
  <c r="K638" i="10"/>
  <c r="K637" i="10"/>
  <c r="K636" i="10"/>
  <c r="K635" i="10"/>
  <c r="K634" i="10"/>
  <c r="K633" i="10"/>
  <c r="K632" i="10"/>
  <c r="K631" i="10"/>
  <c r="K630" i="10"/>
  <c r="K629" i="10"/>
  <c r="K628" i="10"/>
  <c r="K627" i="10"/>
  <c r="K626" i="10"/>
  <c r="K625" i="10"/>
  <c r="K624" i="10"/>
  <c r="K623" i="10"/>
  <c r="K622" i="10"/>
  <c r="K621" i="10"/>
  <c r="K620" i="10"/>
  <c r="K619" i="10"/>
  <c r="K618" i="10"/>
  <c r="K617" i="10"/>
  <c r="K616" i="10"/>
  <c r="K615" i="10"/>
  <c r="K614" i="10"/>
  <c r="K613" i="10"/>
  <c r="K612" i="10"/>
  <c r="K611" i="10"/>
  <c r="K610" i="10"/>
  <c r="K609" i="10"/>
  <c r="K608" i="10"/>
  <c r="K607" i="10"/>
  <c r="K606" i="10"/>
  <c r="K605" i="10"/>
  <c r="K604" i="10"/>
  <c r="K603" i="10"/>
  <c r="K594" i="10"/>
  <c r="K593" i="10"/>
  <c r="K592" i="10"/>
  <c r="K591" i="10"/>
  <c r="K590" i="10"/>
  <c r="K589" i="10"/>
  <c r="K588" i="10"/>
  <c r="K587" i="10"/>
  <c r="K586" i="10"/>
  <c r="K585" i="10"/>
  <c r="K584" i="10"/>
  <c r="K583" i="10"/>
  <c r="K582" i="10"/>
  <c r="K581" i="10"/>
  <c r="K580" i="10"/>
  <c r="K579" i="10"/>
  <c r="K578" i="10"/>
  <c r="K577" i="10"/>
  <c r="K576" i="10"/>
  <c r="K575" i="10"/>
  <c r="K574" i="10"/>
  <c r="K573" i="10"/>
  <c r="K572" i="10"/>
  <c r="K571" i="10"/>
  <c r="K570" i="10"/>
  <c r="K569" i="10"/>
  <c r="K568" i="10"/>
  <c r="K567" i="10"/>
  <c r="K558" i="10"/>
  <c r="K557" i="10"/>
  <c r="K556" i="10"/>
  <c r="K555" i="10"/>
  <c r="K554" i="10"/>
  <c r="K553" i="10"/>
  <c r="K552" i="10"/>
  <c r="K551" i="10"/>
  <c r="K550" i="10"/>
  <c r="K549" i="10"/>
  <c r="K548" i="10"/>
  <c r="K547" i="10"/>
  <c r="K546" i="10"/>
  <c r="K545" i="10"/>
  <c r="K544" i="10"/>
  <c r="K543" i="10"/>
  <c r="K542" i="10"/>
  <c r="K541" i="10"/>
  <c r="K540" i="10"/>
  <c r="K539" i="10"/>
  <c r="K538" i="10"/>
  <c r="K537" i="10"/>
  <c r="K536" i="10"/>
  <c r="K535" i="10"/>
  <c r="K534" i="10"/>
  <c r="K533" i="10"/>
  <c r="K532" i="10"/>
  <c r="K531" i="10"/>
  <c r="K530" i="10"/>
  <c r="K529" i="10"/>
  <c r="K528" i="10"/>
  <c r="K519" i="10"/>
  <c r="K518" i="10"/>
  <c r="K517" i="10"/>
  <c r="K516" i="10"/>
  <c r="K515" i="10"/>
  <c r="K514" i="10"/>
  <c r="K513" i="10"/>
  <c r="K512" i="10"/>
  <c r="K511" i="10"/>
  <c r="K510" i="10"/>
  <c r="K509" i="10"/>
  <c r="K508" i="10"/>
  <c r="K507" i="10"/>
  <c r="K506" i="10"/>
  <c r="K505" i="10"/>
  <c r="K504" i="10"/>
  <c r="K503" i="10"/>
  <c r="K502" i="10"/>
  <c r="K501" i="10"/>
  <c r="K500" i="10"/>
  <c r="K499" i="10"/>
  <c r="K498" i="10"/>
  <c r="K497" i="10"/>
  <c r="K496" i="10"/>
  <c r="K495" i="10"/>
  <c r="K494" i="10"/>
  <c r="K493" i="10"/>
  <c r="K492" i="10"/>
  <c r="K491" i="10"/>
  <c r="K490" i="10"/>
  <c r="K489" i="10"/>
  <c r="K488" i="10"/>
  <c r="K487" i="10"/>
  <c r="K486" i="10"/>
  <c r="K485" i="10"/>
  <c r="K476" i="10"/>
  <c r="K475" i="10"/>
  <c r="K474" i="10"/>
  <c r="K473" i="10"/>
  <c r="K472" i="10"/>
  <c r="K471" i="10"/>
  <c r="K470" i="10"/>
  <c r="K469" i="10"/>
  <c r="K468" i="10"/>
  <c r="K467" i="10"/>
  <c r="K466" i="10"/>
  <c r="K465" i="10"/>
  <c r="K464" i="10"/>
  <c r="K463" i="10"/>
  <c r="K462" i="10"/>
  <c r="K461" i="10"/>
  <c r="K460" i="10"/>
  <c r="K459" i="10"/>
  <c r="K457" i="10"/>
  <c r="K456" i="10"/>
  <c r="K455" i="10"/>
  <c r="K454" i="10"/>
  <c r="K453" i="10"/>
  <c r="K452" i="10"/>
  <c r="K451" i="10"/>
  <c r="K450" i="10"/>
  <c r="K449" i="10"/>
  <c r="K448" i="10"/>
  <c r="K447" i="10"/>
  <c r="K446" i="10"/>
  <c r="K445" i="10"/>
  <c r="K444" i="10"/>
  <c r="K443" i="10"/>
  <c r="K442" i="10"/>
  <c r="K441" i="10"/>
  <c r="K440" i="10"/>
  <c r="K439" i="10"/>
  <c r="K438" i="10"/>
  <c r="K437" i="10"/>
  <c r="K436" i="10"/>
  <c r="K435" i="10"/>
  <c r="K434" i="10"/>
  <c r="K433" i="10"/>
  <c r="K432" i="10"/>
  <c r="K431" i="10"/>
  <c r="K430" i="10"/>
  <c r="K429" i="10"/>
  <c r="K428" i="10"/>
  <c r="K427" i="10"/>
  <c r="K426" i="10"/>
  <c r="K425" i="10"/>
  <c r="K424" i="10"/>
  <c r="K423" i="10"/>
  <c r="K422" i="10"/>
  <c r="K421" i="10"/>
  <c r="K420" i="10"/>
  <c r="K419" i="10"/>
  <c r="K418" i="10"/>
  <c r="K417" i="10"/>
  <c r="K416" i="10"/>
  <c r="K415" i="10"/>
  <c r="K414" i="10"/>
  <c r="K413" i="10"/>
  <c r="K412" i="10"/>
  <c r="K411" i="10"/>
  <c r="K410" i="10"/>
  <c r="K409" i="10"/>
  <c r="K408" i="10"/>
  <c r="K407" i="10"/>
  <c r="K406" i="10"/>
  <c r="K405" i="10"/>
  <c r="K404" i="10"/>
  <c r="K403" i="10"/>
  <c r="K402" i="10"/>
  <c r="K401" i="10"/>
  <c r="K400" i="10"/>
  <c r="K399" i="10"/>
  <c r="K398" i="10"/>
  <c r="K397" i="10"/>
  <c r="K396" i="10"/>
  <c r="K395" i="10"/>
  <c r="K394" i="10"/>
  <c r="K393" i="10"/>
  <c r="K392" i="10"/>
  <c r="K391" i="10"/>
  <c r="K382" i="10"/>
  <c r="K381" i="10"/>
  <c r="K380" i="10"/>
  <c r="K379" i="10"/>
  <c r="K378" i="10"/>
  <c r="K377" i="10"/>
  <c r="K376" i="10"/>
  <c r="K375" i="10"/>
  <c r="K374" i="10"/>
  <c r="K373" i="10"/>
  <c r="K372" i="10"/>
  <c r="K371" i="10"/>
  <c r="K370" i="10"/>
  <c r="K369" i="10"/>
  <c r="K368" i="10"/>
  <c r="K367" i="10"/>
  <c r="K366" i="10"/>
  <c r="K364" i="10"/>
  <c r="K363" i="10"/>
  <c r="K362" i="10"/>
  <c r="K361" i="10"/>
  <c r="K360" i="10"/>
  <c r="K359" i="10"/>
  <c r="K358" i="10"/>
  <c r="K357" i="10"/>
  <c r="K356" i="10"/>
  <c r="K355" i="10"/>
  <c r="K354" i="10"/>
  <c r="K353" i="10"/>
  <c r="K352" i="10"/>
  <c r="K351" i="10"/>
  <c r="K350" i="10"/>
  <c r="K349" i="10"/>
  <c r="K348" i="10"/>
  <c r="K347" i="10"/>
  <c r="K346" i="10"/>
  <c r="K345" i="10"/>
  <c r="K344" i="10"/>
  <c r="K343" i="10"/>
  <c r="K342" i="10"/>
  <c r="K341" i="10"/>
  <c r="K340" i="10"/>
  <c r="K339" i="10"/>
  <c r="K338" i="10"/>
  <c r="K337" i="10"/>
  <c r="K336" i="10"/>
  <c r="K335" i="10"/>
  <c r="K334" i="10"/>
  <c r="K333" i="10"/>
  <c r="K332" i="10"/>
  <c r="K331" i="10"/>
  <c r="K330" i="10"/>
  <c r="K329" i="10"/>
  <c r="K328" i="10"/>
  <c r="K327" i="10"/>
  <c r="K326" i="10"/>
  <c r="K325" i="10"/>
  <c r="K324" i="10"/>
  <c r="K323" i="10"/>
  <c r="K322" i="10"/>
  <c r="K321" i="10"/>
  <c r="K320" i="10"/>
  <c r="K319" i="10"/>
  <c r="K318" i="10"/>
  <c r="K317" i="10"/>
  <c r="K316" i="10"/>
  <c r="K315" i="10"/>
  <c r="K314" i="10"/>
  <c r="K313" i="10"/>
  <c r="K312" i="10"/>
  <c r="K311" i="10"/>
  <c r="K310" i="10"/>
  <c r="K309" i="10"/>
  <c r="K308" i="10"/>
  <c r="K307" i="10"/>
  <c r="K306" i="10"/>
  <c r="K305" i="10"/>
  <c r="K304" i="10"/>
  <c r="K303" i="10"/>
  <c r="K302" i="10"/>
  <c r="K301" i="10"/>
  <c r="K300" i="10"/>
  <c r="K299" i="10"/>
  <c r="K298" i="10"/>
  <c r="K297" i="10"/>
  <c r="K296" i="10"/>
  <c r="K287" i="10"/>
  <c r="K286" i="10"/>
  <c r="K285" i="10"/>
  <c r="K284" i="10"/>
  <c r="K283" i="10"/>
  <c r="K282" i="10"/>
  <c r="K281" i="10"/>
  <c r="K280" i="10"/>
  <c r="K279" i="10"/>
  <c r="K278" i="10"/>
  <c r="K277" i="10"/>
  <c r="K276" i="10"/>
  <c r="K275" i="10"/>
  <c r="K274" i="10"/>
  <c r="K273" i="10"/>
  <c r="K271" i="10"/>
  <c r="K270" i="10"/>
  <c r="K269" i="10"/>
  <c r="K268" i="10"/>
  <c r="K267" i="10"/>
  <c r="K266" i="10"/>
  <c r="K265" i="10"/>
  <c r="K264" i="10"/>
  <c r="K263" i="10"/>
  <c r="K262" i="10"/>
  <c r="K261" i="10"/>
  <c r="K260" i="10"/>
  <c r="K259" i="10"/>
  <c r="K258" i="10"/>
  <c r="K257" i="10"/>
  <c r="K256" i="10"/>
  <c r="K255" i="10"/>
  <c r="K254" i="10"/>
  <c r="K253" i="10"/>
  <c r="K252" i="10"/>
  <c r="K251" i="10"/>
  <c r="K250" i="10"/>
  <c r="K249" i="10"/>
  <c r="K248" i="10"/>
  <c r="K247" i="10"/>
  <c r="K246" i="10"/>
  <c r="K245" i="10"/>
  <c r="K244" i="10"/>
  <c r="K243" i="10"/>
  <c r="K242" i="10"/>
  <c r="K241" i="10"/>
  <c r="K240" i="10"/>
  <c r="K239" i="10"/>
  <c r="K238" i="10"/>
  <c r="K237" i="10"/>
  <c r="K236" i="10"/>
  <c r="K235" i="10"/>
  <c r="K234" i="10"/>
  <c r="K233" i="10"/>
  <c r="K232" i="10"/>
  <c r="K231" i="10"/>
  <c r="K230" i="10"/>
  <c r="K229" i="10"/>
  <c r="K228" i="10"/>
  <c r="K227" i="10"/>
  <c r="K226" i="10"/>
  <c r="K225" i="10"/>
  <c r="K224" i="10"/>
  <c r="K223" i="10"/>
  <c r="K222" i="10"/>
  <c r="K221" i="10"/>
  <c r="K220" i="10"/>
  <c r="K219" i="10"/>
  <c r="K218" i="10"/>
  <c r="K217" i="10"/>
  <c r="K216" i="10"/>
  <c r="K215" i="10"/>
  <c r="K214" i="10"/>
  <c r="K213" i="10"/>
  <c r="K212" i="10"/>
  <c r="K211" i="10"/>
  <c r="K210" i="10"/>
  <c r="K209" i="10"/>
  <c r="K208" i="10"/>
  <c r="K207" i="10"/>
  <c r="K206" i="10"/>
  <c r="K205" i="10"/>
  <c r="K204" i="10"/>
  <c r="K195" i="10"/>
  <c r="K194" i="10"/>
  <c r="K193" i="10"/>
  <c r="K192" i="10"/>
  <c r="K191" i="10"/>
  <c r="K190" i="10"/>
  <c r="K189" i="10"/>
  <c r="K188" i="10"/>
  <c r="K187" i="10"/>
  <c r="K186" i="10"/>
  <c r="K185" i="10"/>
  <c r="K184" i="10"/>
  <c r="K183" i="10"/>
  <c r="K182" i="10"/>
  <c r="K181" i="10"/>
  <c r="K180" i="10"/>
  <c r="K179" i="10"/>
  <c r="K178" i="10"/>
  <c r="K177" i="10"/>
  <c r="K176" i="10"/>
  <c r="K175" i="10"/>
  <c r="K174" i="10"/>
  <c r="K173" i="10"/>
  <c r="K172" i="10"/>
  <c r="K171" i="10"/>
  <c r="K170" i="10"/>
  <c r="K169" i="10"/>
  <c r="K168" i="10"/>
  <c r="K167" i="10"/>
  <c r="K166" i="10"/>
  <c r="K165" i="10"/>
  <c r="K164" i="10"/>
  <c r="K163" i="10"/>
  <c r="K162" i="10"/>
  <c r="K161" i="10"/>
  <c r="K160" i="10"/>
  <c r="K159" i="10"/>
  <c r="K158" i="10"/>
  <c r="K157" i="10"/>
  <c r="K156" i="10"/>
  <c r="K155" i="10"/>
  <c r="K154" i="10"/>
  <c r="K153" i="10"/>
  <c r="K152" i="10"/>
  <c r="K151" i="10"/>
  <c r="K150" i="10"/>
  <c r="K149" i="10"/>
  <c r="K148" i="10"/>
  <c r="K147" i="10"/>
  <c r="K146" i="10"/>
  <c r="K145" i="10"/>
  <c r="K144"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99" i="10"/>
  <c r="K98" i="10"/>
  <c r="K97" i="10"/>
  <c r="K96" i="10"/>
  <c r="K95" i="10"/>
  <c r="K94" i="10"/>
  <c r="K93"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K8" i="10"/>
  <c r="K7" i="10"/>
  <c r="K6" i="10"/>
  <c r="N272" i="10"/>
  <c r="L272" i="10"/>
  <c r="K272" i="10" s="1"/>
  <c r="C29" i="8" l="1"/>
  <c r="B54" i="8"/>
  <c r="B53" i="8"/>
  <c r="C81" i="28"/>
  <c r="C90" i="28"/>
  <c r="C89" i="28"/>
  <c r="C82" i="28"/>
  <c r="AQ24" i="36"/>
  <c r="AP24" i="36"/>
  <c r="M14" i="5" l="1"/>
  <c r="L14" i="5"/>
  <c r="M13" i="5"/>
  <c r="M12" i="5"/>
  <c r="M11" i="5"/>
  <c r="M10" i="5"/>
  <c r="M9" i="5"/>
  <c r="M8" i="5"/>
  <c r="M7" i="5"/>
  <c r="M6" i="5"/>
  <c r="L6" i="5"/>
  <c r="L13" i="5"/>
  <c r="L12" i="5"/>
  <c r="L11" i="5"/>
  <c r="L10" i="5"/>
  <c r="L9" i="5"/>
  <c r="L8" i="5"/>
  <c r="L7" i="5"/>
  <c r="D686" i="10" l="1"/>
  <c r="E685" i="10"/>
  <c r="D685" i="10"/>
  <c r="E684" i="10"/>
  <c r="D684" i="10"/>
  <c r="E683" i="10"/>
  <c r="D683" i="10"/>
  <c r="E682" i="10"/>
  <c r="D682" i="10"/>
  <c r="E681" i="10"/>
  <c r="D681" i="10"/>
  <c r="E679" i="10"/>
  <c r="E680" i="10"/>
  <c r="D680" i="10"/>
  <c r="D679" i="10"/>
  <c r="E678" i="10"/>
  <c r="D678" i="10"/>
  <c r="H115" i="5"/>
  <c r="C115" i="5" s="1"/>
  <c r="H114" i="5"/>
  <c r="C114" i="5" s="1"/>
  <c r="H113" i="5"/>
  <c r="C113" i="5" s="1"/>
  <c r="H112" i="5"/>
  <c r="C112" i="5" s="1"/>
  <c r="H111" i="5"/>
  <c r="C111" i="5" s="1"/>
  <c r="H110" i="5"/>
  <c r="C110" i="5" s="1"/>
  <c r="H109" i="5"/>
  <c r="C109" i="5" s="1"/>
  <c r="H108" i="5"/>
  <c r="C108" i="5" s="1"/>
  <c r="H103" i="5"/>
  <c r="C103" i="5" s="1"/>
  <c r="H102" i="5"/>
  <c r="C102" i="5" s="1"/>
  <c r="H101" i="5"/>
  <c r="C101" i="5" s="1"/>
  <c r="H100" i="5"/>
  <c r="C100" i="5" s="1"/>
  <c r="I271" i="5"/>
  <c r="C271" i="5" s="1"/>
  <c r="E316" i="5"/>
  <c r="E315" i="5"/>
  <c r="E314" i="5"/>
  <c r="E313" i="5"/>
  <c r="E312" i="5"/>
  <c r="E321" i="5"/>
  <c r="E320" i="5"/>
  <c r="E319" i="5"/>
  <c r="E318" i="5"/>
  <c r="E317" i="5"/>
  <c r="E306" i="5"/>
  <c r="E305" i="5"/>
  <c r="E304" i="5"/>
  <c r="E303" i="5"/>
  <c r="E302" i="5"/>
  <c r="E311" i="5"/>
  <c r="E310" i="5"/>
  <c r="E309" i="5"/>
  <c r="E308" i="5"/>
  <c r="E307" i="5"/>
  <c r="E324" i="5"/>
  <c r="E322" i="5"/>
  <c r="E325" i="5"/>
  <c r="E326" i="5"/>
  <c r="E330" i="5"/>
  <c r="E334" i="5"/>
  <c r="E333" i="5"/>
  <c r="E332" i="5"/>
  <c r="E346" i="5"/>
  <c r="E345" i="5"/>
  <c r="E344" i="5"/>
  <c r="E343" i="5"/>
  <c r="E342" i="5"/>
  <c r="E341" i="5"/>
  <c r="E340" i="5"/>
  <c r="E339" i="5"/>
  <c r="E338" i="5"/>
  <c r="E337" i="5"/>
  <c r="E336" i="5"/>
  <c r="E335" i="5"/>
  <c r="E323" i="5"/>
  <c r="E88" i="5"/>
  <c r="E86" i="5"/>
  <c r="E87" i="5"/>
  <c r="E85" i="5"/>
  <c r="E83" i="5"/>
  <c r="E84" i="5"/>
  <c r="E82" i="5"/>
  <c r="E80" i="5"/>
  <c r="E81" i="5"/>
  <c r="E79" i="5"/>
  <c r="E77" i="5"/>
  <c r="E78" i="5"/>
  <c r="E76" i="5"/>
  <c r="E74" i="5"/>
  <c r="E75" i="5"/>
  <c r="E70" i="5"/>
  <c r="E68" i="5"/>
  <c r="E69" i="5"/>
  <c r="E73" i="5"/>
  <c r="E71" i="5"/>
  <c r="E72" i="5"/>
  <c r="E67" i="5"/>
  <c r="E65" i="5"/>
  <c r="E66" i="5"/>
  <c r="E64" i="5"/>
  <c r="E23" i="5"/>
  <c r="E20" i="5"/>
  <c r="E19" i="5"/>
  <c r="E18" i="5"/>
  <c r="E17" i="5"/>
  <c r="E14" i="5"/>
  <c r="E13" i="5"/>
  <c r="E12" i="5"/>
  <c r="AS43" i="2" l="1"/>
  <c r="AQ43" i="2"/>
  <c r="AO43" i="2"/>
  <c r="AM43" i="2"/>
  <c r="AK43" i="2"/>
  <c r="AI43" i="2"/>
  <c r="AG43" i="2"/>
  <c r="AE43" i="2"/>
  <c r="AC43" i="2"/>
  <c r="AA43" i="2"/>
  <c r="Y43" i="2"/>
  <c r="W43" i="2"/>
  <c r="U43" i="2"/>
  <c r="S43" i="2"/>
  <c r="Q43" i="2"/>
  <c r="O43" i="2"/>
  <c r="M43" i="2"/>
  <c r="K43" i="2"/>
  <c r="I43" i="2"/>
  <c r="G43" i="2"/>
  <c r="G682" i="10"/>
  <c r="E686" i="10"/>
  <c r="G686" i="10" s="1"/>
  <c r="G684" i="10"/>
  <c r="G683" i="10"/>
  <c r="G680" i="10"/>
  <c r="F680" i="10"/>
  <c r="F678" i="10"/>
  <c r="F684" i="10" l="1"/>
  <c r="G679" i="10"/>
  <c r="F682" i="10"/>
  <c r="N14" i="5"/>
  <c r="G681" i="10"/>
  <c r="N12" i="5"/>
  <c r="F686" i="10"/>
  <c r="G685" i="10"/>
  <c r="G678" i="10"/>
  <c r="F685" i="10"/>
  <c r="F683" i="10"/>
  <c r="F681" i="10"/>
  <c r="N11" i="5"/>
  <c r="N10" i="5"/>
  <c r="N13" i="5"/>
  <c r="N9" i="5"/>
  <c r="E1718" i="31"/>
  <c r="E1719" i="31"/>
  <c r="E1720" i="31"/>
  <c r="E1721" i="31"/>
  <c r="E1722" i="31"/>
  <c r="E1723" i="31"/>
  <c r="E1724" i="31"/>
  <c r="E1725" i="31"/>
  <c r="C12" i="7"/>
  <c r="D12" i="7"/>
  <c r="E12" i="7"/>
  <c r="N8" i="5" l="1"/>
  <c r="J683" i="10"/>
  <c r="H684" i="10"/>
  <c r="H685" i="10"/>
  <c r="J686" i="10"/>
  <c r="H683" i="10"/>
  <c r="J685" i="10"/>
  <c r="H686" i="10"/>
  <c r="J684" i="10"/>
  <c r="I686" i="10"/>
  <c r="I685" i="10"/>
  <c r="I684" i="10"/>
  <c r="I683" i="10"/>
  <c r="D5" i="7" l="1"/>
  <c r="E5" i="7"/>
  <c r="D6" i="7"/>
  <c r="E6" i="7"/>
  <c r="D7" i="7"/>
  <c r="E7" i="7"/>
  <c r="C5" i="7"/>
  <c r="C6" i="7"/>
  <c r="C7" i="7"/>
  <c r="C70" i="7"/>
  <c r="C81" i="7"/>
  <c r="C57" i="7"/>
  <c r="C48" i="7"/>
  <c r="C41" i="7"/>
  <c r="A50" i="36" a="1"/>
  <c r="A50" i="36" s="1"/>
  <c r="A49" i="36" a="1"/>
  <c r="A49" i="36" s="1"/>
  <c r="A48" i="36" a="1"/>
  <c r="A48" i="36" s="1"/>
  <c r="A47" i="36" a="1"/>
  <c r="A47" i="36" s="1"/>
  <c r="A46" i="36" a="1"/>
  <c r="A46" i="36" s="1"/>
  <c r="A45" i="36" a="1"/>
  <c r="A45" i="36" s="1"/>
  <c r="A44" i="36" a="1"/>
  <c r="A44" i="36" s="1"/>
  <c r="A43" i="36" a="1"/>
  <c r="A43" i="36" s="1"/>
  <c r="H25" i="36" l="1"/>
  <c r="H26" i="36"/>
  <c r="H27" i="36"/>
  <c r="H28" i="36"/>
  <c r="H29" i="36"/>
  <c r="H30" i="36"/>
  <c r="H24" i="36"/>
  <c r="H15" i="36"/>
  <c r="H17" i="36"/>
  <c r="H19" i="36"/>
  <c r="H20" i="36"/>
  <c r="H21" i="36"/>
  <c r="H22" i="36"/>
  <c r="H23" i="36"/>
  <c r="H14" i="36"/>
  <c r="H7" i="36"/>
  <c r="H8" i="36"/>
  <c r="H9" i="36"/>
  <c r="H10" i="36"/>
  <c r="H11" i="36"/>
  <c r="H12" i="36"/>
  <c r="H13" i="36"/>
  <c r="D354" i="6"/>
  <c r="F354" i="6" s="1"/>
  <c r="AM49" i="36"/>
  <c r="AM48" i="36"/>
  <c r="AM47" i="36"/>
  <c r="AM46" i="36"/>
  <c r="AM45" i="36"/>
  <c r="AM44" i="36"/>
  <c r="AM43" i="36"/>
  <c r="AM42" i="36"/>
  <c r="AM41" i="36"/>
  <c r="AM40" i="36"/>
  <c r="AM85" i="36"/>
  <c r="AM84" i="36"/>
  <c r="AM83" i="36"/>
  <c r="AM82" i="36"/>
  <c r="AM81" i="36"/>
  <c r="AM80" i="36"/>
  <c r="AM79" i="36"/>
  <c r="AM78" i="36"/>
  <c r="AM77" i="36"/>
  <c r="AM76" i="36"/>
  <c r="AM67" i="36"/>
  <c r="AM66" i="36"/>
  <c r="AM65" i="36"/>
  <c r="AM64" i="36"/>
  <c r="AM63" i="36"/>
  <c r="AM62" i="36"/>
  <c r="AM61" i="36"/>
  <c r="AM60" i="36"/>
  <c r="AM59" i="36"/>
  <c r="AM58" i="36"/>
  <c r="AV85" i="36"/>
  <c r="AV84" i="36"/>
  <c r="AV83" i="36"/>
  <c r="AV82" i="36"/>
  <c r="AV81" i="36"/>
  <c r="AV80" i="36"/>
  <c r="AV79" i="36"/>
  <c r="AV78" i="36"/>
  <c r="AV77" i="36"/>
  <c r="AD70" i="36"/>
  <c r="AV59" i="36"/>
  <c r="AV60" i="36"/>
  <c r="AV61" i="36"/>
  <c r="AV62" i="36"/>
  <c r="D352" i="6"/>
  <c r="E352" i="6" s="1"/>
  <c r="D353" i="6"/>
  <c r="E353" i="6" s="1"/>
  <c r="C82" i="7"/>
  <c r="D82" i="7"/>
  <c r="E82" i="7"/>
  <c r="AE13" i="36"/>
  <c r="AE12" i="36"/>
  <c r="AE11" i="36"/>
  <c r="AE10" i="36"/>
  <c r="AE9" i="36"/>
  <c r="AE7" i="36"/>
  <c r="AE22" i="36"/>
  <c r="AE21" i="36"/>
  <c r="AE20" i="36"/>
  <c r="AE19" i="36"/>
  <c r="AE17" i="36"/>
  <c r="AE30" i="36"/>
  <c r="AE29" i="36"/>
  <c r="AE27" i="36"/>
  <c r="AE26" i="36"/>
  <c r="AE25" i="36"/>
  <c r="AN67" i="36"/>
  <c r="AN59" i="36"/>
  <c r="AN60" i="36"/>
  <c r="AN61" i="36"/>
  <c r="AN62" i="36"/>
  <c r="AN63" i="36"/>
  <c r="AN64" i="36"/>
  <c r="AN65" i="36"/>
  <c r="AN66" i="36"/>
  <c r="AN58" i="36"/>
  <c r="A109" i="2"/>
  <c r="A78" i="2"/>
  <c r="G263" i="6"/>
  <c r="F353" i="6" l="1"/>
  <c r="E354" i="6"/>
  <c r="F352" i="6"/>
  <c r="F261" i="6"/>
  <c r="D350" i="6"/>
  <c r="D351" i="6"/>
  <c r="D349" i="6"/>
  <c r="D348" i="6"/>
  <c r="C167" i="2"/>
  <c r="AO18" i="33"/>
  <c r="AQ18" i="33"/>
  <c r="AR18" i="33"/>
  <c r="AT18" i="33"/>
  <c r="A41" i="2"/>
  <c r="A40" i="2"/>
  <c r="A29" i="2"/>
  <c r="A27" i="2"/>
  <c r="A28" i="2"/>
  <c r="A26" i="2"/>
  <c r="A25" i="2"/>
  <c r="E36" i="1" a="1"/>
  <c r="E36" i="1" s="1"/>
  <c r="E1708" i="31"/>
  <c r="E1707" i="31"/>
  <c r="H107" i="9"/>
  <c r="I107" i="9" s="1"/>
  <c r="H106" i="9"/>
  <c r="I106" i="9" s="1"/>
  <c r="J106" i="9" s="1"/>
  <c r="H105" i="9"/>
  <c r="I87" i="37"/>
  <c r="I86" i="37"/>
  <c r="H87" i="37"/>
  <c r="I36" i="1"/>
  <c r="G107" i="9"/>
  <c r="F107" i="9"/>
  <c r="E107" i="9"/>
  <c r="G106" i="9"/>
  <c r="F106" i="9"/>
  <c r="E106" i="9"/>
  <c r="G105" i="9"/>
  <c r="F105" i="9"/>
  <c r="E105" i="9"/>
  <c r="G104" i="9"/>
  <c r="F104" i="9"/>
  <c r="E104" i="9"/>
  <c r="G103" i="9"/>
  <c r="F103" i="9"/>
  <c r="E103" i="9"/>
  <c r="G102" i="9"/>
  <c r="F102" i="9"/>
  <c r="E102" i="9"/>
  <c r="G101" i="9"/>
  <c r="F101" i="9"/>
  <c r="E101" i="9"/>
  <c r="G100" i="9"/>
  <c r="F100" i="9"/>
  <c r="E100" i="9"/>
  <c r="G99" i="9"/>
  <c r="F99" i="9"/>
  <c r="H191" i="9"/>
  <c r="E191" i="9"/>
  <c r="D191" i="9" s="1"/>
  <c r="H190" i="9"/>
  <c r="E190" i="9"/>
  <c r="D190" i="9" s="1"/>
  <c r="H189" i="9"/>
  <c r="E189" i="9"/>
  <c r="D189" i="9" s="1"/>
  <c r="H149" i="9"/>
  <c r="E149" i="9"/>
  <c r="D149" i="9" s="1"/>
  <c r="H148" i="9"/>
  <c r="E148" i="9"/>
  <c r="D148" i="9" s="1"/>
  <c r="H147" i="9"/>
  <c r="E147" i="9"/>
  <c r="D147" i="9" s="1"/>
  <c r="D107" i="9"/>
  <c r="D106" i="9"/>
  <c r="S105" i="9" a="1"/>
  <c r="S105" i="9" s="1"/>
  <c r="S23" i="9" a="1"/>
  <c r="S23" i="9" s="1"/>
  <c r="H23" i="9"/>
  <c r="I23" i="9" s="1"/>
  <c r="D23" i="9"/>
  <c r="S22" i="9" a="1"/>
  <c r="S22" i="9" s="1"/>
  <c r="H22" i="9"/>
  <c r="I22" i="9" s="1"/>
  <c r="D22" i="9"/>
  <c r="S21" i="9" a="1"/>
  <c r="S21" i="9" s="1"/>
  <c r="H21" i="9"/>
  <c r="I21" i="9" s="1"/>
  <c r="D21" i="9"/>
  <c r="S20" i="9" a="1"/>
  <c r="S20" i="9" s="1"/>
  <c r="S19" i="9" a="1"/>
  <c r="S19" i="9" s="1"/>
  <c r="S65" i="9" a="1"/>
  <c r="S65" i="9" s="1"/>
  <c r="S64" i="9" a="1"/>
  <c r="S64" i="9" s="1"/>
  <c r="S62" i="9" a="1"/>
  <c r="S62" i="9" s="1"/>
  <c r="S61" i="9" a="1"/>
  <c r="S61" i="9" s="1"/>
  <c r="S60" i="9" a="1"/>
  <c r="S60" i="9" s="1"/>
  <c r="H65" i="9"/>
  <c r="I65" i="9" s="1"/>
  <c r="D65" i="9"/>
  <c r="H64" i="9"/>
  <c r="I64" i="9" s="1"/>
  <c r="D64" i="9"/>
  <c r="S63" i="9" a="1"/>
  <c r="S63" i="9" s="1"/>
  <c r="H63" i="9"/>
  <c r="I63" i="9" s="1"/>
  <c r="S59" i="9" a="1"/>
  <c r="S59" i="9" s="1"/>
  <c r="S58" i="9" a="1"/>
  <c r="S58" i="9" s="1"/>
  <c r="H58" i="9"/>
  <c r="E58" i="9"/>
  <c r="S17" i="9" a="1"/>
  <c r="S17" i="9" s="1"/>
  <c r="S16" i="9" a="1"/>
  <c r="S16" i="9" s="1"/>
  <c r="H16" i="9"/>
  <c r="I16" i="9" s="1"/>
  <c r="D16" i="9"/>
  <c r="J94" i="37"/>
  <c r="J98" i="37"/>
  <c r="D347" i="6"/>
  <c r="B328" i="6"/>
  <c r="B326" i="6"/>
  <c r="B334" i="6"/>
  <c r="B324" i="6"/>
  <c r="F316" i="6"/>
  <c r="B318" i="6"/>
  <c r="B316" i="6"/>
  <c r="B313" i="6"/>
  <c r="F305" i="6"/>
  <c r="B305" i="6"/>
  <c r="B303" i="6"/>
  <c r="B301" i="6"/>
  <c r="F294" i="6"/>
  <c r="B294" i="6"/>
  <c r="B292" i="6"/>
  <c r="B290" i="6"/>
  <c r="G283" i="6"/>
  <c r="F283" i="6"/>
  <c r="C283" i="6"/>
  <c r="B283" i="6"/>
  <c r="B281" i="6"/>
  <c r="B279" i="6"/>
  <c r="F276" i="6"/>
  <c r="F272" i="6"/>
  <c r="B272" i="6"/>
  <c r="B270" i="6"/>
  <c r="B268" i="6"/>
  <c r="B267" i="6"/>
  <c r="G258" i="6"/>
  <c r="F258" i="6"/>
  <c r="C258" i="6"/>
  <c r="B258" i="6"/>
  <c r="B256" i="6"/>
  <c r="B254" i="6"/>
  <c r="F243" i="6"/>
  <c r="B243" i="6"/>
  <c r="B241" i="6"/>
  <c r="B239" i="6"/>
  <c r="E348" i="6" l="1"/>
  <c r="F348" i="6"/>
  <c r="E350" i="6"/>
  <c r="F350" i="6"/>
  <c r="F349" i="6"/>
  <c r="E349" i="6"/>
  <c r="E347" i="6"/>
  <c r="F347" i="6"/>
  <c r="E351" i="6"/>
  <c r="F351" i="6"/>
  <c r="I190" i="9"/>
  <c r="J190" i="9" s="1"/>
  <c r="L190" i="9" s="1"/>
  <c r="I189" i="9"/>
  <c r="J189" i="9" s="1"/>
  <c r="K189" i="9" s="1"/>
  <c r="M189" i="9" s="1"/>
  <c r="I191" i="9"/>
  <c r="I148" i="9"/>
  <c r="I147" i="9"/>
  <c r="J147" i="9" s="1"/>
  <c r="K147" i="9" s="1"/>
  <c r="M147" i="9" s="1"/>
  <c r="I149" i="9"/>
  <c r="I105" i="9"/>
  <c r="J105" i="9" s="1"/>
  <c r="K105" i="9" s="1"/>
  <c r="L106" i="9"/>
  <c r="J107" i="9"/>
  <c r="L107" i="9" s="1"/>
  <c r="K106" i="9"/>
  <c r="M106" i="9" s="1"/>
  <c r="J21" i="9"/>
  <c r="K21" i="9" s="1"/>
  <c r="J22" i="9"/>
  <c r="K22" i="9" s="1"/>
  <c r="J23" i="9"/>
  <c r="I58" i="9"/>
  <c r="J58" i="9" s="1"/>
  <c r="J64" i="9"/>
  <c r="J63" i="9"/>
  <c r="J65" i="9"/>
  <c r="J16" i="9"/>
  <c r="K16" i="9" s="1"/>
  <c r="H99" i="37"/>
  <c r="H103" i="37"/>
  <c r="H92" i="37"/>
  <c r="H90" i="37"/>
  <c r="G111" i="37"/>
  <c r="G110" i="37"/>
  <c r="G109" i="37"/>
  <c r="G108" i="37"/>
  <c r="G103" i="37"/>
  <c r="G101" i="37" a="1"/>
  <c r="G101" i="37" s="1"/>
  <c r="G102" i="37" s="1"/>
  <c r="H86" i="37"/>
  <c r="G93" i="37"/>
  <c r="I93" i="37" s="1"/>
  <c r="G86" i="37"/>
  <c r="K77" i="37"/>
  <c r="K76" i="37"/>
  <c r="K75" i="37"/>
  <c r="K74" i="37"/>
  <c r="K72" i="37"/>
  <c r="K71" i="37"/>
  <c r="K69" i="37"/>
  <c r="K68" i="37"/>
  <c r="BB85" i="36"/>
  <c r="BB84" i="36"/>
  <c r="BB83" i="36"/>
  <c r="BB82" i="36"/>
  <c r="BB81" i="36"/>
  <c r="BB80" i="36"/>
  <c r="BF67" i="36"/>
  <c r="BF66" i="36"/>
  <c r="BF65" i="36"/>
  <c r="BF64" i="36"/>
  <c r="BF63" i="36"/>
  <c r="BF62" i="36"/>
  <c r="BD67" i="36"/>
  <c r="BD66" i="36"/>
  <c r="BD65" i="36"/>
  <c r="BD64" i="36"/>
  <c r="BD63" i="36"/>
  <c r="BD62" i="36"/>
  <c r="BB67" i="36"/>
  <c r="BB66" i="36"/>
  <c r="BB65" i="36"/>
  <c r="BB64" i="36"/>
  <c r="BB63" i="36"/>
  <c r="BB62" i="36"/>
  <c r="AV67" i="36"/>
  <c r="AV66" i="36"/>
  <c r="AV65" i="36"/>
  <c r="AV64" i="36"/>
  <c r="AV63" i="36"/>
  <c r="AV49" i="36"/>
  <c r="AV48" i="36"/>
  <c r="AV47" i="36"/>
  <c r="AV46" i="36"/>
  <c r="AV45" i="36"/>
  <c r="AV44" i="36"/>
  <c r="AV43" i="36"/>
  <c r="V16" i="38"/>
  <c r="I40" i="1"/>
  <c r="I42" i="1"/>
  <c r="I45" i="1"/>
  <c r="I46" i="1"/>
  <c r="I43" i="1"/>
  <c r="I44" i="1"/>
  <c r="R17" i="38"/>
  <c r="R16" i="38"/>
  <c r="S16" i="38"/>
  <c r="S26" i="38"/>
  <c r="R27" i="38"/>
  <c r="R26" i="38" s="1"/>
  <c r="BA46" i="36" l="1"/>
  <c r="BA47" i="36"/>
  <c r="BA44" i="36"/>
  <c r="BA48" i="36"/>
  <c r="BA45" i="36"/>
  <c r="BA49" i="36"/>
  <c r="L189" i="9"/>
  <c r="K190" i="9"/>
  <c r="M190" i="9" s="1"/>
  <c r="J191" i="9"/>
  <c r="L191" i="9" s="1"/>
  <c r="J148" i="9"/>
  <c r="K148" i="9" s="1"/>
  <c r="M148" i="9" s="1"/>
  <c r="L147" i="9"/>
  <c r="J149" i="9"/>
  <c r="K149" i="9" s="1"/>
  <c r="M149" i="9" s="1"/>
  <c r="K107" i="9"/>
  <c r="M107" i="9" s="1"/>
  <c r="K23" i="9"/>
  <c r="K64" i="9"/>
  <c r="K63" i="9"/>
  <c r="K65" i="9"/>
  <c r="K58" i="9"/>
  <c r="G104" i="37"/>
  <c r="AO25" i="33"/>
  <c r="AQ25" i="33"/>
  <c r="AR25" i="33"/>
  <c r="AT25" i="33"/>
  <c r="E99" i="7"/>
  <c r="E98" i="7"/>
  <c r="E97" i="7"/>
  <c r="E95" i="7"/>
  <c r="E94" i="7"/>
  <c r="E92" i="7"/>
  <c r="E91" i="7"/>
  <c r="E90" i="7"/>
  <c r="E88" i="7"/>
  <c r="E87" i="7"/>
  <c r="E85" i="7"/>
  <c r="E84" i="7"/>
  <c r="E83" i="7"/>
  <c r="E81" i="7"/>
  <c r="E79" i="7"/>
  <c r="E78" i="7"/>
  <c r="D79" i="7"/>
  <c r="D78" i="7"/>
  <c r="D99" i="7"/>
  <c r="D98" i="7"/>
  <c r="D97" i="7"/>
  <c r="D95" i="7"/>
  <c r="D94" i="7"/>
  <c r="D92" i="7"/>
  <c r="D91" i="7"/>
  <c r="D90" i="7"/>
  <c r="D88" i="7"/>
  <c r="D87" i="7"/>
  <c r="D85" i="7"/>
  <c r="D84" i="7"/>
  <c r="D83" i="7"/>
  <c r="D81" i="7"/>
  <c r="D75" i="7"/>
  <c r="C98" i="7"/>
  <c r="C99" i="7"/>
  <c r="C97" i="7"/>
  <c r="A96" i="7"/>
  <c r="C95" i="7"/>
  <c r="C94" i="7"/>
  <c r="A93" i="7"/>
  <c r="C92" i="7"/>
  <c r="C91" i="7"/>
  <c r="C90" i="7"/>
  <c r="A89" i="7"/>
  <c r="C88" i="7"/>
  <c r="C87" i="7"/>
  <c r="A86" i="7"/>
  <c r="C85" i="7"/>
  <c r="C83" i="7"/>
  <c r="C84" i="7"/>
  <c r="C79" i="7"/>
  <c r="C75" i="7"/>
  <c r="C78" i="7"/>
  <c r="C74" i="7"/>
  <c r="D82" i="6"/>
  <c r="E46" i="1" a="1"/>
  <c r="E46" i="1" s="1"/>
  <c r="E45" i="1" a="1"/>
  <c r="E45" i="1" s="1"/>
  <c r="E44" i="1" a="1"/>
  <c r="E44" i="1" s="1"/>
  <c r="E43" i="1" a="1"/>
  <c r="E43" i="1" s="1"/>
  <c r="E42" i="1" a="1"/>
  <c r="E42" i="1" s="1"/>
  <c r="I41" i="1"/>
  <c r="F158" i="2" s="1"/>
  <c r="E40" i="1" a="1"/>
  <c r="E40" i="1" s="1"/>
  <c r="E39" i="1" a="1"/>
  <c r="E39" i="1" s="1"/>
  <c r="E38" i="1" a="1"/>
  <c r="E38" i="1" s="1"/>
  <c r="E37" i="1" a="1"/>
  <c r="E37" i="1" s="1"/>
  <c r="K191" i="9" l="1"/>
  <c r="M191" i="9" s="1"/>
  <c r="L148" i="9"/>
  <c r="L149" i="9"/>
  <c r="D62" i="36" a="1"/>
  <c r="D62" i="36" s="1"/>
  <c r="D67" i="36" a="1"/>
  <c r="D67" i="36" s="1"/>
  <c r="D66" i="36" a="1"/>
  <c r="D66" i="36" s="1"/>
  <c r="D65" i="36" a="1"/>
  <c r="D65" i="36" s="1"/>
  <c r="D64" i="36" a="1"/>
  <c r="D64" i="36" s="1"/>
  <c r="D63" i="36" a="1"/>
  <c r="D63" i="36" s="1"/>
  <c r="E46" i="7"/>
  <c r="E45" i="7"/>
  <c r="D46" i="7"/>
  <c r="D45" i="7"/>
  <c r="C46" i="7"/>
  <c r="C45" i="7"/>
  <c r="C42" i="7"/>
  <c r="H64" i="36" l="1"/>
  <c r="AB64" i="36"/>
  <c r="AF64" i="36"/>
  <c r="AH64" i="36" s="1"/>
  <c r="AD64" i="36"/>
  <c r="H65" i="36"/>
  <c r="AD65" i="36"/>
  <c r="AF65" i="36"/>
  <c r="AH65" i="36" s="1"/>
  <c r="AB65" i="36"/>
  <c r="H66" i="36"/>
  <c r="AF66" i="36"/>
  <c r="AH66" i="36" s="1"/>
  <c r="AB66" i="36"/>
  <c r="AD66" i="36"/>
  <c r="H62" i="36"/>
  <c r="AF62" i="36"/>
  <c r="AH62" i="36" s="1"/>
  <c r="AB62" i="36"/>
  <c r="AD62" i="36"/>
  <c r="H63" i="36"/>
  <c r="AD63" i="36"/>
  <c r="AF63" i="36"/>
  <c r="AH63" i="36" s="1"/>
  <c r="AB63" i="36"/>
  <c r="H67" i="36"/>
  <c r="AD67" i="36"/>
  <c r="AF67" i="36"/>
  <c r="AH67" i="36" s="1"/>
  <c r="AB67" i="36"/>
  <c r="G64" i="36"/>
  <c r="G62" i="36"/>
  <c r="G65" i="36"/>
  <c r="G66" i="36"/>
  <c r="G63" i="36"/>
  <c r="G67" i="36"/>
  <c r="A62" i="36" a="1"/>
  <c r="A62" i="36" s="1"/>
  <c r="A63" i="36" a="1"/>
  <c r="A63" i="36" s="1"/>
  <c r="A64" i="36" a="1"/>
  <c r="A64" i="36" s="1"/>
  <c r="A65" i="36" a="1"/>
  <c r="A65" i="36" s="1"/>
  <c r="A66" i="36" a="1"/>
  <c r="A66" i="36" s="1"/>
  <c r="A67" i="36" a="1"/>
  <c r="A67" i="36" s="1"/>
  <c r="G18" i="1" l="1"/>
  <c r="G19" i="1"/>
  <c r="G20" i="1"/>
  <c r="G21" i="1"/>
  <c r="G23" i="1"/>
  <c r="G24" i="1"/>
  <c r="G25" i="1"/>
  <c r="G26" i="1"/>
  <c r="G27" i="1"/>
  <c r="G28" i="1"/>
  <c r="G29" i="1"/>
  <c r="G30" i="1"/>
  <c r="J75" i="1"/>
  <c r="J76" i="1"/>
  <c r="J77" i="1"/>
  <c r="J78" i="1"/>
  <c r="J79" i="1"/>
  <c r="J80" i="1"/>
  <c r="J81" i="1"/>
  <c r="J82" i="1"/>
  <c r="D167" i="2" l="1"/>
  <c r="F146" i="2"/>
  <c r="F147" i="2"/>
  <c r="F148" i="2"/>
  <c r="F149" i="2"/>
  <c r="F150" i="2"/>
  <c r="F151" i="2"/>
  <c r="F152" i="2"/>
  <c r="F153" i="2"/>
  <c r="F154" i="2"/>
  <c r="F155" i="2"/>
  <c r="F156" i="2"/>
  <c r="F157" i="2"/>
  <c r="D111" i="6"/>
  <c r="D110" i="6"/>
  <c r="F250" i="6" s="1"/>
  <c r="D109" i="6"/>
  <c r="F249" i="6" s="1"/>
  <c r="D108" i="6"/>
  <c r="F248" i="6" s="1"/>
  <c r="D107" i="6"/>
  <c r="F247" i="6" s="1"/>
  <c r="D106" i="6"/>
  <c r="F246" i="6" s="1"/>
  <c r="D105" i="6"/>
  <c r="F245" i="6" s="1"/>
  <c r="D104" i="6"/>
  <c r="F244" i="6" s="1"/>
  <c r="C200" i="2"/>
  <c r="C199" i="2"/>
  <c r="W16" i="38"/>
  <c r="U16" i="38"/>
  <c r="D103" i="6"/>
  <c r="G284" i="6" s="1"/>
  <c r="D102" i="6"/>
  <c r="F284" i="6" s="1" a="1"/>
  <c r="F284" i="6" s="1"/>
  <c r="D101" i="6"/>
  <c r="F274" i="6" s="1" a="1"/>
  <c r="F274" i="6" s="1"/>
  <c r="M66" i="37"/>
  <c r="AN85" i="36"/>
  <c r="AN84" i="36"/>
  <c r="AN83" i="36"/>
  <c r="AN82" i="36"/>
  <c r="AN81" i="36"/>
  <c r="AN80" i="36"/>
  <c r="AN79" i="36"/>
  <c r="AN78" i="36"/>
  <c r="AN77" i="36"/>
  <c r="AN76" i="36"/>
  <c r="BE67" i="36"/>
  <c r="BE66" i="36"/>
  <c r="BE65" i="36"/>
  <c r="BE64" i="36"/>
  <c r="BE63" i="36"/>
  <c r="BE62" i="36"/>
  <c r="BE61" i="36"/>
  <c r="BE60" i="36"/>
  <c r="BE59" i="36"/>
  <c r="BE58" i="36"/>
  <c r="D98" i="6"/>
  <c r="F306" i="6" s="1"/>
  <c r="D99" i="6"/>
  <c r="F307" i="6" s="1"/>
  <c r="D100" i="6"/>
  <c r="F310" i="6" s="1" a="1"/>
  <c r="F310" i="6" s="1"/>
  <c r="F309" i="6"/>
  <c r="AV40" i="36" s="1"/>
  <c r="F320" i="6"/>
  <c r="F319" i="6"/>
  <c r="D97" i="6"/>
  <c r="F298" i="6" s="1"/>
  <c r="BB79" i="36" s="1"/>
  <c r="F295" i="6"/>
  <c r="BB76" i="36" s="1"/>
  <c r="D96" i="6"/>
  <c r="F297" i="6" s="1"/>
  <c r="BB78" i="36" s="1"/>
  <c r="D95" i="6"/>
  <c r="F296" i="6" s="1"/>
  <c r="BB77" i="36" s="1"/>
  <c r="G264" i="6"/>
  <c r="G262" i="6"/>
  <c r="G261" i="6"/>
  <c r="F262" i="6"/>
  <c r="F260" i="6"/>
  <c r="F259" i="6"/>
  <c r="D90" i="6"/>
  <c r="G260" i="6" s="1"/>
  <c r="D89" i="6"/>
  <c r="G259" i="6" s="1" a="1"/>
  <c r="G259" i="6" s="1"/>
  <c r="D84" i="6"/>
  <c r="F232" i="6" s="1" a="1"/>
  <c r="F232" i="6" s="1"/>
  <c r="D83" i="6"/>
  <c r="F230" i="6" s="1" a="1"/>
  <c r="F230" i="6" s="1"/>
  <c r="D39" i="6"/>
  <c r="F197" i="6" s="1" a="1"/>
  <c r="F197" i="6" s="1"/>
  <c r="G197" i="6" s="1"/>
  <c r="G193" i="6"/>
  <c r="F210" i="6"/>
  <c r="D81" i="6"/>
  <c r="F217" i="6" s="1"/>
  <c r="D80" i="6"/>
  <c r="F216" i="6" s="1"/>
  <c r="D79" i="6"/>
  <c r="F215" i="6" s="1"/>
  <c r="D78" i="6"/>
  <c r="F214" i="6" s="1"/>
  <c r="D77" i="6"/>
  <c r="F213" i="6" s="1"/>
  <c r="D76" i="6"/>
  <c r="F212" i="6" s="1"/>
  <c r="D75" i="6"/>
  <c r="F211" i="6" s="1"/>
  <c r="D73" i="6"/>
  <c r="F209" i="6" s="1"/>
  <c r="D72" i="6"/>
  <c r="F229" i="6" s="1"/>
  <c r="D71" i="6"/>
  <c r="F207" i="6" s="1"/>
  <c r="D70" i="6"/>
  <c r="F206" i="6" s="1"/>
  <c r="C197" i="6"/>
  <c r="C196" i="6"/>
  <c r="C195" i="6"/>
  <c r="C194" i="6"/>
  <c r="C193" i="6"/>
  <c r="C192" i="6"/>
  <c r="C191" i="6"/>
  <c r="C190" i="6"/>
  <c r="H174" i="6"/>
  <c r="G176" i="6"/>
  <c r="G174" i="6"/>
  <c r="G173" i="6"/>
  <c r="F173" i="6"/>
  <c r="D68" i="6"/>
  <c r="H180" i="6" s="1"/>
  <c r="D67" i="6"/>
  <c r="H179" i="6" s="1"/>
  <c r="D66" i="6"/>
  <c r="H178" i="6" s="1"/>
  <c r="D65" i="6"/>
  <c r="H177" i="6" s="1"/>
  <c r="D64" i="6"/>
  <c r="H176" i="6" s="1"/>
  <c r="D63" i="6"/>
  <c r="H175" i="6" s="1"/>
  <c r="D62" i="6"/>
  <c r="H173" i="6" s="1"/>
  <c r="D61" i="6"/>
  <c r="G180" i="6" s="1"/>
  <c r="D59" i="6"/>
  <c r="G178" i="6" s="1"/>
  <c r="D60" i="6"/>
  <c r="G179" i="6" s="1"/>
  <c r="D58" i="6"/>
  <c r="G177" i="6" s="1"/>
  <c r="D56" i="6"/>
  <c r="G175" i="6" s="1"/>
  <c r="D53" i="6"/>
  <c r="D52" i="6"/>
  <c r="F179" i="6" s="1"/>
  <c r="AE8" i="36" s="1"/>
  <c r="D51" i="6"/>
  <c r="F178" i="6" s="1"/>
  <c r="D50" i="6"/>
  <c r="F177" i="6" s="1"/>
  <c r="D49" i="6"/>
  <c r="F176" i="6" s="1" a="1"/>
  <c r="F176" i="6" s="1"/>
  <c r="D48" i="6"/>
  <c r="F175" i="6" s="1"/>
  <c r="B35" i="8"/>
  <c r="AS71" i="28" s="1"/>
  <c r="B39" i="8"/>
  <c r="B48" i="8"/>
  <c r="C74" i="1"/>
  <c r="BI67" i="36"/>
  <c r="BH67" i="36"/>
  <c r="BI66" i="36"/>
  <c r="BH66" i="36"/>
  <c r="BI65" i="36"/>
  <c r="BH65" i="36"/>
  <c r="BI64" i="36"/>
  <c r="BH64" i="36"/>
  <c r="BI63" i="36"/>
  <c r="BH63" i="36"/>
  <c r="BI62" i="36"/>
  <c r="BH62" i="36"/>
  <c r="BI61" i="36"/>
  <c r="BH61" i="36"/>
  <c r="BI60" i="36"/>
  <c r="BH60" i="36"/>
  <c r="BI59" i="36"/>
  <c r="BH59" i="36"/>
  <c r="BI58" i="36"/>
  <c r="BH58" i="36"/>
  <c r="AV41" i="36" l="1"/>
  <c r="AV58" i="36"/>
  <c r="AV76" i="36"/>
  <c r="F180" i="6"/>
  <c r="AE6" i="36"/>
  <c r="AE18" i="36"/>
  <c r="AE16" i="36"/>
  <c r="AE23" i="36"/>
  <c r="AE15" i="36"/>
  <c r="AE14" i="36"/>
  <c r="BF61" i="36"/>
  <c r="BD61" i="36"/>
  <c r="BF60" i="36"/>
  <c r="BD60" i="36"/>
  <c r="AE28" i="36"/>
  <c r="AE24" i="36"/>
  <c r="M64" i="37" s="1"/>
  <c r="F199" i="2"/>
  <c r="F110" i="37" s="1"/>
  <c r="F200" i="2"/>
  <c r="F111" i="37" s="1"/>
  <c r="BB61" i="36"/>
  <c r="BB59" i="36"/>
  <c r="BB58" i="36"/>
  <c r="BD59" i="36"/>
  <c r="BD58" i="36"/>
  <c r="BF59" i="36"/>
  <c r="BF58" i="36"/>
  <c r="V26" i="38"/>
  <c r="G107" i="37"/>
  <c r="E199" i="2"/>
  <c r="E110" i="37" s="1"/>
  <c r="E200" i="2"/>
  <c r="E111" i="37" s="1"/>
  <c r="AS42" i="28"/>
  <c r="AS44" i="28"/>
  <c r="AS46" i="28"/>
  <c r="AS48" i="28"/>
  <c r="AS50" i="28"/>
  <c r="AS52" i="28"/>
  <c r="AS54" i="28"/>
  <c r="AS56" i="28"/>
  <c r="AS58" i="28"/>
  <c r="AS60" i="28"/>
  <c r="AS62" i="28"/>
  <c r="AS64" i="28"/>
  <c r="AS66" i="28"/>
  <c r="AS68" i="28"/>
  <c r="AS70" i="28"/>
  <c r="AS43" i="28"/>
  <c r="AS45" i="28"/>
  <c r="AS47" i="28"/>
  <c r="AS49" i="28"/>
  <c r="AS51" i="28"/>
  <c r="AS53" i="28"/>
  <c r="AS55" i="28"/>
  <c r="AS57" i="28"/>
  <c r="AS59" i="28"/>
  <c r="AS61" i="28"/>
  <c r="AS63" i="28"/>
  <c r="AS65" i="28"/>
  <c r="AS67" i="28"/>
  <c r="AS69" i="28"/>
  <c r="E167" i="2"/>
  <c r="D103" i="37" s="1"/>
  <c r="H167" i="2"/>
  <c r="I167" i="2" s="1"/>
  <c r="F103" i="37" s="1"/>
  <c r="F167" i="2"/>
  <c r="G167" i="2" s="1"/>
  <c r="E103" i="37" s="1"/>
  <c r="T16" i="38"/>
  <c r="T26" i="38"/>
  <c r="AE33" i="36"/>
  <c r="F321" i="6" a="1"/>
  <c r="F321" i="6" s="1"/>
  <c r="BG63" i="36"/>
  <c r="BN63" i="36" s="1"/>
  <c r="BG62" i="36"/>
  <c r="BN62" i="36" s="1"/>
  <c r="BG64" i="36"/>
  <c r="BN64" i="36" s="1"/>
  <c r="BG66" i="36"/>
  <c r="BN66" i="36" s="1"/>
  <c r="BG65" i="36"/>
  <c r="BN65" i="36" s="1"/>
  <c r="BG67" i="36"/>
  <c r="BN67" i="36" s="1"/>
  <c r="B49" i="8"/>
  <c r="G235" i="6"/>
  <c r="G229" i="6"/>
  <c r="G232" i="6" a="1"/>
  <c r="G232" i="6" s="1"/>
  <c r="G228" i="6"/>
  <c r="F228" i="6"/>
  <c r="G230" i="6" a="1"/>
  <c r="G230" i="6" s="1"/>
  <c r="G233" i="6"/>
  <c r="G234" i="6"/>
  <c r="G227" i="6"/>
  <c r="F234" i="6"/>
  <c r="F208" i="6"/>
  <c r="BB60" i="36" s="1"/>
  <c r="F235" i="6"/>
  <c r="F227" i="6"/>
  <c r="F233" i="6"/>
  <c r="B45" i="8"/>
  <c r="BG61" i="36" l="1"/>
  <c r="BG60" i="36"/>
  <c r="BG59" i="36"/>
  <c r="M65" i="37"/>
  <c r="I35" i="1"/>
  <c r="I37" i="1"/>
  <c r="C197" i="2" s="1"/>
  <c r="F197" i="2" s="1"/>
  <c r="C198" i="2"/>
  <c r="F198" i="2" s="1"/>
  <c r="BG58" i="36"/>
  <c r="E198" i="2" l="1"/>
  <c r="E109" i="37" s="1"/>
  <c r="F109" i="37"/>
  <c r="C201" i="2"/>
  <c r="F108" i="37"/>
  <c r="E197" i="2"/>
  <c r="E108" i="37" s="1"/>
  <c r="E201" i="2" l="1"/>
  <c r="F201" i="2"/>
  <c r="AX67" i="36"/>
  <c r="AX66" i="36"/>
  <c r="AX65" i="36"/>
  <c r="AX64" i="36"/>
  <c r="AX63" i="36"/>
  <c r="AX62" i="36"/>
  <c r="AX61" i="36"/>
  <c r="AX60" i="36"/>
  <c r="AX59" i="36"/>
  <c r="AX58" i="36"/>
  <c r="AX85" i="36"/>
  <c r="AX84" i="36"/>
  <c r="AX83" i="36"/>
  <c r="AX82" i="36"/>
  <c r="AX81" i="36"/>
  <c r="AX80" i="36"/>
  <c r="AX79" i="36"/>
  <c r="AX78" i="36"/>
  <c r="AX77" i="36"/>
  <c r="AX76" i="36"/>
  <c r="AN49" i="36"/>
  <c r="AN48" i="36"/>
  <c r="AN47" i="36"/>
  <c r="AN46" i="36"/>
  <c r="AN45" i="36"/>
  <c r="AN44" i="36"/>
  <c r="AN43" i="36"/>
  <c r="AN42" i="36"/>
  <c r="AN41" i="36"/>
  <c r="AN40" i="36"/>
  <c r="AX49" i="36"/>
  <c r="AX48" i="36"/>
  <c r="AX47" i="36"/>
  <c r="AX46" i="36"/>
  <c r="AX45" i="36"/>
  <c r="AX44" i="36"/>
  <c r="AX43" i="36"/>
  <c r="AX42" i="36"/>
  <c r="AX41" i="36"/>
  <c r="B47" i="8" a="1"/>
  <c r="B47" i="8" s="1"/>
  <c r="AO33" i="36"/>
  <c r="D46" i="6"/>
  <c r="D44" i="6"/>
  <c r="D42" i="6"/>
  <c r="F308" i="6" s="1"/>
  <c r="AV42" i="36" s="1"/>
  <c r="AX40" i="36"/>
  <c r="G25" i="28"/>
  <c r="G24" i="28"/>
  <c r="D24" i="28"/>
  <c r="J13" i="28"/>
  <c r="J12" i="28"/>
  <c r="J11" i="28"/>
  <c r="J10" i="28"/>
  <c r="J9" i="28"/>
  <c r="J8" i="28"/>
  <c r="J7" i="28"/>
  <c r="J6" i="28"/>
  <c r="AW59" i="36" l="1"/>
  <c r="AW67" i="36"/>
  <c r="AW60" i="36"/>
  <c r="AW65" i="36"/>
  <c r="AW62" i="36"/>
  <c r="I43" i="11"/>
  <c r="AS25" i="33" s="1"/>
  <c r="F112" i="37"/>
  <c r="E112" i="37"/>
  <c r="D43" i="11"/>
  <c r="AN25" i="33" s="1"/>
  <c r="AW79" i="36"/>
  <c r="AW61" i="36"/>
  <c r="AW78" i="36"/>
  <c r="AW85" i="36"/>
  <c r="AW77" i="36"/>
  <c r="AW84" i="36"/>
  <c r="AW76" i="36"/>
  <c r="AW66" i="36"/>
  <c r="AW83" i="36"/>
  <c r="AW81" i="36"/>
  <c r="AW63" i="36"/>
  <c r="AW82" i="36"/>
  <c r="AW64" i="36"/>
  <c r="AW80" i="36"/>
  <c r="AW43" i="36"/>
  <c r="AW48" i="36"/>
  <c r="AW42" i="36"/>
  <c r="AW46" i="36"/>
  <c r="AW45" i="36"/>
  <c r="AW44" i="36"/>
  <c r="AW41" i="36"/>
  <c r="AW49" i="36"/>
  <c r="AW47" i="36"/>
  <c r="AW40" i="36"/>
  <c r="E7" i="38" l="1"/>
  <c r="D30" i="6"/>
  <c r="D31" i="6"/>
  <c r="D38" i="6"/>
  <c r="F196" i="6" s="1"/>
  <c r="G196" i="6" s="1"/>
  <c r="D37" i="6"/>
  <c r="F194" i="6" s="1"/>
  <c r="G194" i="6" s="1"/>
  <c r="D36" i="6"/>
  <c r="F192" i="6" s="1"/>
  <c r="D35" i="6"/>
  <c r="F190" i="6" s="1"/>
  <c r="G190" i="6" s="1"/>
  <c r="D34" i="6"/>
  <c r="D33" i="6"/>
  <c r="F195" i="6" s="1"/>
  <c r="G195" i="6" s="1"/>
  <c r="D32" i="6"/>
  <c r="F275" i="6" s="1"/>
  <c r="D29" i="6"/>
  <c r="E43" i="7"/>
  <c r="E42" i="7"/>
  <c r="E41" i="7"/>
  <c r="D43" i="7"/>
  <c r="D42" i="7"/>
  <c r="D41" i="7"/>
  <c r="D36" i="7"/>
  <c r="C43" i="7"/>
  <c r="C38" i="7"/>
  <c r="AN28" i="28"/>
  <c r="E208" i="9"/>
  <c r="I208" i="9" s="1"/>
  <c r="E207" i="9"/>
  <c r="D207" i="9" s="1"/>
  <c r="E206" i="9"/>
  <c r="E205" i="9"/>
  <c r="D205" i="9" s="1"/>
  <c r="E204" i="9"/>
  <c r="E203" i="9"/>
  <c r="E202" i="9"/>
  <c r="D202" i="9" s="1"/>
  <c r="E201" i="9"/>
  <c r="I201" i="9" s="1"/>
  <c r="E200" i="9"/>
  <c r="D200" i="9" s="1"/>
  <c r="E199" i="9"/>
  <c r="E198" i="9"/>
  <c r="E197" i="9"/>
  <c r="D197" i="9" s="1"/>
  <c r="E196" i="9"/>
  <c r="E195" i="9"/>
  <c r="E194" i="9"/>
  <c r="E193" i="9"/>
  <c r="I193" i="9" s="1"/>
  <c r="J193" i="9" s="1"/>
  <c r="K193" i="9" s="1"/>
  <c r="M193" i="9" s="1"/>
  <c r="D193" i="9"/>
  <c r="E192" i="9"/>
  <c r="I192" i="9" s="1"/>
  <c r="J192" i="9" s="1"/>
  <c r="E188" i="9"/>
  <c r="E187" i="9"/>
  <c r="I187" i="9" s="1"/>
  <c r="J187" i="9" s="1"/>
  <c r="K187" i="9" s="1"/>
  <c r="M187" i="9" s="1"/>
  <c r="E186" i="9"/>
  <c r="I186" i="9" s="1"/>
  <c r="J186" i="9" s="1"/>
  <c r="E185" i="9"/>
  <c r="I185" i="9" s="1"/>
  <c r="E184" i="9"/>
  <c r="E183" i="9"/>
  <c r="I183" i="9" s="1"/>
  <c r="J183" i="9" s="1"/>
  <c r="K183" i="9" s="1"/>
  <c r="M183" i="9" s="1"/>
  <c r="E182" i="9"/>
  <c r="I182" i="9" s="1"/>
  <c r="J182" i="9" s="1"/>
  <c r="E181" i="9"/>
  <c r="I181" i="9" s="1"/>
  <c r="E180" i="9"/>
  <c r="E179" i="9"/>
  <c r="E178" i="9"/>
  <c r="E177" i="9"/>
  <c r="I177" i="9" s="1"/>
  <c r="J177" i="9" s="1"/>
  <c r="K177" i="9" s="1"/>
  <c r="M177" i="9" s="1"/>
  <c r="E176" i="9"/>
  <c r="I176" i="9" s="1"/>
  <c r="J176" i="9" s="1"/>
  <c r="E166" i="9"/>
  <c r="I166" i="9" s="1"/>
  <c r="E165" i="9"/>
  <c r="E164" i="9"/>
  <c r="I164" i="9" s="1"/>
  <c r="J164" i="9" s="1"/>
  <c r="K164" i="9" s="1"/>
  <c r="M164" i="9" s="1"/>
  <c r="E163" i="9"/>
  <c r="I163" i="9" s="1"/>
  <c r="J163" i="9" s="1"/>
  <c r="E162" i="9"/>
  <c r="E161" i="9"/>
  <c r="E160" i="9"/>
  <c r="I160" i="9" s="1"/>
  <c r="E159" i="9"/>
  <c r="E158" i="9"/>
  <c r="I158" i="9" s="1"/>
  <c r="E157" i="9"/>
  <c r="E156" i="9"/>
  <c r="E155" i="9"/>
  <c r="D155" i="9" s="1"/>
  <c r="E154" i="9"/>
  <c r="E153" i="9"/>
  <c r="E152" i="9"/>
  <c r="E151" i="9"/>
  <c r="E150" i="9"/>
  <c r="I150" i="9" s="1"/>
  <c r="E146" i="9"/>
  <c r="E145" i="9"/>
  <c r="I145" i="9" s="1"/>
  <c r="E144" i="9"/>
  <c r="E143" i="9"/>
  <c r="E142" i="9"/>
  <c r="I142" i="9" s="1"/>
  <c r="E141" i="9"/>
  <c r="E140" i="9"/>
  <c r="I140" i="9" s="1"/>
  <c r="E139" i="9"/>
  <c r="E138" i="9"/>
  <c r="E137" i="9"/>
  <c r="E136" i="9"/>
  <c r="I136" i="9" s="1"/>
  <c r="E135" i="9"/>
  <c r="D135" i="9" s="1"/>
  <c r="E134" i="9"/>
  <c r="D134" i="9" s="1"/>
  <c r="E124" i="9"/>
  <c r="D124" i="9" s="1"/>
  <c r="E123" i="9"/>
  <c r="I123" i="9" s="1"/>
  <c r="J123" i="9" s="1"/>
  <c r="E122" i="9"/>
  <c r="I122" i="9" s="1"/>
  <c r="E121" i="9"/>
  <c r="E120" i="9"/>
  <c r="E119" i="9"/>
  <c r="E118" i="9"/>
  <c r="I118" i="9" s="1"/>
  <c r="J118" i="9" s="1"/>
  <c r="L118" i="9" s="1"/>
  <c r="E117" i="9"/>
  <c r="I117" i="9" s="1"/>
  <c r="E116" i="9"/>
  <c r="D116" i="9" s="1"/>
  <c r="E115" i="9"/>
  <c r="I115" i="9" s="1"/>
  <c r="E114" i="9"/>
  <c r="E113" i="9"/>
  <c r="D113" i="9" s="1"/>
  <c r="E112" i="9"/>
  <c r="I112" i="9" s="1"/>
  <c r="E111" i="9"/>
  <c r="E110" i="9"/>
  <c r="E109" i="9"/>
  <c r="E108" i="9"/>
  <c r="D108" i="9" s="1"/>
  <c r="D104" i="9"/>
  <c r="D103" i="9"/>
  <c r="D101" i="9"/>
  <c r="E98" i="9"/>
  <c r="D98" i="9" s="1"/>
  <c r="E97" i="9"/>
  <c r="I97" i="9" s="1"/>
  <c r="E96" i="9"/>
  <c r="E95" i="9"/>
  <c r="E94" i="9"/>
  <c r="I94" i="9" s="1"/>
  <c r="J94" i="9" s="1"/>
  <c r="L94" i="9" s="1"/>
  <c r="E93" i="9"/>
  <c r="I93" i="9" s="1"/>
  <c r="E92" i="9"/>
  <c r="I92" i="9" s="1"/>
  <c r="E82" i="9"/>
  <c r="I82" i="9" s="1"/>
  <c r="E81" i="9"/>
  <c r="D81" i="9" s="1"/>
  <c r="E80" i="9"/>
  <c r="I80" i="9" s="1"/>
  <c r="E79" i="9"/>
  <c r="E78" i="9"/>
  <c r="E77" i="9"/>
  <c r="E76" i="9"/>
  <c r="D76" i="9" s="1"/>
  <c r="E75" i="9"/>
  <c r="I75" i="9" s="1"/>
  <c r="E74" i="9"/>
  <c r="I74" i="9" s="1"/>
  <c r="E73" i="9"/>
  <c r="I73" i="9" s="1"/>
  <c r="E72" i="9"/>
  <c r="E71" i="9"/>
  <c r="I71" i="9" s="1"/>
  <c r="E70" i="9"/>
  <c r="I70" i="9" s="1"/>
  <c r="E69" i="9"/>
  <c r="E68" i="9"/>
  <c r="E67" i="9"/>
  <c r="E66" i="9"/>
  <c r="I66" i="9" s="1"/>
  <c r="D62" i="9"/>
  <c r="D61" i="9"/>
  <c r="E57" i="9"/>
  <c r="E99" i="9" s="1"/>
  <c r="E56" i="9"/>
  <c r="I56" i="9" s="1"/>
  <c r="E54" i="9"/>
  <c r="E53" i="9"/>
  <c r="E52" i="9"/>
  <c r="D52" i="9" s="1"/>
  <c r="E51" i="9"/>
  <c r="I51" i="9" s="1"/>
  <c r="E50" i="9"/>
  <c r="I50" i="9" s="1"/>
  <c r="D40" i="9"/>
  <c r="D39" i="9"/>
  <c r="D38" i="9"/>
  <c r="I37" i="9"/>
  <c r="D37" i="9"/>
  <c r="I36" i="9"/>
  <c r="J36" i="9" s="1"/>
  <c r="K36" i="9" s="1"/>
  <c r="M36" i="9" s="1"/>
  <c r="D36" i="9"/>
  <c r="I35" i="9"/>
  <c r="D35" i="9"/>
  <c r="D34" i="9"/>
  <c r="D33" i="9"/>
  <c r="D32" i="9"/>
  <c r="D31" i="9"/>
  <c r="D30" i="9"/>
  <c r="D29" i="9"/>
  <c r="D28" i="9"/>
  <c r="D27" i="9"/>
  <c r="D26" i="9"/>
  <c r="D25" i="9"/>
  <c r="D24" i="9"/>
  <c r="D20" i="9"/>
  <c r="D19" i="9"/>
  <c r="D18" i="9"/>
  <c r="D17" i="9"/>
  <c r="D15" i="9"/>
  <c r="D14" i="9"/>
  <c r="D13" i="9"/>
  <c r="I12" i="9"/>
  <c r="J12" i="9" s="1"/>
  <c r="D12" i="9"/>
  <c r="I11" i="9"/>
  <c r="J11" i="9" s="1"/>
  <c r="D11" i="9"/>
  <c r="D10" i="9"/>
  <c r="D9" i="9"/>
  <c r="D187" i="9" l="1"/>
  <c r="D145" i="9"/>
  <c r="D140" i="9"/>
  <c r="D185" i="9"/>
  <c r="D142" i="9"/>
  <c r="D150" i="9"/>
  <c r="D183" i="9"/>
  <c r="D181" i="9"/>
  <c r="G192" i="6"/>
  <c r="D70" i="9"/>
  <c r="I200" i="9"/>
  <c r="J200" i="9" s="1"/>
  <c r="L200" i="9" s="1"/>
  <c r="D117" i="9"/>
  <c r="D112" i="9"/>
  <c r="D122" i="9"/>
  <c r="D166" i="9"/>
  <c r="D92" i="9"/>
  <c r="I155" i="9"/>
  <c r="J155" i="9" s="1"/>
  <c r="K155" i="9" s="1"/>
  <c r="M155" i="9" s="1"/>
  <c r="D158" i="9"/>
  <c r="I202" i="9"/>
  <c r="J202" i="9" s="1"/>
  <c r="K202" i="9" s="1"/>
  <c r="M202" i="9" s="1"/>
  <c r="I205" i="9"/>
  <c r="J205" i="9" s="1"/>
  <c r="K205" i="9" s="1"/>
  <c r="M205" i="9" s="1"/>
  <c r="D177" i="9"/>
  <c r="D74" i="9"/>
  <c r="I124" i="9"/>
  <c r="J124" i="9" s="1"/>
  <c r="I135" i="9"/>
  <c r="J135" i="9" s="1"/>
  <c r="K135" i="9" s="1"/>
  <c r="M135" i="9" s="1"/>
  <c r="D136" i="9"/>
  <c r="D164" i="9"/>
  <c r="D160" i="9"/>
  <c r="I207" i="9"/>
  <c r="J207" i="9" s="1"/>
  <c r="K207" i="9" s="1"/>
  <c r="M207" i="9" s="1"/>
  <c r="D50" i="9"/>
  <c r="D56" i="9"/>
  <c r="D66" i="9"/>
  <c r="I76" i="9"/>
  <c r="J76" i="9" s="1"/>
  <c r="K76" i="9" s="1"/>
  <c r="M76" i="9" s="1"/>
  <c r="I81" i="9"/>
  <c r="J81" i="9" s="1"/>
  <c r="K81" i="9" s="1"/>
  <c r="M81" i="9" s="1"/>
  <c r="D97" i="9"/>
  <c r="I197" i="9"/>
  <c r="J197" i="9" s="1"/>
  <c r="K197" i="9" s="1"/>
  <c r="M197" i="9" s="1"/>
  <c r="D71" i="9"/>
  <c r="D73" i="9"/>
  <c r="D82" i="9"/>
  <c r="D51" i="9"/>
  <c r="D59" i="9"/>
  <c r="D94" i="9"/>
  <c r="D118" i="9"/>
  <c r="D123" i="9"/>
  <c r="L11" i="9"/>
  <c r="L36" i="9"/>
  <c r="J80" i="9"/>
  <c r="K80" i="9" s="1"/>
  <c r="M80" i="9" s="1"/>
  <c r="J71" i="9"/>
  <c r="K71" i="9" s="1"/>
  <c r="M71" i="9" s="1"/>
  <c r="J51" i="9"/>
  <c r="L51" i="9" s="1"/>
  <c r="J112" i="9"/>
  <c r="K112" i="9" s="1"/>
  <c r="M112" i="9" s="1"/>
  <c r="J115" i="9"/>
  <c r="L115" i="9" s="1"/>
  <c r="J70" i="9"/>
  <c r="K70" i="9" s="1"/>
  <c r="M70" i="9" s="1"/>
  <c r="J74" i="9"/>
  <c r="K74" i="9" s="1"/>
  <c r="M74" i="9" s="1"/>
  <c r="J92" i="9"/>
  <c r="K92" i="9" s="1"/>
  <c r="M92" i="9" s="1"/>
  <c r="J50" i="9"/>
  <c r="K50" i="9" s="1"/>
  <c r="M50" i="9" s="1"/>
  <c r="J66" i="9"/>
  <c r="L66" i="9" s="1"/>
  <c r="J93" i="9"/>
  <c r="L93" i="9" s="1"/>
  <c r="L123" i="9"/>
  <c r="K123" i="9"/>
  <c r="M123" i="9" s="1"/>
  <c r="J56" i="9"/>
  <c r="L56" i="9" s="1"/>
  <c r="J73" i="9"/>
  <c r="K73" i="9" s="1"/>
  <c r="M73" i="9" s="1"/>
  <c r="J82" i="9"/>
  <c r="K82" i="9" s="1"/>
  <c r="M82" i="9" s="1"/>
  <c r="J75" i="9"/>
  <c r="L75" i="9" s="1"/>
  <c r="I52" i="9"/>
  <c r="D75" i="9"/>
  <c r="D80" i="9"/>
  <c r="D93" i="9"/>
  <c r="I98" i="9"/>
  <c r="D100" i="9"/>
  <c r="I108" i="9"/>
  <c r="I113" i="9"/>
  <c r="D115" i="9"/>
  <c r="K118" i="9"/>
  <c r="M118" i="9" s="1"/>
  <c r="J136" i="9"/>
  <c r="K136" i="9" s="1"/>
  <c r="M136" i="9" s="1"/>
  <c r="I139" i="9"/>
  <c r="D139" i="9"/>
  <c r="J140" i="9"/>
  <c r="K140" i="9" s="1"/>
  <c r="M140" i="9" s="1"/>
  <c r="K94" i="9"/>
  <c r="M94" i="9" s="1"/>
  <c r="J117" i="9"/>
  <c r="L117" i="9" s="1"/>
  <c r="I134" i="9"/>
  <c r="I116" i="9"/>
  <c r="J122" i="9"/>
  <c r="L122" i="9" s="1"/>
  <c r="D141" i="9"/>
  <c r="I141" i="9"/>
  <c r="J142" i="9"/>
  <c r="L142" i="9" s="1"/>
  <c r="J145" i="9"/>
  <c r="L145" i="9" s="1"/>
  <c r="D199" i="9"/>
  <c r="I199" i="9"/>
  <c r="D203" i="9"/>
  <c r="I203" i="9"/>
  <c r="D206" i="9"/>
  <c r="I206" i="9"/>
  <c r="D165" i="9"/>
  <c r="I165" i="9"/>
  <c r="J166" i="9"/>
  <c r="L166" i="9" s="1"/>
  <c r="D178" i="9"/>
  <c r="I178" i="9"/>
  <c r="J181" i="9"/>
  <c r="K181" i="9" s="1"/>
  <c r="M181" i="9" s="1"/>
  <c r="D184" i="9"/>
  <c r="I184" i="9"/>
  <c r="J185" i="9"/>
  <c r="K185" i="9" s="1"/>
  <c r="M185" i="9" s="1"/>
  <c r="D188" i="9"/>
  <c r="I188" i="9"/>
  <c r="I143" i="9"/>
  <c r="D143" i="9"/>
  <c r="D144" i="9"/>
  <c r="I144" i="9"/>
  <c r="I146" i="9"/>
  <c r="D146" i="9"/>
  <c r="I154" i="9"/>
  <c r="D154" i="9"/>
  <c r="I157" i="9"/>
  <c r="D157" i="9"/>
  <c r="D159" i="9"/>
  <c r="I159" i="9"/>
  <c r="J150" i="9"/>
  <c r="K150" i="9" s="1"/>
  <c r="M150" i="9" s="1"/>
  <c r="J158" i="9"/>
  <c r="L158" i="9" s="1"/>
  <c r="J160" i="9"/>
  <c r="L160" i="9" s="1"/>
  <c r="L163" i="9"/>
  <c r="K163" i="9"/>
  <c r="M163" i="9" s="1"/>
  <c r="L176" i="9"/>
  <c r="K176" i="9"/>
  <c r="M176" i="9" s="1"/>
  <c r="L182" i="9"/>
  <c r="K182" i="9"/>
  <c r="M182" i="9" s="1"/>
  <c r="L186" i="9"/>
  <c r="K186" i="9"/>
  <c r="M186" i="9" s="1"/>
  <c r="L192" i="9"/>
  <c r="K192" i="9"/>
  <c r="M192" i="9" s="1"/>
  <c r="D196" i="9"/>
  <c r="I196" i="9"/>
  <c r="J201" i="9"/>
  <c r="L201" i="9" s="1"/>
  <c r="J208" i="9"/>
  <c r="L208" i="9" s="1"/>
  <c r="D163" i="9"/>
  <c r="L164" i="9"/>
  <c r="D176" i="9"/>
  <c r="L177" i="9"/>
  <c r="D182" i="9"/>
  <c r="L183" i="9"/>
  <c r="D186" i="9"/>
  <c r="L187" i="9"/>
  <c r="D192" i="9"/>
  <c r="L193" i="9"/>
  <c r="D201" i="9"/>
  <c r="D208" i="9"/>
  <c r="L12" i="9"/>
  <c r="K12" i="9"/>
  <c r="M12" i="9" s="1"/>
  <c r="K11" i="9"/>
  <c r="M11" i="9" s="1"/>
  <c r="J35" i="9"/>
  <c r="K35" i="9" s="1"/>
  <c r="M35" i="9" s="1"/>
  <c r="J37" i="9"/>
  <c r="K37" i="9" s="1"/>
  <c r="M37" i="9" s="1"/>
  <c r="E29" i="5"/>
  <c r="E26" i="5"/>
  <c r="E25" i="5"/>
  <c r="E24" i="5"/>
  <c r="E11" i="5"/>
  <c r="E8" i="5"/>
  <c r="E7" i="5"/>
  <c r="E6" i="5"/>
  <c r="D17" i="6"/>
  <c r="H123" i="5"/>
  <c r="H107" i="5"/>
  <c r="H106" i="5"/>
  <c r="H105" i="5"/>
  <c r="H104" i="5"/>
  <c r="H99" i="5"/>
  <c r="H98" i="5"/>
  <c r="E1818" i="31"/>
  <c r="E34" i="7"/>
  <c r="E33" i="7"/>
  <c r="E32" i="7"/>
  <c r="D34" i="7"/>
  <c r="D33" i="7"/>
  <c r="D32" i="7"/>
  <c r="C34" i="7"/>
  <c r="C33" i="7"/>
  <c r="C32" i="7"/>
  <c r="S194" i="9"/>
  <c r="S195" i="9" a="1"/>
  <c r="S195" i="9" s="1"/>
  <c r="S198" i="9" a="1"/>
  <c r="S198" i="9" s="1"/>
  <c r="S180" i="9" a="1"/>
  <c r="S180" i="9" s="1"/>
  <c r="S204" i="9" a="1"/>
  <c r="S204" i="9" s="1"/>
  <c r="S179" i="9" a="1"/>
  <c r="S179" i="9" s="1"/>
  <c r="S162" i="9" a="1"/>
  <c r="S162" i="9" s="1"/>
  <c r="S161" i="9" a="1"/>
  <c r="S161" i="9" s="1"/>
  <c r="S156" i="9" a="1"/>
  <c r="S156" i="9" s="1"/>
  <c r="S153" i="9" a="1"/>
  <c r="S153" i="9" s="1"/>
  <c r="S152" i="9"/>
  <c r="S151" i="9" a="1"/>
  <c r="S151" i="9" s="1"/>
  <c r="S137" i="9" a="1"/>
  <c r="S137" i="9" s="1"/>
  <c r="S138" i="9" a="1"/>
  <c r="S138" i="9" s="1"/>
  <c r="J97" i="9"/>
  <c r="K97" i="9" s="1"/>
  <c r="M97" i="9" s="1"/>
  <c r="S99" i="9" a="1"/>
  <c r="S99" i="9" s="1"/>
  <c r="S114" i="9" a="1"/>
  <c r="S114" i="9" s="1"/>
  <c r="S111" i="9" a="1"/>
  <c r="S111" i="9" s="1"/>
  <c r="S110" i="9"/>
  <c r="S109" i="9" a="1"/>
  <c r="S109" i="9" s="1"/>
  <c r="S102" i="9" a="1"/>
  <c r="S102" i="9" s="1"/>
  <c r="S95" i="9" a="1"/>
  <c r="S95" i="9" s="1"/>
  <c r="S96" i="9" a="1"/>
  <c r="S96" i="9" s="1"/>
  <c r="S119" i="9" a="1"/>
  <c r="S119" i="9" s="1"/>
  <c r="S120" i="9" a="1"/>
  <c r="S120" i="9" s="1"/>
  <c r="S121" i="9" a="1"/>
  <c r="S121" i="9" s="1"/>
  <c r="S79" i="9" a="1"/>
  <c r="S79" i="9" s="1"/>
  <c r="S72" i="9" a="1"/>
  <c r="S72" i="9" s="1"/>
  <c r="S69" i="9" a="1"/>
  <c r="S69" i="9" s="1"/>
  <c r="S68" i="9"/>
  <c r="S67" i="9" a="1"/>
  <c r="S67" i="9" s="1"/>
  <c r="S57" i="9" a="1"/>
  <c r="S57" i="9" s="1"/>
  <c r="S55" i="9" a="1"/>
  <c r="S55" i="9" s="1"/>
  <c r="S54" i="9" a="1"/>
  <c r="S54" i="9" s="1"/>
  <c r="S77" i="9" a="1"/>
  <c r="S77" i="9" s="1"/>
  <c r="S78" i="9" a="1"/>
  <c r="S78" i="9" s="1"/>
  <c r="S53" i="9" a="1"/>
  <c r="S53" i="9" s="1"/>
  <c r="S39" i="9"/>
  <c r="S40" i="9"/>
  <c r="S38" i="9"/>
  <c r="S34" i="9" a="1"/>
  <c r="S34" i="9" s="1"/>
  <c r="S33" i="9" a="1"/>
  <c r="S33" i="9" s="1"/>
  <c r="S31" i="9" a="1"/>
  <c r="S31" i="9" s="1"/>
  <c r="S32" i="9" a="1"/>
  <c r="S32" i="9" s="1"/>
  <c r="S30" i="9" a="1"/>
  <c r="S30" i="9" s="1"/>
  <c r="S28" i="9" a="1"/>
  <c r="S28" i="9" s="1"/>
  <c r="S29" i="9" a="1"/>
  <c r="S29" i="9" s="1"/>
  <c r="S27" i="9" a="1"/>
  <c r="S27" i="9" s="1"/>
  <c r="S26" i="9"/>
  <c r="S24" i="9" a="1"/>
  <c r="S24" i="9" s="1"/>
  <c r="S25" i="9" a="1"/>
  <c r="S25" i="9" s="1"/>
  <c r="S14" i="9" a="1"/>
  <c r="S14" i="9" s="1"/>
  <c r="S13" i="9" a="1"/>
  <c r="S13" i="9" s="1"/>
  <c r="S18" i="9" a="1"/>
  <c r="S18" i="9" s="1"/>
  <c r="S15" i="9" a="1"/>
  <c r="S15" i="9" s="1"/>
  <c r="S9" i="9" a="1"/>
  <c r="S9" i="9" s="1"/>
  <c r="S10" i="9" a="1"/>
  <c r="S10" i="9" s="1"/>
  <c r="S8" i="9" a="1"/>
  <c r="S8" i="9" s="1"/>
  <c r="G25" i="5" l="1"/>
  <c r="G19" i="5"/>
  <c r="C19" i="5" s="1"/>
  <c r="G17" i="5"/>
  <c r="C17" i="5" s="1"/>
  <c r="G14" i="5"/>
  <c r="C14" i="5" s="1"/>
  <c r="G12" i="5"/>
  <c r="C12" i="5" s="1"/>
  <c r="G13" i="5"/>
  <c r="C13" i="5" s="1"/>
  <c r="G23" i="5"/>
  <c r="C23" i="5" s="1"/>
  <c r="G20" i="5"/>
  <c r="C20" i="5" s="1"/>
  <c r="G18" i="5"/>
  <c r="C18" i="5" s="1"/>
  <c r="X16" i="38"/>
  <c r="W26" i="38"/>
  <c r="Y16" i="38"/>
  <c r="AB16" i="38" s="1"/>
  <c r="Z16" i="38"/>
  <c r="AC16" i="38" s="1"/>
  <c r="K115" i="9"/>
  <c r="M115" i="9" s="1"/>
  <c r="L205" i="9"/>
  <c r="L202" i="9"/>
  <c r="L50" i="9"/>
  <c r="L124" i="9"/>
  <c r="K124" i="9"/>
  <c r="M124" i="9" s="1"/>
  <c r="L135" i="9"/>
  <c r="L80" i="9"/>
  <c r="L197" i="9"/>
  <c r="K93" i="9"/>
  <c r="M93" i="9" s="1"/>
  <c r="L136" i="9"/>
  <c r="K66" i="9"/>
  <c r="M66" i="9" s="1"/>
  <c r="K201" i="9"/>
  <c r="M201" i="9" s="1"/>
  <c r="L82" i="9"/>
  <c r="L71" i="9"/>
  <c r="L181" i="9"/>
  <c r="L207" i="9"/>
  <c r="K145" i="9"/>
  <c r="M145" i="9" s="1"/>
  <c r="L81" i="9"/>
  <c r="L112" i="9"/>
  <c r="J159" i="9"/>
  <c r="K159" i="9" s="1"/>
  <c r="M159" i="9" s="1"/>
  <c r="K160" i="9"/>
  <c r="M160" i="9" s="1"/>
  <c r="K166" i="9"/>
  <c r="M166" i="9" s="1"/>
  <c r="K200" i="9"/>
  <c r="M200" i="9" s="1"/>
  <c r="K158" i="9"/>
  <c r="M158" i="9" s="1"/>
  <c r="J134" i="9"/>
  <c r="K134" i="9" s="1"/>
  <c r="M134" i="9" s="1"/>
  <c r="L155" i="9"/>
  <c r="L150" i="9"/>
  <c r="J157" i="9"/>
  <c r="K157" i="9" s="1"/>
  <c r="M157" i="9" s="1"/>
  <c r="J146" i="9"/>
  <c r="K146" i="9" s="1"/>
  <c r="M146" i="9" s="1"/>
  <c r="J143" i="9"/>
  <c r="L143" i="9" s="1"/>
  <c r="J188" i="9"/>
  <c r="K188" i="9" s="1"/>
  <c r="M188" i="9" s="1"/>
  <c r="L185" i="9"/>
  <c r="J178" i="9"/>
  <c r="K178" i="9" s="1"/>
  <c r="M178" i="9" s="1"/>
  <c r="J203" i="9"/>
  <c r="K203" i="9" s="1"/>
  <c r="M203" i="9" s="1"/>
  <c r="J141" i="9"/>
  <c r="L141" i="9" s="1"/>
  <c r="J116" i="9"/>
  <c r="K116" i="9" s="1"/>
  <c r="M116" i="9" s="1"/>
  <c r="L140" i="9"/>
  <c r="J113" i="9"/>
  <c r="L113" i="9" s="1"/>
  <c r="L76" i="9"/>
  <c r="K75" i="9"/>
  <c r="M75" i="9" s="1"/>
  <c r="L73" i="9"/>
  <c r="K56" i="9"/>
  <c r="M56" i="9" s="1"/>
  <c r="L97" i="9"/>
  <c r="L92" i="9"/>
  <c r="L74" i="9"/>
  <c r="L70" i="9"/>
  <c r="K122" i="9"/>
  <c r="M122" i="9" s="1"/>
  <c r="K51" i="9"/>
  <c r="M51" i="9" s="1"/>
  <c r="J144" i="9"/>
  <c r="K144" i="9" s="1"/>
  <c r="M144" i="9" s="1"/>
  <c r="J184" i="9"/>
  <c r="K184" i="9" s="1"/>
  <c r="M184" i="9" s="1"/>
  <c r="J165" i="9"/>
  <c r="K165" i="9" s="1"/>
  <c r="M165" i="9" s="1"/>
  <c r="J199" i="9"/>
  <c r="K199" i="9" s="1"/>
  <c r="M199" i="9" s="1"/>
  <c r="K142" i="9"/>
  <c r="M142" i="9" s="1"/>
  <c r="J154" i="9"/>
  <c r="K154" i="9" s="1"/>
  <c r="M154" i="9" s="1"/>
  <c r="J206" i="9"/>
  <c r="K206" i="9" s="1"/>
  <c r="M206" i="9" s="1"/>
  <c r="J108" i="9"/>
  <c r="L108" i="9" s="1"/>
  <c r="J98" i="9"/>
  <c r="K98" i="9" s="1"/>
  <c r="M98" i="9" s="1"/>
  <c r="J52" i="9"/>
  <c r="K52" i="9" s="1"/>
  <c r="M52" i="9" s="1"/>
  <c r="K208" i="9"/>
  <c r="M208" i="9" s="1"/>
  <c r="J196" i="9"/>
  <c r="K196" i="9" s="1"/>
  <c r="M196" i="9" s="1"/>
  <c r="K117" i="9"/>
  <c r="M117" i="9" s="1"/>
  <c r="J139" i="9"/>
  <c r="K139" i="9" s="1"/>
  <c r="M139" i="9" s="1"/>
  <c r="L37" i="9"/>
  <c r="L35" i="9"/>
  <c r="G8" i="5"/>
  <c r="G26" i="5"/>
  <c r="G29" i="5"/>
  <c r="G6" i="5"/>
  <c r="G24" i="5"/>
  <c r="G11" i="5"/>
  <c r="G7" i="5"/>
  <c r="AA16" i="38" l="1"/>
  <c r="AD16" i="38" s="1"/>
  <c r="AE16" i="38" s="1"/>
  <c r="AG16" i="38" s="1"/>
  <c r="AF16" i="38" s="1"/>
  <c r="X26" i="38"/>
  <c r="AA26" i="38" s="1"/>
  <c r="AD26" i="38" s="1"/>
  <c r="Y26" i="38"/>
  <c r="AB26" i="38" s="1"/>
  <c r="L184" i="9"/>
  <c r="L144" i="9"/>
  <c r="L188" i="9"/>
  <c r="L178" i="9"/>
  <c r="L154" i="9"/>
  <c r="L199" i="9"/>
  <c r="L196" i="9"/>
  <c r="L206" i="9"/>
  <c r="L134" i="9"/>
  <c r="K113" i="9"/>
  <c r="M113" i="9" s="1"/>
  <c r="L139" i="9"/>
  <c r="L165" i="9"/>
  <c r="L52" i="9"/>
  <c r="L98" i="9"/>
  <c r="K108" i="9"/>
  <c r="M108" i="9" s="1"/>
  <c r="L116" i="9"/>
  <c r="K141" i="9"/>
  <c r="M141" i="9" s="1"/>
  <c r="L203" i="9"/>
  <c r="K143" i="9"/>
  <c r="M143" i="9" s="1"/>
  <c r="L157" i="9"/>
  <c r="L159" i="9"/>
  <c r="L146" i="9"/>
  <c r="F9" i="33"/>
  <c r="F8" i="33"/>
  <c r="F7" i="33"/>
  <c r="F6" i="33"/>
  <c r="F5" i="33"/>
  <c r="F4" i="33"/>
  <c r="F3" i="33"/>
  <c r="J11" i="33"/>
  <c r="I11" i="33"/>
  <c r="H11" i="33"/>
  <c r="G11" i="33"/>
  <c r="J10" i="33"/>
  <c r="I10" i="33"/>
  <c r="H10" i="33"/>
  <c r="G10" i="33"/>
  <c r="J9" i="33"/>
  <c r="I9" i="33"/>
  <c r="H9" i="33"/>
  <c r="G9" i="33"/>
  <c r="J8" i="33"/>
  <c r="I8" i="33"/>
  <c r="H8" i="33"/>
  <c r="G8" i="33"/>
  <c r="J7" i="33"/>
  <c r="I7" i="33"/>
  <c r="H7" i="33"/>
  <c r="G7" i="33"/>
  <c r="J6" i="33"/>
  <c r="I6" i="33"/>
  <c r="H6" i="33"/>
  <c r="G6" i="33"/>
  <c r="J5" i="33"/>
  <c r="I5" i="33"/>
  <c r="H5" i="33"/>
  <c r="G5" i="33"/>
  <c r="J4" i="33"/>
  <c r="I4" i="33"/>
  <c r="H4" i="33"/>
  <c r="G4" i="33"/>
  <c r="J3" i="33"/>
  <c r="I3" i="33"/>
  <c r="H3" i="33"/>
  <c r="G3" i="33"/>
  <c r="E11" i="33"/>
  <c r="D11" i="33"/>
  <c r="C11" i="33"/>
  <c r="B11" i="33"/>
  <c r="E10" i="33"/>
  <c r="D10" i="33"/>
  <c r="C10" i="33"/>
  <c r="B10" i="33"/>
  <c r="E9" i="33"/>
  <c r="D9" i="33"/>
  <c r="C9" i="33"/>
  <c r="B9" i="33"/>
  <c r="E8" i="33"/>
  <c r="D8" i="33"/>
  <c r="C8" i="33"/>
  <c r="B8" i="33"/>
  <c r="E7" i="33"/>
  <c r="D7" i="33"/>
  <c r="C7" i="33"/>
  <c r="B7" i="33"/>
  <c r="E6" i="33"/>
  <c r="D6" i="33"/>
  <c r="C6" i="33"/>
  <c r="B6" i="33"/>
  <c r="E5" i="33"/>
  <c r="D5" i="33"/>
  <c r="C5" i="33"/>
  <c r="B5" i="33"/>
  <c r="E4" i="33"/>
  <c r="D4" i="33"/>
  <c r="C4" i="33"/>
  <c r="B4" i="33"/>
  <c r="E3" i="33"/>
  <c r="D3" i="33"/>
  <c r="C3" i="33"/>
  <c r="B3" i="33"/>
  <c r="I16" i="38" l="1"/>
  <c r="B52" i="8"/>
  <c r="B51" i="8"/>
  <c r="E3184" i="31" l="1"/>
  <c r="E3191" i="31" s="1"/>
  <c r="E3183" i="31"/>
  <c r="E2834" i="31"/>
  <c r="E2815" i="31"/>
  <c r="E2817" i="31" s="1"/>
  <c r="E2814" i="31"/>
  <c r="E1717" i="31"/>
  <c r="E1716" i="31"/>
  <c r="E1715" i="31"/>
  <c r="E1714" i="31"/>
  <c r="E1713" i="31"/>
  <c r="E1712" i="31"/>
  <c r="E1711" i="31"/>
  <c r="E1710" i="31"/>
  <c r="E1709" i="31"/>
  <c r="E1706" i="31"/>
  <c r="E1705" i="31"/>
  <c r="E1704" i="31"/>
  <c r="E1703" i="31"/>
  <c r="E1702" i="31"/>
  <c r="E1701" i="31"/>
  <c r="E1700" i="31"/>
  <c r="E1699" i="31"/>
  <c r="E1698" i="31"/>
  <c r="E1697" i="31"/>
  <c r="E1696" i="31"/>
  <c r="E1695" i="31"/>
  <c r="E1694" i="31"/>
  <c r="E1693" i="31"/>
  <c r="E1692" i="31"/>
  <c r="E1691" i="31"/>
  <c r="E1690" i="31"/>
  <c r="E1689" i="31"/>
  <c r="E1688" i="31"/>
  <c r="E1687" i="31"/>
  <c r="E1686" i="31"/>
  <c r="E1685" i="31"/>
  <c r="E1684" i="31"/>
  <c r="E1683" i="31"/>
  <c r="E1682" i="31"/>
  <c r="E1459" i="31"/>
  <c r="E1458" i="31"/>
  <c r="E1457" i="31"/>
  <c r="E1456" i="31"/>
  <c r="E1455" i="31"/>
  <c r="E1454" i="31"/>
  <c r="E1412" i="31"/>
  <c r="E1411" i="31"/>
  <c r="E1410" i="31"/>
  <c r="E1409" i="31"/>
  <c r="E1408" i="31"/>
  <c r="E1407" i="31"/>
  <c r="E1406" i="31"/>
  <c r="E1405" i="31"/>
  <c r="E1404" i="31"/>
  <c r="E1403" i="31"/>
  <c r="E1402" i="31"/>
  <c r="E1401" i="31"/>
  <c r="E1400" i="31"/>
  <c r="E1399" i="31"/>
  <c r="E1398" i="31"/>
  <c r="E1397" i="31"/>
  <c r="E1396" i="31"/>
  <c r="E1395" i="31"/>
  <c r="E1394" i="31"/>
  <c r="E1393" i="31"/>
  <c r="E1392" i="31"/>
  <c r="E1391" i="31"/>
  <c r="E1390" i="31"/>
  <c r="E1389" i="31"/>
  <c r="E1388" i="31"/>
  <c r="E1387" i="31"/>
  <c r="E841" i="31"/>
  <c r="E840" i="31"/>
  <c r="E839" i="31"/>
  <c r="E838" i="31"/>
  <c r="E792" i="31"/>
  <c r="E791" i="31"/>
  <c r="E688" i="31"/>
  <c r="E687" i="31"/>
  <c r="E686" i="31"/>
  <c r="E685" i="31"/>
  <c r="E684" i="31"/>
  <c r="E683" i="31"/>
  <c r="E682" i="31"/>
  <c r="E681" i="31"/>
  <c r="E680" i="31"/>
  <c r="E679" i="31"/>
  <c r="C21" i="30"/>
  <c r="B20" i="30"/>
  <c r="B19" i="30"/>
  <c r="B18" i="30"/>
  <c r="B17" i="30"/>
  <c r="B16" i="30"/>
  <c r="B15" i="30"/>
  <c r="B14" i="30"/>
  <c r="B13" i="30"/>
  <c r="B12" i="30"/>
  <c r="B11" i="30"/>
  <c r="B10" i="30"/>
  <c r="B9" i="30"/>
  <c r="B8" i="30"/>
  <c r="B7" i="30"/>
  <c r="B6" i="30"/>
  <c r="C121" i="12"/>
  <c r="C47" i="12"/>
  <c r="C41" i="12"/>
  <c r="C30" i="12"/>
  <c r="C26" i="12"/>
  <c r="B114" i="7"/>
  <c r="B113" i="7"/>
  <c r="B112" i="7"/>
  <c r="B111" i="7"/>
  <c r="B110" i="7"/>
  <c r="B109" i="7"/>
  <c r="B108" i="7"/>
  <c r="B107" i="7"/>
  <c r="B106" i="7"/>
  <c r="B105" i="7"/>
  <c r="B104" i="7"/>
  <c r="P103" i="7"/>
  <c r="O103" i="7"/>
  <c r="N103" i="7"/>
  <c r="M103" i="7"/>
  <c r="L103" i="7"/>
  <c r="K103" i="7"/>
  <c r="J103" i="7"/>
  <c r="I103" i="7"/>
  <c r="H103" i="7"/>
  <c r="G103" i="7"/>
  <c r="F103" i="7"/>
  <c r="B103" i="7"/>
  <c r="P102" i="7"/>
  <c r="O102" i="7"/>
  <c r="N102" i="7"/>
  <c r="M102" i="7"/>
  <c r="L102" i="7"/>
  <c r="K102" i="7"/>
  <c r="J102" i="7"/>
  <c r="I102" i="7"/>
  <c r="H102" i="7"/>
  <c r="G102" i="7"/>
  <c r="F102" i="7"/>
  <c r="B102" i="7"/>
  <c r="P101" i="7"/>
  <c r="O101" i="7"/>
  <c r="N101" i="7"/>
  <c r="M101" i="7"/>
  <c r="L101" i="7"/>
  <c r="K101" i="7"/>
  <c r="J101" i="7"/>
  <c r="I101" i="7"/>
  <c r="H101" i="7"/>
  <c r="G101" i="7"/>
  <c r="F101" i="7"/>
  <c r="B101" i="7"/>
  <c r="E75" i="7"/>
  <c r="E74" i="7"/>
  <c r="D74" i="7"/>
  <c r="E73" i="7"/>
  <c r="D73" i="7"/>
  <c r="C73" i="7"/>
  <c r="E72" i="7"/>
  <c r="D72" i="7"/>
  <c r="C72" i="7"/>
  <c r="E71" i="7"/>
  <c r="D71" i="7"/>
  <c r="C71" i="7"/>
  <c r="E70" i="7"/>
  <c r="D70" i="7"/>
  <c r="P68" i="7"/>
  <c r="O68" i="7"/>
  <c r="N68" i="7"/>
  <c r="M68" i="7"/>
  <c r="L68" i="7"/>
  <c r="K68" i="7"/>
  <c r="J68" i="7"/>
  <c r="I68" i="7"/>
  <c r="H68" i="7"/>
  <c r="G68" i="7"/>
  <c r="F68" i="7"/>
  <c r="E68" i="7"/>
  <c r="D68" i="7"/>
  <c r="C68" i="7"/>
  <c r="P66" i="7"/>
  <c r="O66" i="7"/>
  <c r="N66" i="7"/>
  <c r="M66" i="7"/>
  <c r="L66" i="7"/>
  <c r="K66" i="7"/>
  <c r="J66" i="7"/>
  <c r="I66" i="7"/>
  <c r="H66" i="7"/>
  <c r="G66" i="7"/>
  <c r="F66" i="7"/>
  <c r="E66" i="7"/>
  <c r="D66" i="7"/>
  <c r="C66" i="7"/>
  <c r="E65" i="7"/>
  <c r="D65" i="7"/>
  <c r="C65" i="7"/>
  <c r="P64" i="7"/>
  <c r="O64" i="7"/>
  <c r="N64" i="7"/>
  <c r="M64" i="7"/>
  <c r="L64" i="7"/>
  <c r="K64" i="7"/>
  <c r="J64" i="7"/>
  <c r="I64" i="7"/>
  <c r="H64" i="7"/>
  <c r="G64" i="7"/>
  <c r="F64" i="7"/>
  <c r="E64" i="7"/>
  <c r="D64" i="7"/>
  <c r="C64" i="7"/>
  <c r="P63" i="7"/>
  <c r="O63" i="7"/>
  <c r="N63" i="7"/>
  <c r="M63" i="7"/>
  <c r="L63" i="7"/>
  <c r="K63" i="7"/>
  <c r="J63" i="7"/>
  <c r="I63" i="7"/>
  <c r="H63" i="7"/>
  <c r="G63" i="7"/>
  <c r="F63" i="7"/>
  <c r="E63" i="7"/>
  <c r="D63" i="7"/>
  <c r="C63" i="7"/>
  <c r="P62" i="7"/>
  <c r="O62" i="7"/>
  <c r="N62" i="7"/>
  <c r="M62" i="7"/>
  <c r="L62" i="7"/>
  <c r="K62" i="7"/>
  <c r="J62" i="7"/>
  <c r="I62" i="7"/>
  <c r="H62" i="7"/>
  <c r="G62" i="7"/>
  <c r="F62" i="7"/>
  <c r="E62" i="7"/>
  <c r="D62" i="7"/>
  <c r="C62" i="7"/>
  <c r="P61" i="7"/>
  <c r="O61" i="7"/>
  <c r="N61" i="7"/>
  <c r="M61" i="7"/>
  <c r="L61" i="7"/>
  <c r="K61" i="7"/>
  <c r="J61" i="7"/>
  <c r="I61" i="7"/>
  <c r="H61" i="7"/>
  <c r="G61" i="7"/>
  <c r="F61" i="7"/>
  <c r="E61" i="7"/>
  <c r="D61" i="7"/>
  <c r="C61" i="7"/>
  <c r="P60" i="7"/>
  <c r="O60" i="7"/>
  <c r="N60" i="7"/>
  <c r="M60" i="7"/>
  <c r="L60" i="7"/>
  <c r="K60" i="7"/>
  <c r="J60" i="7"/>
  <c r="I60" i="7"/>
  <c r="H60" i="7"/>
  <c r="G60" i="7"/>
  <c r="F60" i="7"/>
  <c r="E60" i="7"/>
  <c r="D60" i="7"/>
  <c r="C60" i="7"/>
  <c r="P59" i="7"/>
  <c r="O59" i="7"/>
  <c r="N59" i="7"/>
  <c r="M59" i="7"/>
  <c r="L59" i="7"/>
  <c r="K59" i="7"/>
  <c r="J59" i="7"/>
  <c r="I59" i="7"/>
  <c r="H59" i="7"/>
  <c r="G59" i="7"/>
  <c r="F59" i="7"/>
  <c r="E59" i="7"/>
  <c r="D59" i="7"/>
  <c r="C59" i="7"/>
  <c r="P58" i="7"/>
  <c r="O58" i="7"/>
  <c r="N58" i="7"/>
  <c r="M58" i="7"/>
  <c r="L58" i="7"/>
  <c r="K58" i="7"/>
  <c r="J58" i="7"/>
  <c r="I58" i="7"/>
  <c r="H58" i="7"/>
  <c r="G58" i="7"/>
  <c r="F58" i="7"/>
  <c r="E58" i="7"/>
  <c r="D58" i="7"/>
  <c r="C58" i="7"/>
  <c r="P57" i="7"/>
  <c r="O57" i="7"/>
  <c r="N57" i="7"/>
  <c r="M57" i="7"/>
  <c r="L57" i="7"/>
  <c r="K57" i="7"/>
  <c r="J57" i="7"/>
  <c r="I57" i="7"/>
  <c r="H57" i="7"/>
  <c r="G57" i="7"/>
  <c r="F57" i="7"/>
  <c r="E57" i="7"/>
  <c r="D57" i="7"/>
  <c r="P55" i="7"/>
  <c r="O55" i="7"/>
  <c r="N55" i="7"/>
  <c r="M55" i="7"/>
  <c r="L55" i="7"/>
  <c r="K55" i="7"/>
  <c r="J55" i="7"/>
  <c r="I55" i="7"/>
  <c r="H55" i="7"/>
  <c r="G55" i="7"/>
  <c r="F55" i="7"/>
  <c r="E55" i="7"/>
  <c r="D55" i="7"/>
  <c r="C55" i="7"/>
  <c r="P54" i="7"/>
  <c r="O54" i="7"/>
  <c r="N54" i="7"/>
  <c r="M54" i="7"/>
  <c r="L54" i="7"/>
  <c r="K54" i="7"/>
  <c r="J54" i="7"/>
  <c r="I54" i="7"/>
  <c r="H54" i="7"/>
  <c r="G54" i="7"/>
  <c r="F54" i="7"/>
  <c r="E54" i="7"/>
  <c r="D54" i="7"/>
  <c r="C54" i="7"/>
  <c r="P53" i="7"/>
  <c r="O53" i="7"/>
  <c r="N53" i="7"/>
  <c r="M53" i="7"/>
  <c r="L53" i="7"/>
  <c r="K53" i="7"/>
  <c r="J53" i="7"/>
  <c r="I53" i="7"/>
  <c r="H53" i="7"/>
  <c r="G53" i="7"/>
  <c r="F53" i="7"/>
  <c r="E53" i="7"/>
  <c r="D53" i="7"/>
  <c r="C53" i="7"/>
  <c r="P52" i="7"/>
  <c r="O52" i="7"/>
  <c r="N52" i="7"/>
  <c r="M52" i="7"/>
  <c r="L52" i="7"/>
  <c r="K52" i="7"/>
  <c r="J52" i="7"/>
  <c r="I52" i="7"/>
  <c r="H52" i="7"/>
  <c r="G52" i="7"/>
  <c r="F52" i="7"/>
  <c r="E52" i="7"/>
  <c r="D52" i="7"/>
  <c r="C52" i="7"/>
  <c r="P51" i="7"/>
  <c r="O51" i="7"/>
  <c r="N51" i="7"/>
  <c r="M51" i="7"/>
  <c r="L51" i="7"/>
  <c r="K51" i="7"/>
  <c r="J51" i="7"/>
  <c r="I51" i="7"/>
  <c r="H51" i="7"/>
  <c r="G51" i="7"/>
  <c r="F51" i="7"/>
  <c r="E51" i="7"/>
  <c r="D51" i="7"/>
  <c r="C51" i="7"/>
  <c r="P50" i="7"/>
  <c r="O50" i="7"/>
  <c r="N50" i="7"/>
  <c r="M50" i="7"/>
  <c r="L50" i="7"/>
  <c r="K50" i="7"/>
  <c r="J50" i="7"/>
  <c r="I50" i="7"/>
  <c r="H50" i="7"/>
  <c r="G50" i="7"/>
  <c r="F50" i="7"/>
  <c r="E50" i="7"/>
  <c r="D50" i="7"/>
  <c r="C50" i="7"/>
  <c r="P49" i="7"/>
  <c r="O49" i="7"/>
  <c r="N49" i="7"/>
  <c r="M49" i="7"/>
  <c r="L49" i="7"/>
  <c r="K49" i="7"/>
  <c r="J49" i="7"/>
  <c r="I49" i="7"/>
  <c r="H49" i="7"/>
  <c r="G49" i="7"/>
  <c r="F49" i="7"/>
  <c r="E49" i="7"/>
  <c r="D49" i="7"/>
  <c r="C49" i="7"/>
  <c r="P48" i="7"/>
  <c r="O48" i="7"/>
  <c r="N48" i="7"/>
  <c r="M48" i="7"/>
  <c r="L48" i="7"/>
  <c r="K48" i="7"/>
  <c r="J48" i="7"/>
  <c r="I48" i="7"/>
  <c r="H48" i="7"/>
  <c r="G48" i="7"/>
  <c r="F48" i="7"/>
  <c r="E48" i="7"/>
  <c r="D48" i="7"/>
  <c r="P38" i="7"/>
  <c r="O38" i="7"/>
  <c r="N38" i="7"/>
  <c r="M38" i="7"/>
  <c r="L38" i="7"/>
  <c r="K38" i="7"/>
  <c r="J38" i="7"/>
  <c r="I38" i="7"/>
  <c r="H38" i="7"/>
  <c r="G38" i="7"/>
  <c r="F38" i="7"/>
  <c r="E38" i="7"/>
  <c r="D38" i="7"/>
  <c r="P37" i="7"/>
  <c r="O37" i="7"/>
  <c r="N37" i="7"/>
  <c r="M37" i="7"/>
  <c r="L37" i="7"/>
  <c r="K37" i="7"/>
  <c r="J37" i="7"/>
  <c r="I37" i="7"/>
  <c r="H37" i="7"/>
  <c r="G37" i="7"/>
  <c r="F37" i="7"/>
  <c r="E37" i="7"/>
  <c r="D37" i="7"/>
  <c r="C37" i="7"/>
  <c r="P36" i="7"/>
  <c r="O36" i="7"/>
  <c r="N36" i="7"/>
  <c r="M36" i="7"/>
  <c r="L36" i="7"/>
  <c r="K36" i="7"/>
  <c r="J36" i="7"/>
  <c r="I36" i="7"/>
  <c r="H36" i="7"/>
  <c r="G36" i="7"/>
  <c r="F36" i="7"/>
  <c r="E36" i="7"/>
  <c r="C36" i="7"/>
  <c r="P34" i="7"/>
  <c r="O34" i="7"/>
  <c r="N34" i="7"/>
  <c r="M34" i="7"/>
  <c r="L34" i="7"/>
  <c r="K34" i="7"/>
  <c r="J34" i="7"/>
  <c r="I34" i="7"/>
  <c r="H34" i="7"/>
  <c r="G34" i="7"/>
  <c r="F34" i="7"/>
  <c r="P32" i="7"/>
  <c r="O32" i="7"/>
  <c r="N32" i="7"/>
  <c r="M32" i="7"/>
  <c r="L32" i="7"/>
  <c r="K32" i="7"/>
  <c r="J32" i="7"/>
  <c r="I32" i="7"/>
  <c r="H32" i="7"/>
  <c r="G32" i="7"/>
  <c r="F32" i="7"/>
  <c r="P31" i="7"/>
  <c r="O31" i="7"/>
  <c r="N31" i="7"/>
  <c r="M31" i="7"/>
  <c r="L31" i="7"/>
  <c r="K31" i="7"/>
  <c r="J31" i="7"/>
  <c r="I31" i="7"/>
  <c r="H31" i="7"/>
  <c r="G31" i="7"/>
  <c r="F31" i="7"/>
  <c r="E31" i="7"/>
  <c r="D31" i="7"/>
  <c r="C31" i="7"/>
  <c r="P29" i="7"/>
  <c r="O29" i="7"/>
  <c r="N29" i="7"/>
  <c r="M29" i="7"/>
  <c r="L29" i="7"/>
  <c r="K29" i="7"/>
  <c r="J29" i="7"/>
  <c r="I29" i="7"/>
  <c r="H29" i="7"/>
  <c r="G29" i="7"/>
  <c r="F29" i="7"/>
  <c r="E29" i="7"/>
  <c r="D29" i="7"/>
  <c r="C29" i="7"/>
  <c r="P28" i="7"/>
  <c r="O28" i="7"/>
  <c r="N28" i="7"/>
  <c r="M28" i="7"/>
  <c r="L28" i="7"/>
  <c r="K28" i="7"/>
  <c r="J28" i="7"/>
  <c r="I28" i="7"/>
  <c r="H28" i="7"/>
  <c r="G28" i="7"/>
  <c r="F28" i="7"/>
  <c r="E28" i="7"/>
  <c r="D28" i="7"/>
  <c r="C28" i="7"/>
  <c r="P27" i="7"/>
  <c r="O27" i="7"/>
  <c r="N27" i="7"/>
  <c r="M27" i="7"/>
  <c r="L27" i="7"/>
  <c r="K27" i="7"/>
  <c r="J27" i="7"/>
  <c r="I27" i="7"/>
  <c r="H27" i="7"/>
  <c r="G27" i="7"/>
  <c r="F27" i="7"/>
  <c r="E27" i="7"/>
  <c r="D27" i="7"/>
  <c r="C27" i="7"/>
  <c r="P26" i="7"/>
  <c r="O26" i="7"/>
  <c r="N26" i="7"/>
  <c r="M26" i="7"/>
  <c r="L26" i="7"/>
  <c r="K26" i="7"/>
  <c r="J26" i="7"/>
  <c r="I26" i="7"/>
  <c r="H26" i="7"/>
  <c r="G26" i="7"/>
  <c r="F26" i="7"/>
  <c r="E26" i="7"/>
  <c r="D26" i="7"/>
  <c r="C26" i="7"/>
  <c r="P25" i="7"/>
  <c r="O25" i="7"/>
  <c r="N25" i="7"/>
  <c r="M25" i="7"/>
  <c r="L25" i="7"/>
  <c r="K25" i="7"/>
  <c r="J25" i="7"/>
  <c r="I25" i="7"/>
  <c r="H25" i="7"/>
  <c r="G25" i="7"/>
  <c r="F25" i="7"/>
  <c r="E25" i="7"/>
  <c r="D25" i="7"/>
  <c r="C25" i="7"/>
  <c r="P23" i="7"/>
  <c r="O23" i="7"/>
  <c r="N23" i="7"/>
  <c r="M23" i="7"/>
  <c r="L23" i="7"/>
  <c r="K23" i="7"/>
  <c r="J23" i="7"/>
  <c r="I23" i="7"/>
  <c r="H23" i="7"/>
  <c r="G23" i="7"/>
  <c r="F23" i="7"/>
  <c r="E23" i="7"/>
  <c r="D23" i="7"/>
  <c r="C23" i="7"/>
  <c r="P22" i="7"/>
  <c r="O22" i="7"/>
  <c r="N22" i="7"/>
  <c r="M22" i="7"/>
  <c r="L22" i="7"/>
  <c r="K22" i="7"/>
  <c r="J22" i="7"/>
  <c r="I22" i="7"/>
  <c r="H22" i="7"/>
  <c r="G22" i="7"/>
  <c r="F22" i="7"/>
  <c r="E22" i="7"/>
  <c r="D22" i="7"/>
  <c r="C22" i="7"/>
  <c r="P21" i="7"/>
  <c r="O21" i="7"/>
  <c r="N21" i="7"/>
  <c r="M21" i="7"/>
  <c r="L21" i="7"/>
  <c r="K21" i="7"/>
  <c r="J21" i="7"/>
  <c r="I21" i="7"/>
  <c r="H21" i="7"/>
  <c r="G21" i="7"/>
  <c r="F21" i="7"/>
  <c r="E21" i="7"/>
  <c r="D21" i="7"/>
  <c r="C21" i="7"/>
  <c r="P20" i="7"/>
  <c r="O20" i="7"/>
  <c r="N20" i="7"/>
  <c r="M20" i="7"/>
  <c r="L20" i="7"/>
  <c r="K20" i="7"/>
  <c r="J20" i="7"/>
  <c r="I20" i="7"/>
  <c r="H20" i="7"/>
  <c r="G20" i="7"/>
  <c r="F20" i="7"/>
  <c r="E20" i="7"/>
  <c r="D20" i="7"/>
  <c r="C20" i="7"/>
  <c r="P18" i="7"/>
  <c r="O18" i="7"/>
  <c r="N18" i="7"/>
  <c r="M18" i="7"/>
  <c r="L18" i="7"/>
  <c r="K18" i="7"/>
  <c r="J18" i="7"/>
  <c r="I18" i="7"/>
  <c r="H18" i="7"/>
  <c r="G18" i="7"/>
  <c r="F18" i="7"/>
  <c r="E18" i="7"/>
  <c r="D18" i="7"/>
  <c r="C18" i="7"/>
  <c r="P17" i="7"/>
  <c r="O17" i="7"/>
  <c r="N17" i="7"/>
  <c r="M17" i="7"/>
  <c r="L17" i="7"/>
  <c r="K17" i="7"/>
  <c r="J17" i="7"/>
  <c r="I17" i="7"/>
  <c r="H17" i="7"/>
  <c r="G17" i="7"/>
  <c r="F17" i="7"/>
  <c r="E17" i="7"/>
  <c r="D17" i="7"/>
  <c r="C17" i="7"/>
  <c r="P15" i="7"/>
  <c r="O15" i="7"/>
  <c r="N15" i="7"/>
  <c r="M15" i="7"/>
  <c r="L15" i="7"/>
  <c r="K15" i="7"/>
  <c r="J15" i="7"/>
  <c r="I15" i="7"/>
  <c r="H15" i="7"/>
  <c r="G15" i="7"/>
  <c r="F15" i="7"/>
  <c r="E15" i="7"/>
  <c r="D15" i="7"/>
  <c r="C15" i="7"/>
  <c r="P14" i="7"/>
  <c r="O14" i="7"/>
  <c r="N14" i="7"/>
  <c r="M14" i="7"/>
  <c r="L14" i="7"/>
  <c r="K14" i="7"/>
  <c r="J14" i="7"/>
  <c r="I14" i="7"/>
  <c r="H14" i="7"/>
  <c r="G14" i="7"/>
  <c r="F14" i="7"/>
  <c r="E14" i="7"/>
  <c r="D14" i="7"/>
  <c r="C14" i="7"/>
  <c r="P12" i="7"/>
  <c r="O12" i="7"/>
  <c r="N12" i="7"/>
  <c r="M12" i="7"/>
  <c r="L12" i="7"/>
  <c r="K12" i="7"/>
  <c r="J12" i="7"/>
  <c r="I12" i="7"/>
  <c r="H12" i="7"/>
  <c r="G12" i="7"/>
  <c r="F12" i="7"/>
  <c r="E11" i="7"/>
  <c r="D11" i="7"/>
  <c r="C11" i="7"/>
  <c r="P10" i="7"/>
  <c r="O10" i="7"/>
  <c r="N10" i="7"/>
  <c r="M10" i="7"/>
  <c r="L10" i="7"/>
  <c r="K10" i="7"/>
  <c r="J10" i="7"/>
  <c r="I10" i="7"/>
  <c r="H10" i="7"/>
  <c r="G10" i="7"/>
  <c r="F10" i="7"/>
  <c r="E10" i="7"/>
  <c r="D10" i="7"/>
  <c r="C10" i="7"/>
  <c r="P9" i="7"/>
  <c r="O9" i="7"/>
  <c r="N9" i="7"/>
  <c r="M9" i="7"/>
  <c r="L9" i="7"/>
  <c r="K9" i="7"/>
  <c r="J9" i="7"/>
  <c r="I9" i="7"/>
  <c r="H9" i="7"/>
  <c r="G9" i="7"/>
  <c r="F9" i="7"/>
  <c r="E9" i="7"/>
  <c r="D9" i="7"/>
  <c r="C9" i="7"/>
  <c r="P8" i="7"/>
  <c r="O8" i="7"/>
  <c r="N8" i="7"/>
  <c r="M8" i="7"/>
  <c r="L8" i="7"/>
  <c r="K8" i="7"/>
  <c r="J8" i="7"/>
  <c r="I8" i="7"/>
  <c r="H8" i="7"/>
  <c r="G8" i="7"/>
  <c r="F8" i="7"/>
  <c r="E8" i="7"/>
  <c r="D8" i="7"/>
  <c r="C8" i="7"/>
  <c r="P4" i="7"/>
  <c r="O4" i="7"/>
  <c r="N4" i="7"/>
  <c r="M4" i="7"/>
  <c r="L4" i="7"/>
  <c r="K4" i="7"/>
  <c r="J4" i="7"/>
  <c r="I4" i="7"/>
  <c r="H4" i="7"/>
  <c r="G4" i="7"/>
  <c r="F4" i="7"/>
  <c r="E4" i="7"/>
  <c r="D4" i="7"/>
  <c r="C4" i="7"/>
  <c r="P3" i="7"/>
  <c r="O3" i="7"/>
  <c r="N3" i="7"/>
  <c r="M3" i="7"/>
  <c r="L3" i="7"/>
  <c r="K3" i="7"/>
  <c r="J3" i="7"/>
  <c r="I3" i="7"/>
  <c r="H3" i="7"/>
  <c r="G3" i="7"/>
  <c r="F3" i="7"/>
  <c r="P2" i="7"/>
  <c r="O2" i="7"/>
  <c r="N2" i="7"/>
  <c r="M2" i="7"/>
  <c r="L2" i="7"/>
  <c r="K2" i="7"/>
  <c r="J2" i="7"/>
  <c r="I2" i="7"/>
  <c r="H2" i="7"/>
  <c r="G2" i="7"/>
  <c r="F2" i="7"/>
  <c r="E2" i="7"/>
  <c r="D2" i="7"/>
  <c r="C2" i="7"/>
  <c r="Q359" i="6"/>
  <c r="P359" i="6"/>
  <c r="O359" i="6"/>
  <c r="N359" i="6"/>
  <c r="M359" i="6"/>
  <c r="L359" i="6"/>
  <c r="K359" i="6"/>
  <c r="I359" i="6"/>
  <c r="H359" i="6"/>
  <c r="G359" i="6"/>
  <c r="Q358" i="6"/>
  <c r="P358" i="6"/>
  <c r="O358" i="6"/>
  <c r="N358" i="6"/>
  <c r="M358" i="6"/>
  <c r="L358" i="6"/>
  <c r="K358" i="6"/>
  <c r="I358" i="6"/>
  <c r="H358" i="6"/>
  <c r="G358" i="6"/>
  <c r="Q357" i="6"/>
  <c r="P357" i="6"/>
  <c r="O357" i="6"/>
  <c r="N357" i="6"/>
  <c r="M357" i="6"/>
  <c r="L357" i="6"/>
  <c r="K357" i="6"/>
  <c r="I357" i="6"/>
  <c r="H357" i="6"/>
  <c r="G357" i="6"/>
  <c r="Q356" i="6"/>
  <c r="P356" i="6"/>
  <c r="O356" i="6"/>
  <c r="N356" i="6"/>
  <c r="M356" i="6"/>
  <c r="L356" i="6"/>
  <c r="K356" i="6"/>
  <c r="I356" i="6"/>
  <c r="H356" i="6"/>
  <c r="G356" i="6"/>
  <c r="Q355" i="6"/>
  <c r="P355" i="6"/>
  <c r="O355" i="6"/>
  <c r="N355" i="6"/>
  <c r="M355" i="6"/>
  <c r="L355" i="6"/>
  <c r="K355" i="6"/>
  <c r="I355" i="6"/>
  <c r="H355" i="6"/>
  <c r="G355" i="6"/>
  <c r="Q354" i="6"/>
  <c r="P354" i="6"/>
  <c r="O354" i="6"/>
  <c r="N354" i="6"/>
  <c r="M354" i="6"/>
  <c r="L354" i="6"/>
  <c r="K354" i="6"/>
  <c r="I354" i="6"/>
  <c r="H354" i="6"/>
  <c r="G354" i="6"/>
  <c r="Q353" i="6"/>
  <c r="P353" i="6"/>
  <c r="O353" i="6"/>
  <c r="N353" i="6"/>
  <c r="M353" i="6"/>
  <c r="L353" i="6"/>
  <c r="K353" i="6"/>
  <c r="I353" i="6"/>
  <c r="H353" i="6"/>
  <c r="G353" i="6"/>
  <c r="Q352" i="6"/>
  <c r="P352" i="6"/>
  <c r="O352" i="6"/>
  <c r="N352" i="6"/>
  <c r="M352" i="6"/>
  <c r="L352" i="6"/>
  <c r="K352" i="6"/>
  <c r="I352" i="6"/>
  <c r="H352" i="6"/>
  <c r="G352" i="6"/>
  <c r="Q351" i="6"/>
  <c r="P351" i="6"/>
  <c r="O351" i="6"/>
  <c r="N351" i="6"/>
  <c r="M351" i="6"/>
  <c r="L351" i="6"/>
  <c r="K351" i="6"/>
  <c r="I351" i="6"/>
  <c r="H351" i="6"/>
  <c r="G351" i="6"/>
  <c r="Q350" i="6"/>
  <c r="P350" i="6"/>
  <c r="O350" i="6"/>
  <c r="N350" i="6"/>
  <c r="M350" i="6"/>
  <c r="L350" i="6"/>
  <c r="K350" i="6"/>
  <c r="I350" i="6"/>
  <c r="H350" i="6"/>
  <c r="G350" i="6"/>
  <c r="Q349" i="6"/>
  <c r="P349" i="6"/>
  <c r="O349" i="6"/>
  <c r="N349" i="6"/>
  <c r="M349" i="6"/>
  <c r="L349" i="6"/>
  <c r="K349" i="6"/>
  <c r="I349" i="6"/>
  <c r="H349" i="6"/>
  <c r="G349" i="6"/>
  <c r="Q348" i="6"/>
  <c r="P348" i="6"/>
  <c r="O348" i="6"/>
  <c r="N348" i="6"/>
  <c r="M348" i="6"/>
  <c r="L348" i="6"/>
  <c r="K348" i="6"/>
  <c r="I348" i="6"/>
  <c r="H348" i="6"/>
  <c r="G348" i="6"/>
  <c r="Q347" i="6"/>
  <c r="P347" i="6"/>
  <c r="O347" i="6"/>
  <c r="N347" i="6"/>
  <c r="M347" i="6"/>
  <c r="L347" i="6"/>
  <c r="K347" i="6"/>
  <c r="I347" i="6"/>
  <c r="H347" i="6"/>
  <c r="G347" i="6"/>
  <c r="D346" i="6"/>
  <c r="P346" i="6" s="1"/>
  <c r="D345" i="6"/>
  <c r="N345" i="6" s="1"/>
  <c r="D344" i="6"/>
  <c r="Q344" i="6" s="1"/>
  <c r="D343" i="6"/>
  <c r="N343" i="6" s="1"/>
  <c r="D342" i="6"/>
  <c r="L342" i="6" s="1"/>
  <c r="D341" i="6"/>
  <c r="N341" i="6" s="1"/>
  <c r="Q340" i="6"/>
  <c r="P340" i="6"/>
  <c r="O340" i="6"/>
  <c r="N340" i="6"/>
  <c r="M340" i="6"/>
  <c r="L340" i="6"/>
  <c r="K340" i="6"/>
  <c r="I340" i="6"/>
  <c r="H340" i="6"/>
  <c r="G340" i="6"/>
  <c r="F340" i="6"/>
  <c r="E340" i="6"/>
  <c r="D340" i="6"/>
  <c r="D27" i="6"/>
  <c r="F191" i="6" s="1"/>
  <c r="G191" i="6" s="1"/>
  <c r="D20" i="6"/>
  <c r="D19" i="6"/>
  <c r="D18" i="6"/>
  <c r="D16" i="6"/>
  <c r="D13" i="6"/>
  <c r="D12" i="6"/>
  <c r="D11" i="6"/>
  <c r="D7" i="6"/>
  <c r="D6" i="6"/>
  <c r="D5" i="6"/>
  <c r="B46" i="8"/>
  <c r="Y22" i="8"/>
  <c r="M22" i="8"/>
  <c r="E22" i="8"/>
  <c r="D22" i="8"/>
  <c r="I22" i="8" s="1"/>
  <c r="Y21" i="8"/>
  <c r="E21" i="8"/>
  <c r="D21" i="8"/>
  <c r="I21" i="8" s="1"/>
  <c r="Y20" i="8"/>
  <c r="E20" i="8"/>
  <c r="D20" i="8"/>
  <c r="I20" i="8" s="1"/>
  <c r="Y19" i="8"/>
  <c r="E19" i="8"/>
  <c r="D19" i="8"/>
  <c r="I19" i="8" s="1"/>
  <c r="Y18" i="8"/>
  <c r="E18" i="8"/>
  <c r="E90" i="28" s="1"/>
  <c r="D18" i="8"/>
  <c r="I18" i="8" s="1"/>
  <c r="Y17" i="8"/>
  <c r="P17" i="8"/>
  <c r="L17" i="8"/>
  <c r="E17" i="8"/>
  <c r="D17" i="8"/>
  <c r="I17" i="8" s="1"/>
  <c r="Y16" i="8"/>
  <c r="P16" i="8"/>
  <c r="L16" i="8"/>
  <c r="E16" i="8"/>
  <c r="D16" i="8"/>
  <c r="I16" i="8" s="1"/>
  <c r="Y15" i="8"/>
  <c r="P15" i="8"/>
  <c r="L15" i="8"/>
  <c r="E15" i="8"/>
  <c r="D15" i="8"/>
  <c r="I15" i="8" s="1"/>
  <c r="Y14" i="8"/>
  <c r="P14" i="8"/>
  <c r="L14" i="8"/>
  <c r="E14" i="8"/>
  <c r="D14" i="8"/>
  <c r="I14" i="8" s="1"/>
  <c r="Y13" i="8"/>
  <c r="P13" i="8"/>
  <c r="L13" i="8"/>
  <c r="E13" i="8"/>
  <c r="D13" i="8"/>
  <c r="I13" i="8" s="1"/>
  <c r="Y12" i="8"/>
  <c r="P12" i="8"/>
  <c r="L12" i="8"/>
  <c r="E12" i="8"/>
  <c r="D12" i="8"/>
  <c r="I12" i="8" s="1"/>
  <c r="Y11" i="8"/>
  <c r="P11" i="8"/>
  <c r="L11" i="8"/>
  <c r="E11" i="8"/>
  <c r="D11" i="8"/>
  <c r="I11" i="8" s="1"/>
  <c r="Y10" i="8"/>
  <c r="P10" i="8"/>
  <c r="L10" i="8"/>
  <c r="E10" i="8"/>
  <c r="D10" i="8"/>
  <c r="I10" i="8" s="1"/>
  <c r="Y9" i="8"/>
  <c r="P9" i="8"/>
  <c r="L9" i="8"/>
  <c r="E9" i="8"/>
  <c r="D9" i="8"/>
  <c r="I9" i="8" s="1"/>
  <c r="Y8" i="8"/>
  <c r="P8" i="8"/>
  <c r="L8" i="8"/>
  <c r="E8" i="8"/>
  <c r="D8" i="8"/>
  <c r="I8" i="8" s="1"/>
  <c r="Y7" i="8"/>
  <c r="P7" i="8"/>
  <c r="L7" i="8"/>
  <c r="E7" i="8"/>
  <c r="D7" i="8"/>
  <c r="I7" i="8" s="1"/>
  <c r="Y6" i="8"/>
  <c r="P6" i="8"/>
  <c r="L6" i="8"/>
  <c r="E6" i="8"/>
  <c r="D6" i="8"/>
  <c r="I6" i="8" s="1"/>
  <c r="Y5" i="8"/>
  <c r="P5" i="8"/>
  <c r="L5" i="8"/>
  <c r="E5" i="8"/>
  <c r="D5" i="8"/>
  <c r="I5" i="8" s="1"/>
  <c r="D1" i="10"/>
  <c r="E1" i="10" s="1"/>
  <c r="F1" i="10" s="1"/>
  <c r="G1" i="10" s="1"/>
  <c r="H1" i="10" s="1"/>
  <c r="I1" i="10" s="1"/>
  <c r="J1" i="10" s="1"/>
  <c r="K1" i="10" s="1"/>
  <c r="L1" i="10" s="1"/>
  <c r="M1" i="10" s="1"/>
  <c r="N1" i="10" s="1"/>
  <c r="O1" i="10" s="1"/>
  <c r="P1" i="10" s="1"/>
  <c r="Q1" i="10" s="1"/>
  <c r="R1" i="10" s="1"/>
  <c r="S1" i="10" s="1"/>
  <c r="T1" i="10" s="1"/>
  <c r="U1" i="10" s="1"/>
  <c r="V1" i="10" s="1"/>
  <c r="W1" i="10" s="1"/>
  <c r="X1" i="10" s="1"/>
  <c r="Y1" i="10" s="1"/>
  <c r="Z1" i="10" s="1"/>
  <c r="E331" i="5"/>
  <c r="E329" i="5"/>
  <c r="E328" i="5"/>
  <c r="E327" i="5"/>
  <c r="A296" i="5"/>
  <c r="F200" i="5"/>
  <c r="C200" i="5"/>
  <c r="E94" i="5"/>
  <c r="E62" i="5"/>
  <c r="E63" i="5"/>
  <c r="H208" i="9"/>
  <c r="H207" i="9"/>
  <c r="H206" i="9"/>
  <c r="H205" i="9"/>
  <c r="H204" i="9"/>
  <c r="I204" i="9" s="1"/>
  <c r="J204" i="9" s="1"/>
  <c r="K204" i="9" s="1"/>
  <c r="H203" i="9"/>
  <c r="H202" i="9"/>
  <c r="H201" i="9"/>
  <c r="H200" i="9"/>
  <c r="H199" i="9"/>
  <c r="H198" i="9"/>
  <c r="I198" i="9" s="1"/>
  <c r="J198" i="9" s="1"/>
  <c r="K198" i="9" s="1"/>
  <c r="H197" i="9"/>
  <c r="H196" i="9"/>
  <c r="H195" i="9"/>
  <c r="I195" i="9" s="1"/>
  <c r="H194" i="9"/>
  <c r="I194" i="9" s="1"/>
  <c r="H193" i="9"/>
  <c r="H192" i="9"/>
  <c r="H188" i="9"/>
  <c r="H187" i="9"/>
  <c r="H186" i="9"/>
  <c r="H185" i="9"/>
  <c r="H184" i="9"/>
  <c r="H183" i="9"/>
  <c r="H182" i="9"/>
  <c r="H181" i="9"/>
  <c r="H180" i="9"/>
  <c r="I180" i="9" s="1"/>
  <c r="H179" i="9"/>
  <c r="I179" i="9" s="1"/>
  <c r="H178" i="9"/>
  <c r="H177" i="9"/>
  <c r="H176" i="9"/>
  <c r="H166" i="9"/>
  <c r="H165" i="9"/>
  <c r="H164" i="9"/>
  <c r="H163" i="9"/>
  <c r="H162" i="9"/>
  <c r="I162" i="9" s="1"/>
  <c r="J162" i="9" s="1"/>
  <c r="K162" i="9" s="1"/>
  <c r="H161" i="9"/>
  <c r="I161" i="9" s="1"/>
  <c r="J161" i="9" s="1"/>
  <c r="K161" i="9" s="1"/>
  <c r="H160" i="9"/>
  <c r="H159" i="9"/>
  <c r="H158" i="9"/>
  <c r="H157" i="9"/>
  <c r="H156" i="9"/>
  <c r="I156" i="9" s="1"/>
  <c r="H155" i="9"/>
  <c r="H154" i="9"/>
  <c r="H153" i="9"/>
  <c r="I153" i="9" s="1"/>
  <c r="H152" i="9"/>
  <c r="I152" i="9" s="1"/>
  <c r="J152" i="9" s="1"/>
  <c r="K152" i="9" s="1"/>
  <c r="H151" i="9"/>
  <c r="I151" i="9" s="1"/>
  <c r="J151" i="9" s="1"/>
  <c r="K151" i="9" s="1"/>
  <c r="H150" i="9"/>
  <c r="H146" i="9"/>
  <c r="H145" i="9"/>
  <c r="H144" i="9"/>
  <c r="H143" i="9"/>
  <c r="H142" i="9"/>
  <c r="H141" i="9"/>
  <c r="H140" i="9"/>
  <c r="H139" i="9"/>
  <c r="H138" i="9"/>
  <c r="I138" i="9" s="1"/>
  <c r="H137" i="9"/>
  <c r="I137" i="9" s="1"/>
  <c r="H136" i="9"/>
  <c r="H135" i="9"/>
  <c r="H134" i="9"/>
  <c r="H124" i="9"/>
  <c r="H123" i="9"/>
  <c r="H122" i="9"/>
  <c r="H121" i="9"/>
  <c r="I121" i="9" s="1"/>
  <c r="H120" i="9"/>
  <c r="I120" i="9" s="1"/>
  <c r="H119" i="9"/>
  <c r="I119" i="9" s="1"/>
  <c r="H118" i="9"/>
  <c r="H117" i="9"/>
  <c r="H116" i="9"/>
  <c r="H115" i="9"/>
  <c r="H114" i="9"/>
  <c r="I114" i="9" s="1"/>
  <c r="H113" i="9"/>
  <c r="H112" i="9"/>
  <c r="H111" i="9"/>
  <c r="I111" i="9" s="1"/>
  <c r="J111" i="9" s="1"/>
  <c r="K111" i="9" s="1"/>
  <c r="H110" i="9"/>
  <c r="I110" i="9" s="1"/>
  <c r="J110" i="9" s="1"/>
  <c r="K110" i="9" s="1"/>
  <c r="H109" i="9"/>
  <c r="I109" i="9" s="1"/>
  <c r="H108" i="9"/>
  <c r="H104" i="9"/>
  <c r="I104" i="9" s="1"/>
  <c r="H103" i="9"/>
  <c r="I103" i="9" s="1"/>
  <c r="H102" i="9"/>
  <c r="I102" i="9" s="1"/>
  <c r="H101" i="9"/>
  <c r="I101" i="9" s="1"/>
  <c r="H100" i="9"/>
  <c r="I100" i="9" s="1"/>
  <c r="H99" i="9"/>
  <c r="I99" i="9" s="1"/>
  <c r="H98" i="9"/>
  <c r="H97" i="9"/>
  <c r="H96" i="9"/>
  <c r="I96" i="9" s="1"/>
  <c r="J96" i="9" s="1"/>
  <c r="K96" i="9" s="1"/>
  <c r="H95" i="9"/>
  <c r="I95" i="9" s="1"/>
  <c r="H94" i="9"/>
  <c r="H93" i="9"/>
  <c r="H92" i="9"/>
  <c r="H82" i="9"/>
  <c r="H81" i="9"/>
  <c r="H80" i="9"/>
  <c r="H79" i="9"/>
  <c r="I79" i="9" s="1"/>
  <c r="J79" i="9" s="1"/>
  <c r="K79" i="9" s="1"/>
  <c r="H78" i="9"/>
  <c r="I78" i="9" s="1"/>
  <c r="J78" i="9" s="1"/>
  <c r="K78" i="9" s="1"/>
  <c r="H77" i="9"/>
  <c r="I77" i="9" s="1"/>
  <c r="H76" i="9"/>
  <c r="H75" i="9"/>
  <c r="H74" i="9"/>
  <c r="H73" i="9"/>
  <c r="H72" i="9"/>
  <c r="I72" i="9" s="1"/>
  <c r="H71" i="9"/>
  <c r="H70" i="9"/>
  <c r="H69" i="9"/>
  <c r="I69" i="9" s="1"/>
  <c r="H68" i="9"/>
  <c r="I68" i="9" s="1"/>
  <c r="J68" i="9" s="1"/>
  <c r="K68" i="9" s="1"/>
  <c r="H67" i="9"/>
  <c r="I67" i="9" s="1"/>
  <c r="J67" i="9" s="1"/>
  <c r="K67" i="9" s="1"/>
  <c r="H66" i="9"/>
  <c r="H62" i="9"/>
  <c r="I62" i="9" s="1"/>
  <c r="J62" i="9" s="1"/>
  <c r="K62" i="9" s="1"/>
  <c r="H61" i="9"/>
  <c r="I61" i="9" s="1"/>
  <c r="H60" i="9"/>
  <c r="I60" i="9" s="1"/>
  <c r="H59" i="9"/>
  <c r="I59" i="9" s="1"/>
  <c r="J59" i="9" s="1"/>
  <c r="K59" i="9" s="1"/>
  <c r="H57" i="9"/>
  <c r="I57" i="9" s="1"/>
  <c r="H56" i="9"/>
  <c r="H55" i="9"/>
  <c r="H54" i="9"/>
  <c r="I54" i="9" s="1"/>
  <c r="J54" i="9" s="1"/>
  <c r="K54" i="9" s="1"/>
  <c r="H53" i="9"/>
  <c r="I53" i="9" s="1"/>
  <c r="H52" i="9"/>
  <c r="H51" i="9"/>
  <c r="H50" i="9"/>
  <c r="H40" i="9"/>
  <c r="I40" i="9" s="1"/>
  <c r="J40" i="9" s="1"/>
  <c r="K40" i="9" s="1"/>
  <c r="H39" i="9"/>
  <c r="I39" i="9" s="1"/>
  <c r="J39" i="9" s="1"/>
  <c r="K39" i="9" s="1"/>
  <c r="H38" i="9"/>
  <c r="I38" i="9" s="1"/>
  <c r="H37" i="9"/>
  <c r="H36" i="9"/>
  <c r="H35" i="9"/>
  <c r="H34" i="9"/>
  <c r="I34" i="9" s="1"/>
  <c r="H33" i="9"/>
  <c r="I33" i="9" s="1"/>
  <c r="H32" i="9"/>
  <c r="I32" i="9" s="1"/>
  <c r="H31" i="9"/>
  <c r="I31" i="9" s="1"/>
  <c r="H30" i="9"/>
  <c r="I30" i="9" s="1"/>
  <c r="H29" i="9"/>
  <c r="I29" i="9" s="1"/>
  <c r="J29" i="9" s="1"/>
  <c r="K29" i="9" s="1"/>
  <c r="H28" i="9"/>
  <c r="I28" i="9" s="1"/>
  <c r="H27" i="9"/>
  <c r="I27" i="9" s="1"/>
  <c r="H26" i="9"/>
  <c r="I26" i="9" s="1"/>
  <c r="H25" i="9"/>
  <c r="I25" i="9" s="1"/>
  <c r="J25" i="9" s="1"/>
  <c r="K25" i="9" s="1"/>
  <c r="H24" i="9"/>
  <c r="I24" i="9" s="1"/>
  <c r="H20" i="9"/>
  <c r="I20" i="9" s="1"/>
  <c r="H19" i="9"/>
  <c r="I19" i="9" s="1"/>
  <c r="H18" i="9"/>
  <c r="I18" i="9" s="1"/>
  <c r="H17" i="9"/>
  <c r="I17" i="9" s="1"/>
  <c r="H15" i="9"/>
  <c r="I15" i="9" s="1"/>
  <c r="H14" i="9"/>
  <c r="I14" i="9" s="1"/>
  <c r="H13" i="9"/>
  <c r="I13" i="9" s="1"/>
  <c r="J13" i="9" s="1"/>
  <c r="H12" i="9"/>
  <c r="H11" i="9"/>
  <c r="H10" i="9"/>
  <c r="I10" i="9" s="1"/>
  <c r="H9" i="9"/>
  <c r="I9" i="9" s="1"/>
  <c r="H8" i="9"/>
  <c r="F135" i="2"/>
  <c r="F134" i="2"/>
  <c r="E118" i="2"/>
  <c r="G92" i="2"/>
  <c r="Y74" i="2"/>
  <c r="A42" i="2"/>
  <c r="A39" i="2"/>
  <c r="A38" i="2"/>
  <c r="A35" i="2"/>
  <c r="A32" i="2"/>
  <c r="A31" i="2"/>
  <c r="A30" i="2"/>
  <c r="A24" i="2"/>
  <c r="A23" i="2"/>
  <c r="A22" i="2"/>
  <c r="A21" i="2"/>
  <c r="A20" i="2"/>
  <c r="A17" i="2"/>
  <c r="A16" i="2"/>
  <c r="A13" i="2"/>
  <c r="AG9" i="2"/>
  <c r="C100" i="28"/>
  <c r="C99" i="28"/>
  <c r="C98" i="28"/>
  <c r="Q98" i="28" s="1"/>
  <c r="H75" i="37" s="1"/>
  <c r="C97" i="28"/>
  <c r="Q97" i="28" s="1"/>
  <c r="H74" i="37" s="1"/>
  <c r="I90" i="28"/>
  <c r="F90" i="28" a="1"/>
  <c r="F90" i="28" s="1"/>
  <c r="D90" i="28"/>
  <c r="I89" i="28"/>
  <c r="F89" i="28"/>
  <c r="D89" i="28" a="1"/>
  <c r="D89" i="28" s="1"/>
  <c r="I82" i="28"/>
  <c r="F82" i="28"/>
  <c r="D82" i="28"/>
  <c r="I81" i="28"/>
  <c r="F81" i="28"/>
  <c r="D81" i="28" a="1"/>
  <c r="D81" i="28" s="1"/>
  <c r="E80" i="28"/>
  <c r="I79" i="28"/>
  <c r="AH71" i="28"/>
  <c r="G71" i="28"/>
  <c r="D71" i="28"/>
  <c r="AM71" i="28" s="1"/>
  <c r="AH70" i="28"/>
  <c r="G70" i="28"/>
  <c r="D70" i="28"/>
  <c r="AM70" i="28" s="1"/>
  <c r="AH69" i="28"/>
  <c r="G69" i="28"/>
  <c r="D69" i="28"/>
  <c r="G68" i="28"/>
  <c r="D68" i="28"/>
  <c r="G67" i="28"/>
  <c r="D67" i="28"/>
  <c r="AM67" i="28" s="1"/>
  <c r="AH66" i="28"/>
  <c r="G66" i="28"/>
  <c r="D66" i="28"/>
  <c r="AM66" i="28" s="1"/>
  <c r="AH65" i="28"/>
  <c r="G65" i="28"/>
  <c r="D65" i="28"/>
  <c r="AH64" i="28"/>
  <c r="G64" i="28"/>
  <c r="D64" i="28"/>
  <c r="AH63" i="28"/>
  <c r="G63" i="28"/>
  <c r="D63" i="28"/>
  <c r="AM63" i="28" s="1"/>
  <c r="G62" i="28"/>
  <c r="D62" i="28"/>
  <c r="AM62" i="28" s="1"/>
  <c r="G61" i="28"/>
  <c r="D61" i="28"/>
  <c r="AH60" i="28"/>
  <c r="G60" i="28"/>
  <c r="D60" i="28"/>
  <c r="AH59" i="28"/>
  <c r="G59" i="28"/>
  <c r="D59" i="28"/>
  <c r="AM59" i="28" s="1"/>
  <c r="AH58" i="28"/>
  <c r="G58" i="28"/>
  <c r="D58" i="28"/>
  <c r="AM58" i="28" s="1"/>
  <c r="AH57" i="28"/>
  <c r="G57" i="28"/>
  <c r="D57" i="28"/>
  <c r="G56" i="28"/>
  <c r="D56" i="28"/>
  <c r="G55" i="28"/>
  <c r="D55" i="28"/>
  <c r="AM55" i="28" s="1"/>
  <c r="AH54" i="28"/>
  <c r="G54" i="28"/>
  <c r="D54" i="28"/>
  <c r="AM54" i="28" s="1"/>
  <c r="AH53" i="28"/>
  <c r="D53" i="28"/>
  <c r="AH52" i="28"/>
  <c r="D52" i="28"/>
  <c r="AH51" i="28"/>
  <c r="D51" i="28"/>
  <c r="D50" i="28"/>
  <c r="D49" i="28"/>
  <c r="AH48" i="28"/>
  <c r="D48" i="28"/>
  <c r="AH47" i="28"/>
  <c r="D47" i="28"/>
  <c r="AH46" i="28"/>
  <c r="D46" i="28"/>
  <c r="AH45" i="28"/>
  <c r="D45" i="28"/>
  <c r="D44" i="28"/>
  <c r="D43" i="28"/>
  <c r="AH42" i="28"/>
  <c r="D42" i="28"/>
  <c r="AH41" i="28"/>
  <c r="AH40" i="28"/>
  <c r="AH39" i="28"/>
  <c r="AH36" i="28"/>
  <c r="AN29" i="28"/>
  <c r="M29" i="28"/>
  <c r="J28" i="28"/>
  <c r="AN27" i="28"/>
  <c r="J27" i="28"/>
  <c r="M26" i="28"/>
  <c r="D25" i="28"/>
  <c r="M25" i="28" s="1"/>
  <c r="M24" i="28"/>
  <c r="M23" i="28"/>
  <c r="M22" i="28"/>
  <c r="M21" i="28"/>
  <c r="M20" i="28"/>
  <c r="I1" i="28"/>
  <c r="C82" i="1"/>
  <c r="C81" i="1"/>
  <c r="C80" i="1"/>
  <c r="C79" i="1"/>
  <c r="C78" i="1"/>
  <c r="C77" i="1"/>
  <c r="C76" i="1"/>
  <c r="C75" i="1"/>
  <c r="J73" i="1"/>
  <c r="J70" i="1"/>
  <c r="J69" i="1"/>
  <c r="J68" i="1"/>
  <c r="J67" i="1"/>
  <c r="J66" i="1"/>
  <c r="G66" i="1" a="1"/>
  <c r="G66" i="1" s="1"/>
  <c r="AL86" i="2" s="1"/>
  <c r="F66" i="1" a="1"/>
  <c r="F66" i="1" s="1"/>
  <c r="J65" i="1"/>
  <c r="G65" i="1" a="1"/>
  <c r="G65" i="1" s="1"/>
  <c r="AJ86" i="2" s="1"/>
  <c r="F65" i="1" a="1"/>
  <c r="F65" i="1" s="1"/>
  <c r="J64" i="1"/>
  <c r="G64" i="1" a="1"/>
  <c r="G64" i="1" s="1"/>
  <c r="AH86" i="2" s="1"/>
  <c r="F64" i="1" a="1"/>
  <c r="F64" i="1" s="1"/>
  <c r="J63" i="1"/>
  <c r="G63" i="1" a="1"/>
  <c r="G63" i="1" s="1"/>
  <c r="AF86" i="2" s="1"/>
  <c r="F63" i="1" a="1"/>
  <c r="F63" i="1" s="1"/>
  <c r="J62" i="1"/>
  <c r="G62" i="1" a="1"/>
  <c r="G62" i="1" s="1"/>
  <c r="AD86" i="2" s="1"/>
  <c r="F62" i="1" a="1"/>
  <c r="F62" i="1" s="1"/>
  <c r="J61" i="1"/>
  <c r="G61" i="1" a="1"/>
  <c r="G61" i="1" s="1"/>
  <c r="AB86" i="2" s="1"/>
  <c r="F61" i="1" a="1"/>
  <c r="F61" i="1" s="1"/>
  <c r="J60" i="1"/>
  <c r="J59" i="1"/>
  <c r="J58" i="1"/>
  <c r="J57" i="1"/>
  <c r="J56" i="1"/>
  <c r="J55" i="1"/>
  <c r="J54" i="1"/>
  <c r="J53" i="1"/>
  <c r="J52" i="1"/>
  <c r="J1" i="1"/>
  <c r="B1" i="31" s="1"/>
  <c r="B9" i="11"/>
  <c r="B8" i="11"/>
  <c r="B7" i="11"/>
  <c r="B6" i="11"/>
  <c r="B5" i="11"/>
  <c r="B4" i="11"/>
  <c r="B3" i="11"/>
  <c r="AT23" i="33"/>
  <c r="AR23" i="33"/>
  <c r="AQ23" i="33"/>
  <c r="AO23" i="33"/>
  <c r="AT22" i="33"/>
  <c r="AR22" i="33"/>
  <c r="AQ22" i="33"/>
  <c r="AO22" i="33"/>
  <c r="AT21" i="33"/>
  <c r="AR21" i="33"/>
  <c r="AQ21" i="33"/>
  <c r="AO21" i="33"/>
  <c r="AT20" i="33"/>
  <c r="AR20" i="33"/>
  <c r="AQ20" i="33"/>
  <c r="AO20" i="33"/>
  <c r="AT19" i="33"/>
  <c r="AR19" i="33"/>
  <c r="AQ19" i="33"/>
  <c r="AO19" i="33"/>
  <c r="AT17" i="33"/>
  <c r="AR17" i="33"/>
  <c r="AQ17" i="33"/>
  <c r="AO17" i="33"/>
  <c r="S1" i="32"/>
  <c r="D1" i="31" a="1"/>
  <c r="D36" i="28" l="1"/>
  <c r="B50" i="8"/>
  <c r="D1" i="31"/>
  <c r="G53" i="5"/>
  <c r="C53" i="5" s="1"/>
  <c r="G49" i="5"/>
  <c r="C49" i="5" s="1"/>
  <c r="C50" i="5"/>
  <c r="C52" i="5"/>
  <c r="C51" i="5"/>
  <c r="G54" i="5" a="1"/>
  <c r="G54" i="5" s="1"/>
  <c r="C54" i="5" s="1"/>
  <c r="H88" i="5"/>
  <c r="C88" i="5" s="1"/>
  <c r="H87" i="5"/>
  <c r="C87" i="5" s="1"/>
  <c r="H83" i="5"/>
  <c r="C83" i="5" s="1"/>
  <c r="H82" i="5"/>
  <c r="C82" i="5" s="1"/>
  <c r="H81" i="5"/>
  <c r="C81" i="5" s="1"/>
  <c r="H77" i="5"/>
  <c r="C77" i="5" s="1"/>
  <c r="H76" i="5"/>
  <c r="C76" i="5" s="1"/>
  <c r="H75" i="5"/>
  <c r="C75" i="5" s="1"/>
  <c r="H68" i="5"/>
  <c r="C68" i="5" s="1"/>
  <c r="H73" i="5"/>
  <c r="C73" i="5" s="1"/>
  <c r="H72" i="5"/>
  <c r="C72" i="5" s="1"/>
  <c r="H65" i="5"/>
  <c r="C65" i="5" s="1"/>
  <c r="H64" i="5"/>
  <c r="C64" i="5" s="1"/>
  <c r="G22" i="5" a="1"/>
  <c r="G22" i="5" s="1"/>
  <c r="C22" i="5" s="1"/>
  <c r="G21" i="5"/>
  <c r="C21" i="5" s="1"/>
  <c r="G15" i="5"/>
  <c r="C15" i="5" s="1"/>
  <c r="H86" i="5"/>
  <c r="C86" i="5" s="1"/>
  <c r="H85" i="5"/>
  <c r="C85" i="5" s="1"/>
  <c r="H84" i="5"/>
  <c r="C84" i="5" s="1"/>
  <c r="H80" i="5"/>
  <c r="C80" i="5" s="1"/>
  <c r="H79" i="5"/>
  <c r="C79" i="5" s="1"/>
  <c r="H78" i="5"/>
  <c r="C78" i="5" s="1"/>
  <c r="H74" i="5"/>
  <c r="C74" i="5" s="1"/>
  <c r="H70" i="5"/>
  <c r="C70" i="5" s="1"/>
  <c r="H69" i="5"/>
  <c r="C69" i="5" s="1"/>
  <c r="H71" i="5"/>
  <c r="C71" i="5" s="1"/>
  <c r="H67" i="5"/>
  <c r="C67" i="5" s="1"/>
  <c r="H66" i="5"/>
  <c r="C66" i="5" s="1"/>
  <c r="G16" i="5" a="1"/>
  <c r="G16" i="5" s="1"/>
  <c r="C16" i="5" s="1"/>
  <c r="I268" i="5"/>
  <c r="C268" i="5" s="1"/>
  <c r="I250" i="5"/>
  <c r="C250" i="5" s="1"/>
  <c r="I259" i="5"/>
  <c r="C259" i="5" s="1"/>
  <c r="I242" i="5"/>
  <c r="C242" i="5" s="1"/>
  <c r="I262" i="5"/>
  <c r="C262" i="5" s="1"/>
  <c r="I292" i="5"/>
  <c r="C292" i="5" s="1"/>
  <c r="I282" i="5"/>
  <c r="C282" i="5" s="1"/>
  <c r="I273" i="5"/>
  <c r="C273" i="5" s="1"/>
  <c r="I265" i="5"/>
  <c r="C265" i="5" s="1"/>
  <c r="I247" i="5"/>
  <c r="C247" i="5" s="1"/>
  <c r="I256" i="5"/>
  <c r="C256" i="5" s="1"/>
  <c r="I239" i="5"/>
  <c r="C239" i="5" s="1"/>
  <c r="I284" i="5"/>
  <c r="C284" i="5" s="1"/>
  <c r="I286" i="5"/>
  <c r="C286" i="5" s="1"/>
  <c r="I281" i="5"/>
  <c r="C281" i="5" s="1"/>
  <c r="I272" i="5"/>
  <c r="C272" i="5" s="1"/>
  <c r="I264" i="5"/>
  <c r="C264" i="5" s="1"/>
  <c r="I246" i="5"/>
  <c r="C246" i="5" s="1"/>
  <c r="I255" i="5"/>
  <c r="C255" i="5" s="1"/>
  <c r="I238" i="5"/>
  <c r="C238" i="5" s="1"/>
  <c r="I293" i="5"/>
  <c r="C293" i="5" s="1"/>
  <c r="I274" i="5"/>
  <c r="C274" i="5" s="1"/>
  <c r="I236" i="5"/>
  <c r="C236" i="5" s="1"/>
  <c r="I294" i="5"/>
  <c r="C294" i="5" s="1"/>
  <c r="I285" i="5"/>
  <c r="C285" i="5" s="1"/>
  <c r="I280" i="5"/>
  <c r="C280" i="5" s="1"/>
  <c r="I263" i="5"/>
  <c r="C263" i="5" s="1"/>
  <c r="I245" i="5"/>
  <c r="C245" i="5" s="1"/>
  <c r="I254" i="5"/>
  <c r="C254" i="5" s="1"/>
  <c r="I237" i="5"/>
  <c r="C237" i="5" s="1"/>
  <c r="I266" i="5"/>
  <c r="C266" i="5" s="1"/>
  <c r="I240" i="5"/>
  <c r="C240" i="5" s="1"/>
  <c r="I248" i="5"/>
  <c r="C248" i="5" s="1"/>
  <c r="I257" i="5"/>
  <c r="C257" i="5" s="1"/>
  <c r="I267" i="5"/>
  <c r="C267" i="5" s="1"/>
  <c r="I249" i="5"/>
  <c r="C249" i="5" s="1"/>
  <c r="I258" i="5"/>
  <c r="C258" i="5" s="1"/>
  <c r="I241" i="5"/>
  <c r="C241" i="5" s="1"/>
  <c r="N7" i="5"/>
  <c r="F679" i="10"/>
  <c r="J104" i="9"/>
  <c r="K104" i="9" s="1"/>
  <c r="M104" i="9" s="1"/>
  <c r="J103" i="9"/>
  <c r="L103" i="9" s="1"/>
  <c r="J101" i="9"/>
  <c r="K101" i="9" s="1"/>
  <c r="M101" i="9" s="1"/>
  <c r="J100" i="9"/>
  <c r="K100" i="9" s="1"/>
  <c r="M100" i="9" s="1"/>
  <c r="J19" i="9"/>
  <c r="K19" i="9" s="1"/>
  <c r="J20" i="9"/>
  <c r="K20" i="9" s="1"/>
  <c r="J61" i="9"/>
  <c r="K61" i="9" s="1"/>
  <c r="J17" i="9"/>
  <c r="K17" i="9" s="1"/>
  <c r="AM57" i="28"/>
  <c r="AM61" i="28"/>
  <c r="AM65" i="28"/>
  <c r="AM69" i="28"/>
  <c r="AM56" i="28"/>
  <c r="AM60" i="28"/>
  <c r="AM64" i="28"/>
  <c r="AM68" i="28"/>
  <c r="G44" i="28"/>
  <c r="AM44" i="28" s="1"/>
  <c r="G48" i="28"/>
  <c r="AM48" i="28" s="1"/>
  <c r="G50" i="28"/>
  <c r="AM50" i="28" s="1"/>
  <c r="G52" i="28"/>
  <c r="AM52" i="28" s="1"/>
  <c r="G43" i="28"/>
  <c r="AM43" i="28" s="1"/>
  <c r="G45" i="28"/>
  <c r="AM45" i="28" s="1"/>
  <c r="G47" i="28"/>
  <c r="AM47" i="28" s="1"/>
  <c r="G49" i="28"/>
  <c r="AM49" i="28" s="1"/>
  <c r="G51" i="28"/>
  <c r="AM51" i="28" s="1"/>
  <c r="G53" i="28"/>
  <c r="AM53" i="28" s="1"/>
  <c r="D199" i="2"/>
  <c r="D110" i="37" s="1"/>
  <c r="D200" i="2"/>
  <c r="D111" i="37" s="1"/>
  <c r="D198" i="2"/>
  <c r="D109" i="37" s="1"/>
  <c r="G42" i="28"/>
  <c r="AM42" i="28" s="1"/>
  <c r="G46" i="28"/>
  <c r="AM46" i="28" s="1"/>
  <c r="N18" i="8"/>
  <c r="B40" i="8"/>
  <c r="E81" i="28"/>
  <c r="E89" i="28"/>
  <c r="E82" i="28"/>
  <c r="Q6" i="8"/>
  <c r="R6" i="8" s="1"/>
  <c r="Q14" i="8"/>
  <c r="R14" i="8" s="1"/>
  <c r="Q11" i="8"/>
  <c r="R11" i="8" s="1"/>
  <c r="D41" i="28"/>
  <c r="Q7" i="8"/>
  <c r="R7" i="8" s="1"/>
  <c r="Q15" i="8"/>
  <c r="R15" i="8" s="1"/>
  <c r="Q9" i="8"/>
  <c r="R9" i="8" s="1"/>
  <c r="Q17" i="8"/>
  <c r="R17" i="8" s="1"/>
  <c r="M16" i="8"/>
  <c r="N16" i="8" s="1"/>
  <c r="M9" i="8"/>
  <c r="N9" i="8" s="1"/>
  <c r="M17" i="8"/>
  <c r="N17" i="8" s="1"/>
  <c r="M11" i="8"/>
  <c r="N11" i="8" s="1"/>
  <c r="M6" i="8"/>
  <c r="N6" i="8" s="1"/>
  <c r="M15" i="8"/>
  <c r="N15" i="8" s="1"/>
  <c r="M10" i="8"/>
  <c r="N10" i="8" s="1"/>
  <c r="M7" i="8"/>
  <c r="N7" i="8" s="1"/>
  <c r="M13" i="8"/>
  <c r="N13" i="8" s="1"/>
  <c r="M14" i="8"/>
  <c r="N14" i="8" s="1"/>
  <c r="M12" i="8"/>
  <c r="N12" i="8" s="1"/>
  <c r="M8" i="8"/>
  <c r="N8" i="8" s="1"/>
  <c r="Q8" i="8"/>
  <c r="R8" i="8" s="1"/>
  <c r="Q16" i="8"/>
  <c r="R16" i="8" s="1"/>
  <c r="Q13" i="8"/>
  <c r="R13" i="8" s="1"/>
  <c r="Q10" i="8"/>
  <c r="R10" i="8" s="1"/>
  <c r="Q12" i="8"/>
  <c r="R12" i="8" s="1"/>
  <c r="Q5" i="8"/>
  <c r="R5" i="8" s="1"/>
  <c r="AC25" i="28"/>
  <c r="X24" i="28"/>
  <c r="AH24" i="28"/>
  <c r="AH22" i="28"/>
  <c r="AR20" i="28"/>
  <c r="AM22" i="28"/>
  <c r="AC24" i="28"/>
  <c r="X23" i="28"/>
  <c r="X20" i="28"/>
  <c r="AM25" i="28"/>
  <c r="AH20" i="28"/>
  <c r="AC26" i="28"/>
  <c r="AH26" i="28"/>
  <c r="AC23" i="28"/>
  <c r="X22" i="28"/>
  <c r="AR25" i="28"/>
  <c r="AM26" i="28"/>
  <c r="AM24" i="28"/>
  <c r="AR26" i="28"/>
  <c r="AM20" i="28"/>
  <c r="AH25" i="28"/>
  <c r="AC22" i="28"/>
  <c r="X21" i="28"/>
  <c r="AC21" i="28"/>
  <c r="AR24" i="28"/>
  <c r="AC20" i="28"/>
  <c r="X26" i="28"/>
  <c r="AR22" i="28"/>
  <c r="X25" i="28"/>
  <c r="AC11" i="28"/>
  <c r="X10" i="28"/>
  <c r="X6" i="28"/>
  <c r="X13" i="28"/>
  <c r="AC13" i="28"/>
  <c r="AC10" i="28"/>
  <c r="X9" i="28"/>
  <c r="X11" i="28"/>
  <c r="AC9" i="28"/>
  <c r="X8" i="28"/>
  <c r="AC7" i="28"/>
  <c r="AC6" i="28"/>
  <c r="X12" i="28"/>
  <c r="AC12" i="28"/>
  <c r="AC8" i="28"/>
  <c r="X7" i="28"/>
  <c r="AR11" i="28"/>
  <c r="AH9" i="28"/>
  <c r="AM10" i="28"/>
  <c r="AM13" i="28"/>
  <c r="AR9" i="28"/>
  <c r="AH8" i="28"/>
  <c r="AM8" i="28"/>
  <c r="AR12" i="28"/>
  <c r="AH7" i="28"/>
  <c r="AM7" i="28"/>
  <c r="AH13" i="28"/>
  <c r="AM9" i="28"/>
  <c r="AM12" i="28"/>
  <c r="AH10" i="28"/>
  <c r="AR10" i="28"/>
  <c r="AH6" i="28"/>
  <c r="AM6" i="28"/>
  <c r="AH12" i="28"/>
  <c r="AH11" i="28"/>
  <c r="AR13" i="28"/>
  <c r="AM11" i="28"/>
  <c r="AR8" i="28"/>
  <c r="AR6" i="28"/>
  <c r="AR7" i="28"/>
  <c r="R53" i="28"/>
  <c r="AN53" i="28" s="1"/>
  <c r="W65" i="28"/>
  <c r="AO65" i="28" s="1"/>
  <c r="W41" i="28"/>
  <c r="AB53" i="28"/>
  <c r="AP53" i="28" s="1"/>
  <c r="AG53" i="28"/>
  <c r="AQ53" i="28" s="1"/>
  <c r="AL70" i="28"/>
  <c r="AR70" i="28" s="1"/>
  <c r="AL46" i="28"/>
  <c r="AR46" i="28" s="1"/>
  <c r="W53" i="28"/>
  <c r="AO53" i="28" s="1"/>
  <c r="AB65" i="28"/>
  <c r="AP65" i="28" s="1"/>
  <c r="AB41" i="28"/>
  <c r="AL58" i="28"/>
  <c r="AR58" i="28" s="1"/>
  <c r="R40" i="28"/>
  <c r="W52" i="28"/>
  <c r="AO52" i="28" s="1"/>
  <c r="AG64" i="28"/>
  <c r="AQ64" i="28" s="1"/>
  <c r="AL65" i="28"/>
  <c r="AR65" i="28" s="1"/>
  <c r="R71" i="28"/>
  <c r="AN71" i="28" s="1"/>
  <c r="AB47" i="28"/>
  <c r="AP47" i="28" s="1"/>
  <c r="R52" i="28"/>
  <c r="AN52" i="28" s="1"/>
  <c r="W64" i="28"/>
  <c r="AO64" i="28" s="1"/>
  <c r="W40" i="28"/>
  <c r="AB52" i="28"/>
  <c r="AP52" i="28" s="1"/>
  <c r="AG52" i="28"/>
  <c r="AQ52" i="28" s="1"/>
  <c r="AL53" i="28"/>
  <c r="AR53" i="28" s="1"/>
  <c r="AB71" i="28"/>
  <c r="AP71" i="28" s="1"/>
  <c r="AG59" i="28"/>
  <c r="AQ59" i="28" s="1"/>
  <c r="R59" i="28"/>
  <c r="AN59" i="28" s="1"/>
  <c r="W71" i="28"/>
  <c r="AO71" i="28" s="1"/>
  <c r="W47" i="28"/>
  <c r="AO47" i="28" s="1"/>
  <c r="AB59" i="28"/>
  <c r="AP59" i="28" s="1"/>
  <c r="AG71" i="28"/>
  <c r="AQ71" i="28" s="1"/>
  <c r="AG47" i="28"/>
  <c r="AQ47" i="28" s="1"/>
  <c r="AL52" i="28"/>
  <c r="AR52" i="28" s="1"/>
  <c r="AG41" i="28"/>
  <c r="R64" i="28"/>
  <c r="AN64" i="28" s="1"/>
  <c r="AB64" i="28"/>
  <c r="AP64" i="28" s="1"/>
  <c r="AB40" i="28"/>
  <c r="AL41" i="28"/>
  <c r="W59" i="28"/>
  <c r="AO59" i="28" s="1"/>
  <c r="AL64" i="28"/>
  <c r="AR64" i="28" s="1"/>
  <c r="AL40" i="28"/>
  <c r="R70" i="28"/>
  <c r="AN70" i="28" s="1"/>
  <c r="AG58" i="28"/>
  <c r="AQ58" i="28" s="1"/>
  <c r="AL71" i="28"/>
  <c r="AR71" i="28" s="1"/>
  <c r="AL47" i="28"/>
  <c r="AR47" i="28" s="1"/>
  <c r="R58" i="28"/>
  <c r="AN58" i="28" s="1"/>
  <c r="W70" i="28"/>
  <c r="AO70" i="28" s="1"/>
  <c r="W46" i="28"/>
  <c r="AO46" i="28" s="1"/>
  <c r="AB58" i="28"/>
  <c r="AP58" i="28" s="1"/>
  <c r="AG70" i="28"/>
  <c r="AQ70" i="28" s="1"/>
  <c r="AG46" i="28"/>
  <c r="AQ46" i="28" s="1"/>
  <c r="AL59" i="28"/>
  <c r="AR59" i="28" s="1"/>
  <c r="R65" i="28"/>
  <c r="AN65" i="28" s="1"/>
  <c r="R41" i="28"/>
  <c r="AG65" i="28"/>
  <c r="AQ65" i="28" s="1"/>
  <c r="AG40" i="28"/>
  <c r="R47" i="28"/>
  <c r="AN47" i="28" s="1"/>
  <c r="R46" i="28"/>
  <c r="AN46" i="28" s="1"/>
  <c r="W58" i="28"/>
  <c r="AO58" i="28" s="1"/>
  <c r="AB70" i="28"/>
  <c r="AP70" i="28" s="1"/>
  <c r="AB46" i="28"/>
  <c r="AP46" i="28" s="1"/>
  <c r="T82" i="28"/>
  <c r="T90" i="28"/>
  <c r="AR29" i="28"/>
  <c r="AR21" i="28"/>
  <c r="AM23" i="28"/>
  <c r="AH27" i="28"/>
  <c r="AM27" i="28"/>
  <c r="X28" i="28"/>
  <c r="X27" i="28"/>
  <c r="AR28" i="28"/>
  <c r="AC29" i="28"/>
  <c r="X29" i="28"/>
  <c r="AH21" i="28"/>
  <c r="AH28" i="28"/>
  <c r="AR27" i="28"/>
  <c r="AM29" i="28"/>
  <c r="AM21" i="28"/>
  <c r="AC28" i="28"/>
  <c r="AH29" i="28"/>
  <c r="AM28" i="28"/>
  <c r="AC27" i="28"/>
  <c r="AH23" i="28"/>
  <c r="AR23" i="28"/>
  <c r="R69" i="28"/>
  <c r="AN69" i="28" s="1"/>
  <c r="R61" i="28"/>
  <c r="AN61" i="28" s="1"/>
  <c r="R45" i="28"/>
  <c r="AN45" i="28" s="1"/>
  <c r="R37" i="28"/>
  <c r="W57" i="28"/>
  <c r="AO57" i="28" s="1"/>
  <c r="W49" i="28"/>
  <c r="AO49" i="28" s="1"/>
  <c r="AB69" i="28"/>
  <c r="AP69" i="28" s="1"/>
  <c r="AB61" i="28"/>
  <c r="AP61" i="28" s="1"/>
  <c r="AB45" i="28"/>
  <c r="AP45" i="28" s="1"/>
  <c r="AB37" i="28"/>
  <c r="AG67" i="28"/>
  <c r="AQ67" i="28" s="1"/>
  <c r="AG55" i="28"/>
  <c r="AQ55" i="28" s="1"/>
  <c r="AG43" i="28"/>
  <c r="AQ43" i="28" s="1"/>
  <c r="AL62" i="28"/>
  <c r="AR62" i="28" s="1"/>
  <c r="AL54" i="28"/>
  <c r="AR54" i="28" s="1"/>
  <c r="AL38" i="28"/>
  <c r="AD82" i="28"/>
  <c r="R49" i="28"/>
  <c r="AN49" i="28" s="1"/>
  <c r="AG49" i="28"/>
  <c r="AQ49" i="28" s="1"/>
  <c r="Y82" i="28"/>
  <c r="AB56" i="28"/>
  <c r="AP56" i="28" s="1"/>
  <c r="AG36" i="28"/>
  <c r="R39" i="28"/>
  <c r="W51" i="28"/>
  <c r="AO51" i="28" s="1"/>
  <c r="AG57" i="28"/>
  <c r="AQ57" i="28" s="1"/>
  <c r="AL36" i="28"/>
  <c r="R68" i="28"/>
  <c r="AN68" i="28" s="1"/>
  <c r="R60" i="28"/>
  <c r="AN60" i="28" s="1"/>
  <c r="R44" i="28"/>
  <c r="AN44" i="28" s="1"/>
  <c r="R36" i="28"/>
  <c r="W56" i="28"/>
  <c r="AO56" i="28" s="1"/>
  <c r="W48" i="28"/>
  <c r="AO48" i="28" s="1"/>
  <c r="AB68" i="28"/>
  <c r="AP68" i="28" s="1"/>
  <c r="AB60" i="28"/>
  <c r="AP60" i="28" s="1"/>
  <c r="AB44" i="28"/>
  <c r="AP44" i="28" s="1"/>
  <c r="AB36" i="28"/>
  <c r="AG66" i="28"/>
  <c r="AQ66" i="28" s="1"/>
  <c r="AG54" i="28"/>
  <c r="AQ54" i="28" s="1"/>
  <c r="AG42" i="28"/>
  <c r="AQ42" i="28" s="1"/>
  <c r="AL69" i="28"/>
  <c r="AR69" i="28" s="1"/>
  <c r="AL61" i="28"/>
  <c r="AR61" i="28" s="1"/>
  <c r="AL45" i="28"/>
  <c r="AR45" i="28" s="1"/>
  <c r="AL37" i="28"/>
  <c r="W61" i="28"/>
  <c r="AO61" i="28" s="1"/>
  <c r="AG61" i="28"/>
  <c r="AQ61" i="28" s="1"/>
  <c r="AL66" i="28"/>
  <c r="AR66" i="28" s="1"/>
  <c r="R56" i="28"/>
  <c r="AN56" i="28" s="1"/>
  <c r="W36" i="28"/>
  <c r="AG60" i="28"/>
  <c r="AQ60" i="28" s="1"/>
  <c r="AL49" i="28"/>
  <c r="AR49" i="28" s="1"/>
  <c r="R63" i="28"/>
  <c r="AN63" i="28" s="1"/>
  <c r="AL56" i="28"/>
  <c r="AR56" i="28" s="1"/>
  <c r="R38" i="28"/>
  <c r="W50" i="28"/>
  <c r="AO50" i="28" s="1"/>
  <c r="AB62" i="28"/>
  <c r="AP62" i="28" s="1"/>
  <c r="AB38" i="28"/>
  <c r="AG56" i="28"/>
  <c r="AQ56" i="28" s="1"/>
  <c r="AL63" i="28"/>
  <c r="AR63" i="28" s="1"/>
  <c r="Y90" i="28"/>
  <c r="R67" i="28"/>
  <c r="AN67" i="28" s="1"/>
  <c r="R51" i="28"/>
  <c r="AN51" i="28" s="1"/>
  <c r="R43" i="28"/>
  <c r="AN43" i="28" s="1"/>
  <c r="W63" i="28"/>
  <c r="AO63" i="28" s="1"/>
  <c r="W55" i="28"/>
  <c r="AO55" i="28" s="1"/>
  <c r="W39" i="28"/>
  <c r="AB67" i="28"/>
  <c r="AP67" i="28" s="1"/>
  <c r="AB51" i="28"/>
  <c r="AP51" i="28" s="1"/>
  <c r="AB43" i="28"/>
  <c r="AP43" i="28" s="1"/>
  <c r="AG63" i="28"/>
  <c r="AQ63" i="28" s="1"/>
  <c r="AG51" i="28"/>
  <c r="AQ51" i="28" s="1"/>
  <c r="AG39" i="28"/>
  <c r="AL68" i="28"/>
  <c r="AR68" i="28" s="1"/>
  <c r="AL60" i="28"/>
  <c r="AR60" i="28" s="1"/>
  <c r="AL44" i="28"/>
  <c r="AR44" i="28" s="1"/>
  <c r="R57" i="28"/>
  <c r="AN57" i="28" s="1"/>
  <c r="W69" i="28"/>
  <c r="AO69" i="28" s="1"/>
  <c r="W37" i="28"/>
  <c r="AB57" i="28"/>
  <c r="AP57" i="28" s="1"/>
  <c r="AL50" i="28"/>
  <c r="AR50" i="28" s="1"/>
  <c r="W60" i="28"/>
  <c r="AO60" i="28" s="1"/>
  <c r="AG48" i="28"/>
  <c r="AQ48" i="28" s="1"/>
  <c r="R55" i="28"/>
  <c r="AN55" i="28" s="1"/>
  <c r="AB63" i="28"/>
  <c r="AP63" i="28" s="1"/>
  <c r="AB39" i="28"/>
  <c r="AG45" i="28"/>
  <c r="AQ45" i="28" s="1"/>
  <c r="R54" i="28"/>
  <c r="AN54" i="28" s="1"/>
  <c r="W66" i="28"/>
  <c r="AO66" i="28" s="1"/>
  <c r="W42" i="28"/>
  <c r="AO42" i="28" s="1"/>
  <c r="AB54" i="28"/>
  <c r="AP54" i="28" s="1"/>
  <c r="AG44" i="28"/>
  <c r="AQ44" i="28" s="1"/>
  <c r="AD90" i="28"/>
  <c r="R66" i="28"/>
  <c r="AN66" i="28" s="1"/>
  <c r="R50" i="28"/>
  <c r="AN50" i="28" s="1"/>
  <c r="R42" i="28"/>
  <c r="AN42" i="28" s="1"/>
  <c r="W62" i="28"/>
  <c r="AO62" i="28" s="1"/>
  <c r="W54" i="28"/>
  <c r="AO54" i="28" s="1"/>
  <c r="W38" i="28"/>
  <c r="AB66" i="28"/>
  <c r="AP66" i="28" s="1"/>
  <c r="AB50" i="28"/>
  <c r="AP50" i="28" s="1"/>
  <c r="AB42" i="28"/>
  <c r="AP42" i="28" s="1"/>
  <c r="AG62" i="28"/>
  <c r="AQ62" i="28" s="1"/>
  <c r="AG50" i="28"/>
  <c r="AQ50" i="28" s="1"/>
  <c r="AG38" i="28"/>
  <c r="AL67" i="28"/>
  <c r="AR67" i="28" s="1"/>
  <c r="AL51" i="28"/>
  <c r="AR51" i="28" s="1"/>
  <c r="AL43" i="28"/>
  <c r="AR43" i="28" s="1"/>
  <c r="W45" i="28"/>
  <c r="AO45" i="28" s="1"/>
  <c r="AB49" i="28"/>
  <c r="AP49" i="28" s="1"/>
  <c r="AG37" i="28"/>
  <c r="AL42" i="28"/>
  <c r="AR42" i="28" s="1"/>
  <c r="R48" i="28"/>
  <c r="AN48" i="28" s="1"/>
  <c r="W68" i="28"/>
  <c r="AO68" i="28" s="1"/>
  <c r="W44" i="28"/>
  <c r="AO44" i="28" s="1"/>
  <c r="AB48" i="28"/>
  <c r="AP48" i="28" s="1"/>
  <c r="AL57" i="28"/>
  <c r="AR57" i="28" s="1"/>
  <c r="W67" i="28"/>
  <c r="AO67" i="28" s="1"/>
  <c r="W43" i="28"/>
  <c r="AO43" i="28" s="1"/>
  <c r="AB55" i="28"/>
  <c r="AP55" i="28" s="1"/>
  <c r="AG69" i="28"/>
  <c r="AQ69" i="28" s="1"/>
  <c r="AL48" i="28"/>
  <c r="AR48" i="28" s="1"/>
  <c r="R62" i="28"/>
  <c r="AN62" i="28" s="1"/>
  <c r="AG68" i="28"/>
  <c r="AQ68" i="28" s="1"/>
  <c r="AL55" i="28"/>
  <c r="AR55" i="28" s="1"/>
  <c r="AL39" i="28"/>
  <c r="J10" i="9"/>
  <c r="K10" i="9" s="1"/>
  <c r="J18" i="9"/>
  <c r="K18" i="9" s="1"/>
  <c r="J28" i="9"/>
  <c r="K28" i="9" s="1"/>
  <c r="J69" i="9"/>
  <c r="K69" i="9" s="1"/>
  <c r="J77" i="9"/>
  <c r="K77" i="9" s="1"/>
  <c r="J109" i="9"/>
  <c r="K109" i="9" s="1"/>
  <c r="J99" i="9"/>
  <c r="K99" i="9" s="1"/>
  <c r="J14" i="9"/>
  <c r="K14" i="9" s="1"/>
  <c r="J31" i="9"/>
  <c r="K31" i="9" s="1"/>
  <c r="J38" i="9"/>
  <c r="K38" i="9" s="1"/>
  <c r="J53" i="9"/>
  <c r="K53" i="9" s="1"/>
  <c r="J95" i="9"/>
  <c r="K95" i="9" s="1"/>
  <c r="J102" i="9"/>
  <c r="K102" i="9" s="1"/>
  <c r="J153" i="9"/>
  <c r="K153" i="9" s="1"/>
  <c r="J194" i="9"/>
  <c r="K194" i="9" s="1"/>
  <c r="J27" i="9"/>
  <c r="K27" i="9" s="1"/>
  <c r="J57" i="9"/>
  <c r="K57" i="9" s="1"/>
  <c r="K13" i="9"/>
  <c r="J15" i="9"/>
  <c r="K15" i="9" s="1"/>
  <c r="J24" i="9"/>
  <c r="K24" i="9" s="1"/>
  <c r="J32" i="9"/>
  <c r="K32" i="9" s="1"/>
  <c r="J72" i="9"/>
  <c r="K72" i="9" s="1"/>
  <c r="J119" i="9"/>
  <c r="K119" i="9" s="1"/>
  <c r="J195" i="9"/>
  <c r="K195" i="9" s="1"/>
  <c r="J60" i="9"/>
  <c r="K60" i="9" s="1"/>
  <c r="J120" i="9"/>
  <c r="K120" i="9" s="1"/>
  <c r="J137" i="9"/>
  <c r="K137" i="9" s="1"/>
  <c r="J179" i="9"/>
  <c r="K179" i="9" s="1"/>
  <c r="J34" i="9"/>
  <c r="K34" i="9" s="1"/>
  <c r="J114" i="9"/>
  <c r="K114" i="9" s="1"/>
  <c r="J30" i="9"/>
  <c r="K30" i="9" s="1"/>
  <c r="J9" i="9"/>
  <c r="K9" i="9" s="1"/>
  <c r="J26" i="9"/>
  <c r="K26" i="9" s="1"/>
  <c r="J33" i="9"/>
  <c r="K33" i="9" s="1"/>
  <c r="J121" i="9"/>
  <c r="K121" i="9" s="1"/>
  <c r="J138" i="9"/>
  <c r="K138" i="9" s="1"/>
  <c r="J156" i="9"/>
  <c r="K156" i="9" s="1"/>
  <c r="J180" i="9"/>
  <c r="K180" i="9" s="1"/>
  <c r="G82" i="28"/>
  <c r="D21" i="6"/>
  <c r="D8" i="6"/>
  <c r="D22" i="6"/>
  <c r="I279" i="5" s="1"/>
  <c r="D9" i="6"/>
  <c r="I291" i="5"/>
  <c r="I290" i="5"/>
  <c r="I289" i="5"/>
  <c r="I232" i="5"/>
  <c r="C45" i="5"/>
  <c r="G9" i="5"/>
  <c r="H62" i="5"/>
  <c r="G44" i="5" a="1"/>
  <c r="G44" i="5" s="1"/>
  <c r="G28" i="5" a="1"/>
  <c r="G28" i="5" s="1"/>
  <c r="H63" i="5"/>
  <c r="G43" i="5"/>
  <c r="G27" i="5"/>
  <c r="C46" i="5"/>
  <c r="G34" i="5" a="1"/>
  <c r="G34" i="5" s="1"/>
  <c r="G33" i="5"/>
  <c r="G48" i="5" a="1"/>
  <c r="G48" i="5" s="1"/>
  <c r="C48" i="5" s="1"/>
  <c r="C47" i="5"/>
  <c r="G39" i="5"/>
  <c r="G38" i="5" a="1"/>
  <c r="G38" i="5" s="1"/>
  <c r="G10" i="5" a="1"/>
  <c r="G10" i="5" s="1"/>
  <c r="I228" i="5"/>
  <c r="I227" i="5"/>
  <c r="I278" i="5"/>
  <c r="I277" i="5"/>
  <c r="I276" i="5"/>
  <c r="I275" i="5"/>
  <c r="I229" i="5"/>
  <c r="I231" i="5"/>
  <c r="I230" i="5"/>
  <c r="N6" i="5"/>
  <c r="D37" i="28"/>
  <c r="D38" i="28"/>
  <c r="D39" i="28"/>
  <c r="D40" i="28"/>
  <c r="X12" i="8"/>
  <c r="P343" i="6"/>
  <c r="F343" i="6"/>
  <c r="H346" i="6"/>
  <c r="G343" i="6"/>
  <c r="O344" i="6"/>
  <c r="L346" i="6"/>
  <c r="I678" i="10"/>
  <c r="J681" i="10"/>
  <c r="K343" i="6"/>
  <c r="X22" i="8"/>
  <c r="J81" i="28"/>
  <c r="I682" i="10"/>
  <c r="H342" i="6"/>
  <c r="X20" i="8"/>
  <c r="M341" i="6"/>
  <c r="P342" i="6"/>
  <c r="F344" i="6"/>
  <c r="Q346" i="6"/>
  <c r="X17" i="8"/>
  <c r="J90" i="28"/>
  <c r="O343" i="6"/>
  <c r="I344" i="6"/>
  <c r="G346" i="6"/>
  <c r="H678" i="10"/>
  <c r="H682" i="10"/>
  <c r="H679" i="10"/>
  <c r="Q342" i="6"/>
  <c r="K344" i="6"/>
  <c r="E3188" i="31"/>
  <c r="J678" i="10"/>
  <c r="I679" i="10"/>
  <c r="M5" i="8"/>
  <c r="N5" i="8" s="1"/>
  <c r="G342" i="6"/>
  <c r="L343" i="6"/>
  <c r="E344" i="6"/>
  <c r="N344" i="6"/>
  <c r="N97" i="28"/>
  <c r="E74" i="37" s="1"/>
  <c r="R97" i="28"/>
  <c r="I74" i="37" s="1"/>
  <c r="R98" i="28"/>
  <c r="I75" i="37" s="1"/>
  <c r="D23" i="6"/>
  <c r="G81" i="28"/>
  <c r="H680" i="10"/>
  <c r="J680" i="10"/>
  <c r="I680" i="10"/>
  <c r="P345" i="6"/>
  <c r="L345" i="6"/>
  <c r="G345" i="6"/>
  <c r="O345" i="6"/>
  <c r="K345" i="6"/>
  <c r="F345" i="6"/>
  <c r="I345" i="6"/>
  <c r="Q345" i="6"/>
  <c r="H345" i="6"/>
  <c r="Q100" i="28"/>
  <c r="H77" i="37" s="1"/>
  <c r="R100" i="28"/>
  <c r="I77" i="37" s="1"/>
  <c r="R22" i="8"/>
  <c r="R21" i="8"/>
  <c r="N20" i="8"/>
  <c r="X18" i="8"/>
  <c r="X14" i="8"/>
  <c r="X10" i="8"/>
  <c r="X6" i="8"/>
  <c r="N21" i="8"/>
  <c r="X19" i="8"/>
  <c r="R18" i="8"/>
  <c r="X15" i="8"/>
  <c r="X11" i="8"/>
  <c r="X7" i="8"/>
  <c r="R19" i="8"/>
  <c r="J89" i="28"/>
  <c r="J82" i="28"/>
  <c r="X21" i="8"/>
  <c r="N19" i="8"/>
  <c r="X16" i="8"/>
  <c r="X13" i="8"/>
  <c r="X8" i="8"/>
  <c r="X5" i="8"/>
  <c r="D24" i="6"/>
  <c r="P341" i="6"/>
  <c r="L341" i="6"/>
  <c r="G341" i="6"/>
  <c r="O341" i="6"/>
  <c r="K341" i="6"/>
  <c r="F341" i="6"/>
  <c r="I341" i="6"/>
  <c r="Q341" i="6"/>
  <c r="H341" i="6"/>
  <c r="E345" i="6"/>
  <c r="B25" i="30"/>
  <c r="Q99" i="28"/>
  <c r="H76" i="37" s="1"/>
  <c r="R99" i="28"/>
  <c r="I76" i="37" s="1"/>
  <c r="N99" i="28"/>
  <c r="E76" i="37" s="1"/>
  <c r="G89" i="28"/>
  <c r="G90" i="28"/>
  <c r="N100" i="28"/>
  <c r="E77" i="37" s="1"/>
  <c r="X9" i="8"/>
  <c r="R20" i="8"/>
  <c r="D25" i="6"/>
  <c r="E341" i="6"/>
  <c r="M345" i="6"/>
  <c r="I681" i="10"/>
  <c r="H681" i="10"/>
  <c r="E3190" i="31"/>
  <c r="E3186" i="31"/>
  <c r="E3193" i="31"/>
  <c r="E3189" i="31"/>
  <c r="E3185" i="31"/>
  <c r="E3192" i="31"/>
  <c r="N98" i="28"/>
  <c r="E75" i="37" s="1"/>
  <c r="J682" i="10"/>
  <c r="N22" i="8"/>
  <c r="O342" i="6"/>
  <c r="K342" i="6"/>
  <c r="F342" i="6"/>
  <c r="N342" i="6"/>
  <c r="I342" i="6"/>
  <c r="E342" i="6"/>
  <c r="M342" i="6"/>
  <c r="O346" i="6"/>
  <c r="K346" i="6"/>
  <c r="F346" i="6"/>
  <c r="N346" i="6"/>
  <c r="I346" i="6"/>
  <c r="E346" i="6"/>
  <c r="M346" i="6"/>
  <c r="E2816" i="31"/>
  <c r="E3187" i="31"/>
  <c r="J679" i="10"/>
  <c r="H343" i="6"/>
  <c r="M343" i="6"/>
  <c r="Q343" i="6"/>
  <c r="G344" i="6"/>
  <c r="L344" i="6"/>
  <c r="P344" i="6"/>
  <c r="E343" i="6"/>
  <c r="I343" i="6"/>
  <c r="H344" i="6"/>
  <c r="M344" i="6"/>
  <c r="O97" i="28"/>
  <c r="F74" i="37" s="1"/>
  <c r="S97" i="28"/>
  <c r="J74" i="37" s="1"/>
  <c r="O98" i="28"/>
  <c r="F75" i="37" s="1"/>
  <c r="S98" i="28"/>
  <c r="J75" i="37" s="1"/>
  <c r="O99" i="28"/>
  <c r="F76" i="37" s="1"/>
  <c r="S99" i="28"/>
  <c r="J76" i="37" s="1"/>
  <c r="O100" i="28"/>
  <c r="F77" i="37" s="1"/>
  <c r="S100" i="28"/>
  <c r="J77" i="37" s="1"/>
  <c r="P97" i="28"/>
  <c r="G74" i="37" s="1"/>
  <c r="P98" i="28"/>
  <c r="G75" i="37" s="1"/>
  <c r="P99" i="28"/>
  <c r="G76" i="37" s="1"/>
  <c r="P100" i="28"/>
  <c r="G77" i="37" s="1"/>
  <c r="M97" i="28"/>
  <c r="D74" i="37" s="1"/>
  <c r="M98" i="28"/>
  <c r="D75" i="37" s="1"/>
  <c r="M99" i="28"/>
  <c r="D76" i="37" s="1"/>
  <c r="M100" i="28"/>
  <c r="D77" i="37" s="1"/>
  <c r="K103" i="9" l="1"/>
  <c r="M103" i="9" s="1"/>
  <c r="G36" i="28"/>
  <c r="G38" i="28"/>
  <c r="G37" i="28"/>
  <c r="G39" i="28"/>
  <c r="G40" i="28"/>
  <c r="G41" i="28"/>
  <c r="H324" i="5"/>
  <c r="C324" i="5" s="1"/>
  <c r="H312" i="5"/>
  <c r="C312" i="5" s="1"/>
  <c r="H318" i="5"/>
  <c r="C318" i="5" s="1"/>
  <c r="H302" i="5"/>
  <c r="C302" i="5" s="1"/>
  <c r="H343" i="5"/>
  <c r="C343" i="5" s="1"/>
  <c r="H335" i="5"/>
  <c r="C335" i="5" s="1"/>
  <c r="H315" i="5"/>
  <c r="C315" i="5" s="1"/>
  <c r="H313" i="5"/>
  <c r="C313" i="5" s="1"/>
  <c r="H321" i="5"/>
  <c r="C321" i="5" s="1"/>
  <c r="H319" i="5"/>
  <c r="C319" i="5" s="1"/>
  <c r="H317" i="5"/>
  <c r="C317" i="5" s="1"/>
  <c r="H305" i="5"/>
  <c r="C305" i="5" s="1"/>
  <c r="H303" i="5"/>
  <c r="C303" i="5" s="1"/>
  <c r="H311" i="5"/>
  <c r="C311" i="5" s="1"/>
  <c r="H309" i="5"/>
  <c r="C309" i="5" s="1"/>
  <c r="H307" i="5"/>
  <c r="C307" i="5" s="1"/>
  <c r="H325" i="5"/>
  <c r="C325" i="5" s="1"/>
  <c r="H346" i="5"/>
  <c r="C346" i="5" s="1"/>
  <c r="H344" i="5"/>
  <c r="C344" i="5" s="1"/>
  <c r="H342" i="5"/>
  <c r="C342" i="5" s="1"/>
  <c r="H340" i="5"/>
  <c r="C340" i="5" s="1"/>
  <c r="H338" i="5"/>
  <c r="C338" i="5" s="1"/>
  <c r="H336" i="5"/>
  <c r="C336" i="5" s="1"/>
  <c r="H334" i="5"/>
  <c r="C334" i="5" s="1"/>
  <c r="H323" i="5"/>
  <c r="C323" i="5" s="1"/>
  <c r="H314" i="5"/>
  <c r="C314" i="5" s="1"/>
  <c r="H306" i="5"/>
  <c r="C306" i="5" s="1"/>
  <c r="H308" i="5"/>
  <c r="C308" i="5" s="1"/>
  <c r="H341" i="5"/>
  <c r="C341" i="5" s="1"/>
  <c r="H332" i="5"/>
  <c r="C332" i="5" s="1"/>
  <c r="H333" i="5"/>
  <c r="C333" i="5" s="1"/>
  <c r="H316" i="5"/>
  <c r="C316" i="5" s="1"/>
  <c r="H320" i="5"/>
  <c r="C320" i="5" s="1"/>
  <c r="H304" i="5"/>
  <c r="C304" i="5" s="1"/>
  <c r="H310" i="5"/>
  <c r="C310" i="5" s="1"/>
  <c r="H326" i="5"/>
  <c r="C326" i="5" s="1"/>
  <c r="H345" i="5"/>
  <c r="C345" i="5" s="1"/>
  <c r="H339" i="5"/>
  <c r="C339" i="5" s="1"/>
  <c r="H337" i="5"/>
  <c r="C337" i="5" s="1"/>
  <c r="H322" i="5"/>
  <c r="C322" i="5" s="1"/>
  <c r="H181" i="5"/>
  <c r="C181" i="5" s="1"/>
  <c r="H177" i="5"/>
  <c r="C177" i="5" s="1"/>
  <c r="H173" i="5"/>
  <c r="C173" i="5" s="1"/>
  <c r="H152" i="5"/>
  <c r="C152" i="5" s="1"/>
  <c r="H148" i="5"/>
  <c r="C148" i="5" s="1"/>
  <c r="H144" i="5"/>
  <c r="C144" i="5" s="1"/>
  <c r="H166" i="5"/>
  <c r="C166" i="5" s="1"/>
  <c r="H162" i="5"/>
  <c r="C162" i="5" s="1"/>
  <c r="H158" i="5"/>
  <c r="C158" i="5" s="1"/>
  <c r="H170" i="5"/>
  <c r="C170" i="5" s="1"/>
  <c r="H194" i="5"/>
  <c r="C194" i="5" s="1"/>
  <c r="H180" i="5"/>
  <c r="C180" i="5" s="1"/>
  <c r="H176" i="5"/>
  <c r="C176" i="5" s="1"/>
  <c r="H172" i="5"/>
  <c r="C172" i="5" s="1"/>
  <c r="H155" i="5"/>
  <c r="C155" i="5" s="1"/>
  <c r="H151" i="5"/>
  <c r="C151" i="5" s="1"/>
  <c r="H147" i="5"/>
  <c r="C147" i="5" s="1"/>
  <c r="H165" i="5"/>
  <c r="C165" i="5" s="1"/>
  <c r="H161" i="5"/>
  <c r="C161" i="5" s="1"/>
  <c r="H157" i="5"/>
  <c r="C157" i="5" s="1"/>
  <c r="H174" i="5"/>
  <c r="C174" i="5" s="1"/>
  <c r="H153" i="5"/>
  <c r="C153" i="5" s="1"/>
  <c r="H149" i="5"/>
  <c r="C149" i="5" s="1"/>
  <c r="H145" i="5"/>
  <c r="C145" i="5" s="1"/>
  <c r="H167" i="5"/>
  <c r="C167" i="5" s="1"/>
  <c r="H163" i="5"/>
  <c r="C163" i="5" s="1"/>
  <c r="H159" i="5"/>
  <c r="C159" i="5" s="1"/>
  <c r="H193" i="5"/>
  <c r="C193" i="5" s="1"/>
  <c r="H179" i="5"/>
  <c r="C179" i="5" s="1"/>
  <c r="H175" i="5"/>
  <c r="C175" i="5" s="1"/>
  <c r="H171" i="5"/>
  <c r="C171" i="5" s="1"/>
  <c r="H154" i="5"/>
  <c r="C154" i="5" s="1"/>
  <c r="H150" i="5"/>
  <c r="C150" i="5" s="1"/>
  <c r="H146" i="5"/>
  <c r="C146" i="5" s="1"/>
  <c r="H168" i="5"/>
  <c r="C168" i="5" s="1"/>
  <c r="H164" i="5"/>
  <c r="C164" i="5" s="1"/>
  <c r="H160" i="5"/>
  <c r="C160" i="5" s="1"/>
  <c r="H178" i="5"/>
  <c r="C178" i="5" s="1"/>
  <c r="I235" i="5"/>
  <c r="C235" i="5" s="1"/>
  <c r="I253" i="5"/>
  <c r="C253" i="5" s="1"/>
  <c r="H156" i="5"/>
  <c r="C156" i="5" s="1"/>
  <c r="H169" i="5"/>
  <c r="C169" i="5" s="1"/>
  <c r="H182" i="5"/>
  <c r="C182" i="5" s="1"/>
  <c r="I269" i="5"/>
  <c r="C269" i="5" s="1"/>
  <c r="I251" i="5"/>
  <c r="C251" i="5" s="1"/>
  <c r="I260" i="5"/>
  <c r="C260" i="5" s="1"/>
  <c r="I243" i="5"/>
  <c r="C243" i="5" s="1"/>
  <c r="I261" i="5"/>
  <c r="C261" i="5" s="1"/>
  <c r="I244" i="5"/>
  <c r="C244" i="5" s="1"/>
  <c r="I270" i="5"/>
  <c r="C270" i="5" s="1"/>
  <c r="I252" i="5"/>
  <c r="C252" i="5" s="1"/>
  <c r="L104" i="9"/>
  <c r="L101" i="9"/>
  <c r="L100" i="9"/>
  <c r="N77" i="37"/>
  <c r="N75" i="37"/>
  <c r="N76" i="37"/>
  <c r="BC62" i="36"/>
  <c r="BC66" i="36"/>
  <c r="BC60" i="36"/>
  <c r="BC61" i="36"/>
  <c r="BC65" i="36"/>
  <c r="BC67" i="36"/>
  <c r="BC58" i="36"/>
  <c r="BC63" i="36"/>
  <c r="BC64" i="36"/>
  <c r="BC59" i="36"/>
  <c r="I234" i="5"/>
  <c r="C234" i="5" s="1"/>
  <c r="I233" i="5"/>
  <c r="C233" i="5" s="1"/>
  <c r="H328" i="5"/>
  <c r="C328" i="5" s="1"/>
  <c r="I283" i="5"/>
  <c r="C283" i="5" s="1"/>
  <c r="H330" i="5"/>
  <c r="C330" i="5" s="1"/>
  <c r="H327" i="5"/>
  <c r="C327" i="5" s="1"/>
  <c r="H329" i="5"/>
  <c r="C329" i="5" s="1"/>
  <c r="H331" i="5"/>
  <c r="C331" i="5" s="1"/>
  <c r="H206" i="5"/>
  <c r="C206" i="5" s="1"/>
  <c r="H205" i="5"/>
  <c r="C205" i="5" s="1"/>
  <c r="H204" i="5"/>
  <c r="C204" i="5" s="1"/>
  <c r="H203" i="5"/>
  <c r="C203" i="5" s="1"/>
  <c r="H187" i="5"/>
  <c r="C187" i="5" s="1"/>
  <c r="H143" i="5"/>
  <c r="C143" i="5" s="1"/>
  <c r="H214" i="5"/>
  <c r="C214" i="5" s="1"/>
  <c r="H219" i="5"/>
  <c r="C219" i="5" s="1"/>
  <c r="H218" i="5"/>
  <c r="C218" i="5" s="1"/>
  <c r="H217" i="5"/>
  <c r="C217" i="5" s="1"/>
  <c r="H216" i="5"/>
  <c r="C216" i="5" s="1"/>
  <c r="H215" i="5"/>
  <c r="C215" i="5" s="1"/>
  <c r="H192" i="5"/>
  <c r="C192" i="5" s="1"/>
  <c r="H137" i="5"/>
  <c r="C137" i="5" s="1"/>
  <c r="H191" i="5"/>
  <c r="C191" i="5" s="1"/>
  <c r="H136" i="5"/>
  <c r="C136" i="5" s="1"/>
  <c r="H183" i="5"/>
  <c r="C183" i="5" s="1"/>
  <c r="H135" i="5"/>
  <c r="C135" i="5" s="1"/>
  <c r="H142" i="5"/>
  <c r="C142" i="5" s="1"/>
  <c r="H134" i="5"/>
  <c r="C134" i="5" s="1"/>
  <c r="H184" i="5"/>
  <c r="C184" i="5" s="1"/>
  <c r="H141" i="5"/>
  <c r="C141" i="5" s="1"/>
  <c r="H133" i="5"/>
  <c r="C133" i="5" s="1"/>
  <c r="H195" i="5"/>
  <c r="C195" i="5" s="1"/>
  <c r="H140" i="5"/>
  <c r="C140" i="5" s="1"/>
  <c r="H132" i="5"/>
  <c r="C132" i="5" s="1"/>
  <c r="H139" i="5"/>
  <c r="C139" i="5" s="1"/>
  <c r="H131" i="5"/>
  <c r="C131" i="5" s="1"/>
  <c r="H138" i="5"/>
  <c r="C138" i="5" s="1"/>
  <c r="C7" i="5"/>
  <c r="C10" i="5"/>
  <c r="C27" i="5"/>
  <c r="C30" i="5"/>
  <c r="C43" i="5"/>
  <c r="C40" i="5"/>
  <c r="C8" i="5"/>
  <c r="C33" i="5"/>
  <c r="C36" i="5"/>
  <c r="C41" i="5"/>
  <c r="C6" i="5"/>
  <c r="C24" i="5"/>
  <c r="C11" i="5"/>
  <c r="C31" i="5"/>
  <c r="C34" i="5"/>
  <c r="C39" i="5"/>
  <c r="C42" i="5"/>
  <c r="C9" i="5"/>
  <c r="C32" i="5"/>
  <c r="C188" i="5"/>
  <c r="C105" i="5"/>
  <c r="C186" i="5"/>
  <c r="C228" i="5"/>
  <c r="C275" i="5"/>
  <c r="C279" i="5"/>
  <c r="C278" i="5"/>
  <c r="C289" i="5"/>
  <c r="C231" i="5"/>
  <c r="C229" i="5"/>
  <c r="C98" i="5"/>
  <c r="C99" i="5"/>
  <c r="C62" i="5"/>
  <c r="C291" i="5"/>
  <c r="C232" i="5"/>
  <c r="C287" i="5"/>
  <c r="C185" i="5"/>
  <c r="C230" i="5"/>
  <c r="C288" i="5"/>
  <c r="C107" i="5"/>
  <c r="C189" i="5"/>
  <c r="C276" i="5"/>
  <c r="C227" i="5"/>
  <c r="C277" i="5"/>
  <c r="C106" i="5"/>
  <c r="C290" i="5"/>
  <c r="C104" i="5"/>
  <c r="C123" i="5"/>
  <c r="D158" i="2" s="1"/>
  <c r="AP81" i="28"/>
  <c r="J71" i="37" s="1"/>
  <c r="C190" i="5"/>
  <c r="C63" i="5"/>
  <c r="B28" i="30"/>
  <c r="B27" i="30"/>
  <c r="R101" i="28"/>
  <c r="N101" i="28"/>
  <c r="E78" i="37" s="1"/>
  <c r="Q101" i="28"/>
  <c r="H78" i="37" s="1"/>
  <c r="C38" i="5"/>
  <c r="C29" i="5"/>
  <c r="C25" i="5"/>
  <c r="C26" i="5"/>
  <c r="C28" i="5"/>
  <c r="C44" i="5"/>
  <c r="C37" i="5"/>
  <c r="C35" i="5"/>
  <c r="H81" i="28"/>
  <c r="H90" i="28"/>
  <c r="H82" i="28"/>
  <c r="H89" i="28"/>
  <c r="B26" i="30"/>
  <c r="P101" i="28"/>
  <c r="G78" i="37" s="1"/>
  <c r="O101" i="28"/>
  <c r="F78" i="37" s="1"/>
  <c r="M101" i="28"/>
  <c r="S101" i="28"/>
  <c r="J78" i="37" s="1"/>
  <c r="B12" i="7"/>
  <c r="A54" i="5" l="1"/>
  <c r="A53" i="5"/>
  <c r="A52" i="5"/>
  <c r="A51" i="5"/>
  <c r="A50" i="5"/>
  <c r="A293" i="5"/>
  <c r="A294" i="5"/>
  <c r="A292" i="5"/>
  <c r="A346" i="5"/>
  <c r="A345" i="5"/>
  <c r="A344" i="5"/>
  <c r="A343" i="5"/>
  <c r="A342" i="5"/>
  <c r="A115" i="5"/>
  <c r="A114" i="5"/>
  <c r="A88" i="5"/>
  <c r="A86" i="5"/>
  <c r="A87" i="5"/>
  <c r="K14" i="5"/>
  <c r="C686" i="10"/>
  <c r="I42" i="11"/>
  <c r="AS24" i="33" s="1"/>
  <c r="I78" i="37"/>
  <c r="D42" i="11"/>
  <c r="AN24" i="33" s="1"/>
  <c r="D78" i="37"/>
  <c r="AP82" i="28"/>
  <c r="AN82" i="28"/>
  <c r="H72" i="37" s="1"/>
  <c r="AM82" i="28"/>
  <c r="G72" i="37" s="1"/>
  <c r="AJ82" i="28"/>
  <c r="D72" i="37" s="1"/>
  <c r="AK90" i="28"/>
  <c r="AN90" i="28"/>
  <c r="H69" i="37" s="1"/>
  <c r="AP90" i="28"/>
  <c r="J69" i="37" s="1"/>
  <c r="AJ90" i="28"/>
  <c r="D69" i="37" s="1"/>
  <c r="AM90" i="28"/>
  <c r="G69" i="37" s="1"/>
  <c r="AL90" i="28"/>
  <c r="F69" i="37" s="1"/>
  <c r="AN89" i="28"/>
  <c r="H68" i="37" s="1"/>
  <c r="AJ89" i="28"/>
  <c r="D68" i="37" s="1"/>
  <c r="AM89" i="28"/>
  <c r="G68" i="37" s="1"/>
  <c r="AP89" i="28"/>
  <c r="J68" i="37" s="1"/>
  <c r="AL89" i="28"/>
  <c r="F68" i="37" s="1"/>
  <c r="AK89" i="28"/>
  <c r="C1" i="31"/>
  <c r="H1" i="31" s="1" a="1"/>
  <c r="H1" i="31" s="1"/>
  <c r="H864" i="31" s="1" a="1"/>
  <c r="H864" i="31" s="1"/>
  <c r="AK82" i="28"/>
  <c r="AL82" i="28"/>
  <c r="F72" i="37" s="1"/>
  <c r="AJ81" i="28"/>
  <c r="D71" i="37" s="1"/>
  <c r="AN81" i="28"/>
  <c r="H71" i="37" s="1"/>
  <c r="AK81" i="28"/>
  <c r="AO81" i="28" s="1"/>
  <c r="AM81" i="28"/>
  <c r="G71" i="37" s="1"/>
  <c r="AL81" i="28"/>
  <c r="F71" i="37" s="1"/>
  <c r="J42" i="11"/>
  <c r="AT24" i="33" s="1"/>
  <c r="H42" i="11"/>
  <c r="AR24" i="33" s="1"/>
  <c r="E42" i="11"/>
  <c r="AO24" i="33" s="1"/>
  <c r="G42" i="11"/>
  <c r="AQ24" i="33" s="1"/>
  <c r="C42" i="11"/>
  <c r="B62" i="7"/>
  <c r="B54" i="7"/>
  <c r="B49" i="7"/>
  <c r="B65" i="7"/>
  <c r="C351" i="6"/>
  <c r="B88" i="7"/>
  <c r="B87" i="7"/>
  <c r="B42" i="7"/>
  <c r="C348" i="6"/>
  <c r="B48" i="7"/>
  <c r="B18" i="7"/>
  <c r="B61" i="7"/>
  <c r="B85" i="7"/>
  <c r="C359" i="6"/>
  <c r="C349" i="6"/>
  <c r="B79" i="7"/>
  <c r="B72" i="7"/>
  <c r="B15" i="7"/>
  <c r="C356" i="6"/>
  <c r="B97" i="7"/>
  <c r="B36" i="7"/>
  <c r="B71" i="7"/>
  <c r="B90" i="7"/>
  <c r="C347" i="6"/>
  <c r="B82" i="7"/>
  <c r="B34" i="7"/>
  <c r="B28" i="7"/>
  <c r="B25" i="7"/>
  <c r="C350" i="6"/>
  <c r="B92" i="7"/>
  <c r="B29" i="7"/>
  <c r="B64" i="7"/>
  <c r="B11" i="7"/>
  <c r="C345" i="6"/>
  <c r="C341" i="6"/>
  <c r="B41" i="7"/>
  <c r="B4" i="7"/>
  <c r="B75" i="7"/>
  <c r="B6" i="7"/>
  <c r="B17" i="7"/>
  <c r="C357" i="6"/>
  <c r="B84" i="7"/>
  <c r="B10" i="7"/>
  <c r="B70" i="7"/>
  <c r="B9" i="7"/>
  <c r="B58" i="7"/>
  <c r="B94" i="7"/>
  <c r="B46" i="7"/>
  <c r="C346" i="6"/>
  <c r="B73" i="7"/>
  <c r="B27" i="7"/>
  <c r="B33" i="7"/>
  <c r="B78" i="7"/>
  <c r="B91" i="7"/>
  <c r="B5" i="7"/>
  <c r="B57" i="7"/>
  <c r="C354" i="6"/>
  <c r="C342" i="6"/>
  <c r="B26" i="7"/>
  <c r="B59" i="7"/>
  <c r="B21" i="7"/>
  <c r="B14" i="7"/>
  <c r="B45" i="7"/>
  <c r="B32" i="7"/>
  <c r="B55" i="7"/>
  <c r="B98" i="7"/>
  <c r="B74" i="7"/>
  <c r="B43" i="7"/>
  <c r="B38" i="7"/>
  <c r="B63" i="7"/>
  <c r="B23" i="7"/>
  <c r="B95" i="7"/>
  <c r="C343" i="6"/>
  <c r="B81" i="7"/>
  <c r="B50" i="7"/>
  <c r="B51" i="7"/>
  <c r="B31" i="7"/>
  <c r="B83" i="7"/>
  <c r="C358" i="6"/>
  <c r="B53" i="7"/>
  <c r="B68" i="7"/>
  <c r="B99" i="7"/>
  <c r="B37" i="7"/>
  <c r="C352" i="6"/>
  <c r="B60" i="7"/>
  <c r="B7" i="7"/>
  <c r="B52" i="7"/>
  <c r="C355" i="6"/>
  <c r="C353" i="6"/>
  <c r="B8" i="7"/>
  <c r="B22" i="7"/>
  <c r="C344" i="6"/>
  <c r="B20" i="7"/>
  <c r="B66" i="7"/>
  <c r="E10" i="1" l="1"/>
  <c r="E5" i="1"/>
  <c r="E4" i="1"/>
  <c r="H2500" i="31" a="1"/>
  <c r="H2500" i="31" s="1"/>
  <c r="A53" i="8" s="1"/>
  <c r="H2501" i="31" a="1"/>
  <c r="H2501" i="31" s="1"/>
  <c r="A54" i="8" s="1"/>
  <c r="H2499" i="31" a="1"/>
  <c r="H2499" i="31" s="1"/>
  <c r="A52" i="8" s="1"/>
  <c r="H2512" i="31" a="1"/>
  <c r="H2512" i="31" s="1"/>
  <c r="C46" i="8" s="1"/>
  <c r="H2515" i="31" a="1"/>
  <c r="H2515" i="31" s="1"/>
  <c r="C49" i="8" s="1"/>
  <c r="H2513" i="31" a="1"/>
  <c r="H2513" i="31" s="1"/>
  <c r="C47" i="8" s="1"/>
  <c r="H2511" i="31" a="1"/>
  <c r="H2511" i="31" s="1"/>
  <c r="C45" i="8" s="1"/>
  <c r="H2509" i="31" a="1"/>
  <c r="H2509" i="31" s="1"/>
  <c r="C43" i="8" s="1"/>
  <c r="H2507" i="31" a="1"/>
  <c r="H2507" i="31" s="1"/>
  <c r="C41" i="8" s="1"/>
  <c r="H2505" i="31" a="1"/>
  <c r="H2505" i="31" s="1"/>
  <c r="C39" i="8" s="1"/>
  <c r="H2510" i="31" a="1"/>
  <c r="H2510" i="31" s="1"/>
  <c r="C44" i="8" s="1"/>
  <c r="H2506" i="31" a="1"/>
  <c r="H2506" i="31" s="1"/>
  <c r="C40" i="8" s="1"/>
  <c r="H2504" i="31" a="1"/>
  <c r="H2504" i="31" s="1"/>
  <c r="H2514" i="31" a="1"/>
  <c r="H2514" i="31" s="1"/>
  <c r="C48" i="8" s="1"/>
  <c r="H2508" i="31" a="1"/>
  <c r="H2508" i="31" s="1"/>
  <c r="C42" i="8" s="1"/>
  <c r="H2483" i="31" a="1"/>
  <c r="H2483" i="31" s="1"/>
  <c r="C36" i="8" s="1"/>
  <c r="H2491" i="31" a="1"/>
  <c r="H2491" i="31" s="1"/>
  <c r="A44" i="8" s="1"/>
  <c r="H2496" i="31" a="1"/>
  <c r="H2496" i="31" s="1"/>
  <c r="A49" i="8" s="1"/>
  <c r="H2494" i="31" a="1"/>
  <c r="H2494" i="31" s="1"/>
  <c r="A47" i="8" s="1"/>
  <c r="H2492" i="31" a="1"/>
  <c r="H2492" i="31" s="1"/>
  <c r="A45" i="8" s="1"/>
  <c r="H2490" i="31" a="1"/>
  <c r="H2490" i="31" s="1"/>
  <c r="A43" i="8" s="1"/>
  <c r="H2488" i="31" a="1"/>
  <c r="H2488" i="31" s="1"/>
  <c r="A41" i="8" s="1"/>
  <c r="H2486" i="31" a="1"/>
  <c r="H2486" i="31" s="1"/>
  <c r="A39" i="8" s="1"/>
  <c r="H2493" i="31" a="1"/>
  <c r="H2493" i="31" s="1"/>
  <c r="A46" i="8" s="1"/>
  <c r="H2489" i="31" a="1"/>
  <c r="H2489" i="31" s="1"/>
  <c r="A42" i="8" s="1"/>
  <c r="H2487" i="31" a="1"/>
  <c r="H2487" i="31" s="1"/>
  <c r="A40" i="8" s="1"/>
  <c r="H2485" i="31" a="1"/>
  <c r="H2485" i="31" s="1"/>
  <c r="A38" i="8" s="1"/>
  <c r="H2495" i="31" a="1"/>
  <c r="H2495" i="31" s="1"/>
  <c r="A48" i="8" s="1"/>
  <c r="H2455" i="31" a="1"/>
  <c r="H2455" i="31" s="1"/>
  <c r="A25" i="8" s="1"/>
  <c r="H2482" i="31" a="1"/>
  <c r="H2482" i="31" s="1"/>
  <c r="A36" i="8" s="1"/>
  <c r="H2457" i="31" a="1"/>
  <c r="H2457" i="31" s="1"/>
  <c r="C25" i="8" s="1"/>
  <c r="H2456" i="31" a="1"/>
  <c r="H2456" i="31" s="1"/>
  <c r="B25" i="8" s="1"/>
  <c r="G17" i="1"/>
  <c r="H2085" i="31" a="1"/>
  <c r="H2085" i="31" s="1"/>
  <c r="H2178" i="31" a="1"/>
  <c r="H2178" i="31" s="1"/>
  <c r="H1931" i="31" a="1"/>
  <c r="H1931" i="31" s="1"/>
  <c r="H1992" i="31" a="1"/>
  <c r="H1992" i="31" s="1"/>
  <c r="H2371" i="31" a="1"/>
  <c r="H2371" i="31" s="1"/>
  <c r="B651" i="10" s="1"/>
  <c r="H2373" i="31" a="1"/>
  <c r="H2373" i="31" s="1"/>
  <c r="B653" i="10" s="1"/>
  <c r="H2375" i="31" a="1"/>
  <c r="H2375" i="31" s="1"/>
  <c r="B655" i="10" s="1"/>
  <c r="H2377" i="31" a="1"/>
  <c r="H2377" i="31" s="1"/>
  <c r="B657" i="10" s="1"/>
  <c r="H2379" i="31" a="1"/>
  <c r="H2379" i="31" s="1"/>
  <c r="B659" i="10" s="1"/>
  <c r="H2381" i="31" a="1"/>
  <c r="H2381" i="31" s="1"/>
  <c r="B661" i="10" s="1"/>
  <c r="H2383" i="31" a="1"/>
  <c r="H2383" i="31" s="1"/>
  <c r="B663" i="10" s="1"/>
  <c r="H2385" i="31" a="1"/>
  <c r="H2385" i="31" s="1"/>
  <c r="B665" i="10" s="1"/>
  <c r="H2387" i="31" a="1"/>
  <c r="H2387" i="31" s="1"/>
  <c r="B667" i="10" s="1"/>
  <c r="H2389" i="31" a="1"/>
  <c r="H2389" i="31" s="1"/>
  <c r="B669" i="10" s="1"/>
  <c r="H2391" i="31" a="1"/>
  <c r="H2391" i="31" s="1"/>
  <c r="B671" i="10" s="1"/>
  <c r="H2372" i="31" a="1"/>
  <c r="H2372" i="31" s="1"/>
  <c r="B652" i="10" s="1"/>
  <c r="H2374" i="31" a="1"/>
  <c r="H2374" i="31" s="1"/>
  <c r="B654" i="10" s="1"/>
  <c r="H2376" i="31" a="1"/>
  <c r="H2376" i="31" s="1"/>
  <c r="B656" i="10" s="1"/>
  <c r="H2378" i="31" a="1"/>
  <c r="H2378" i="31" s="1"/>
  <c r="B658" i="10" s="1"/>
  <c r="H2380" i="31" a="1"/>
  <c r="H2380" i="31" s="1"/>
  <c r="B660" i="10" s="1"/>
  <c r="H2382" i="31" a="1"/>
  <c r="H2382" i="31" s="1"/>
  <c r="B662" i="10" s="1"/>
  <c r="H2384" i="31" a="1"/>
  <c r="H2384" i="31" s="1"/>
  <c r="B664" i="10" s="1"/>
  <c r="H2386" i="31" a="1"/>
  <c r="H2386" i="31" s="1"/>
  <c r="B666" i="10" s="1"/>
  <c r="H2388" i="31" a="1"/>
  <c r="H2388" i="31" s="1"/>
  <c r="B668" i="10" s="1"/>
  <c r="H2390" i="31" a="1"/>
  <c r="H2390" i="31" s="1"/>
  <c r="B670" i="10" s="1"/>
  <c r="H2392" i="31" a="1"/>
  <c r="H2392" i="31" s="1"/>
  <c r="B672" i="10" s="1"/>
  <c r="H2078" i="31" a="1"/>
  <c r="H2078" i="31" s="1"/>
  <c r="B358" i="10" s="1"/>
  <c r="G60" i="1" a="1"/>
  <c r="G60" i="1" s="1"/>
  <c r="Z86" i="2" s="1"/>
  <c r="F60" i="1" a="1"/>
  <c r="F60" i="1" s="1"/>
  <c r="H2079" i="31" a="1"/>
  <c r="H2079" i="31" s="1"/>
  <c r="B359" i="10" s="1"/>
  <c r="H2170" i="31" a="1"/>
  <c r="H2170" i="31" s="1"/>
  <c r="B450" i="10" s="1"/>
  <c r="A214" i="5"/>
  <c r="A49" i="5"/>
  <c r="H2082" i="31" a="1"/>
  <c r="H2082" i="31" s="1"/>
  <c r="B362" i="10" s="1"/>
  <c r="H2084" i="31" a="1"/>
  <c r="H2084" i="31" s="1"/>
  <c r="B364" i="10" s="1"/>
  <c r="H2087" i="31" a="1"/>
  <c r="H2087" i="31" s="1"/>
  <c r="B367" i="10" s="1"/>
  <c r="H2090" i="31" a="1"/>
  <c r="H2090" i="31" s="1"/>
  <c r="B370" i="10" s="1"/>
  <c r="H2092" i="31" a="1"/>
  <c r="H2092" i="31" s="1"/>
  <c r="B372" i="10" s="1"/>
  <c r="H2094" i="31" a="1"/>
  <c r="H2094" i="31" s="1"/>
  <c r="B374" i="10" s="1"/>
  <c r="H2096" i="31" a="1"/>
  <c r="H2096" i="31" s="1"/>
  <c r="B376" i="10" s="1"/>
  <c r="H2098" i="31" a="1"/>
  <c r="H2098" i="31" s="1"/>
  <c r="B378" i="10" s="1"/>
  <c r="H2100" i="31" a="1"/>
  <c r="H2100" i="31" s="1"/>
  <c r="B380" i="10" s="1"/>
  <c r="H2102" i="31" a="1"/>
  <c r="H2102" i="31" s="1"/>
  <c r="B382" i="10" s="1"/>
  <c r="H2104" i="31" a="1"/>
  <c r="H2104" i="31" s="1"/>
  <c r="B384" i="10" s="1"/>
  <c r="H2106" i="31" a="1"/>
  <c r="H2106" i="31" s="1"/>
  <c r="B386" i="10" s="1"/>
  <c r="H2108" i="31" a="1"/>
  <c r="H2108" i="31" s="1"/>
  <c r="B388" i="10" s="1"/>
  <c r="H2110" i="31" a="1"/>
  <c r="H2110" i="31" s="1"/>
  <c r="B390" i="10" s="1"/>
  <c r="H2112" i="31" a="1"/>
  <c r="H2112" i="31" s="1"/>
  <c r="B392" i="10" s="1"/>
  <c r="H2114" i="31" a="1"/>
  <c r="H2114" i="31" s="1"/>
  <c r="B394" i="10" s="1"/>
  <c r="H2116" i="31" a="1"/>
  <c r="H2116" i="31" s="1"/>
  <c r="B396" i="10" s="1"/>
  <c r="H2118" i="31" a="1"/>
  <c r="H2118" i="31" s="1"/>
  <c r="B398" i="10" s="1"/>
  <c r="H2120" i="31" a="1"/>
  <c r="H2120" i="31" s="1"/>
  <c r="B400" i="10" s="1"/>
  <c r="H2122" i="31" a="1"/>
  <c r="H2122" i="31" s="1"/>
  <c r="B402" i="10" s="1"/>
  <c r="H2124" i="31" a="1"/>
  <c r="H2124" i="31" s="1"/>
  <c r="B404" i="10" s="1"/>
  <c r="H2126" i="31" a="1"/>
  <c r="H2126" i="31" s="1"/>
  <c r="B406" i="10" s="1"/>
  <c r="H2128" i="31" a="1"/>
  <c r="H2128" i="31" s="1"/>
  <c r="B408" i="10" s="1"/>
  <c r="H2130" i="31" a="1"/>
  <c r="H2130" i="31" s="1"/>
  <c r="B410" i="10" s="1"/>
  <c r="H2132" i="31" a="1"/>
  <c r="H2132" i="31" s="1"/>
  <c r="B412" i="10" s="1"/>
  <c r="H2134" i="31" a="1"/>
  <c r="H2134" i="31" s="1"/>
  <c r="B414" i="10" s="1"/>
  <c r="H2136" i="31" a="1"/>
  <c r="H2136" i="31" s="1"/>
  <c r="B416" i="10" s="1"/>
  <c r="H2138" i="31" a="1"/>
  <c r="H2138" i="31" s="1"/>
  <c r="B418" i="10" s="1"/>
  <c r="H2140" i="31" a="1"/>
  <c r="H2140" i="31" s="1"/>
  <c r="B420" i="10" s="1"/>
  <c r="H2142" i="31" a="1"/>
  <c r="H2142" i="31" s="1"/>
  <c r="B422" i="10" s="1"/>
  <c r="H2144" i="31" a="1"/>
  <c r="H2144" i="31" s="1"/>
  <c r="B424" i="10" s="1"/>
  <c r="H2146" i="31" a="1"/>
  <c r="H2146" i="31" s="1"/>
  <c r="B426" i="10" s="1"/>
  <c r="H2148" i="31" a="1"/>
  <c r="H2148" i="31" s="1"/>
  <c r="B428" i="10" s="1"/>
  <c r="H2150" i="31" a="1"/>
  <c r="H2150" i="31" s="1"/>
  <c r="B430" i="10" s="1"/>
  <c r="H2152" i="31" a="1"/>
  <c r="H2152" i="31" s="1"/>
  <c r="B432" i="10" s="1"/>
  <c r="H2154" i="31" a="1"/>
  <c r="H2154" i="31" s="1"/>
  <c r="B434" i="10" s="1"/>
  <c r="H2156" i="31" a="1"/>
  <c r="H2156" i="31" s="1"/>
  <c r="B436" i="10" s="1"/>
  <c r="H2158" i="31" a="1"/>
  <c r="H2158" i="31" s="1"/>
  <c r="B438" i="10" s="1"/>
  <c r="H2160" i="31" a="1"/>
  <c r="H2160" i="31" s="1"/>
  <c r="B440" i="10" s="1"/>
  <c r="H2162" i="31" a="1"/>
  <c r="H2162" i="31" s="1"/>
  <c r="B442" i="10" s="1"/>
  <c r="H2164" i="31" a="1"/>
  <c r="H2164" i="31" s="1"/>
  <c r="B444" i="10" s="1"/>
  <c r="H2166" i="31" a="1"/>
  <c r="H2166" i="31" s="1"/>
  <c r="B446" i="10" s="1"/>
  <c r="H2168" i="31" a="1"/>
  <c r="H2168" i="31" s="1"/>
  <c r="B448" i="10" s="1"/>
  <c r="H2171" i="31" a="1"/>
  <c r="H2171" i="31" s="1"/>
  <c r="B451" i="10" s="1"/>
  <c r="H2083" i="31" a="1"/>
  <c r="H2083" i="31" s="1"/>
  <c r="B363" i="10" s="1"/>
  <c r="H2086" i="31" a="1"/>
  <c r="H2086" i="31" s="1"/>
  <c r="B366" i="10" s="1"/>
  <c r="H2088" i="31" a="1"/>
  <c r="H2088" i="31" s="1"/>
  <c r="B368" i="10" s="1"/>
  <c r="H2089" i="31" a="1"/>
  <c r="H2089" i="31" s="1"/>
  <c r="B369" i="10" s="1"/>
  <c r="H2091" i="31" a="1"/>
  <c r="H2091" i="31" s="1"/>
  <c r="B371" i="10" s="1"/>
  <c r="H2093" i="31" a="1"/>
  <c r="H2093" i="31" s="1"/>
  <c r="B373" i="10" s="1"/>
  <c r="H2095" i="31" a="1"/>
  <c r="H2095" i="31" s="1"/>
  <c r="B375" i="10" s="1"/>
  <c r="H2097" i="31" a="1"/>
  <c r="H2097" i="31" s="1"/>
  <c r="B377" i="10" s="1"/>
  <c r="H2099" i="31" a="1"/>
  <c r="H2099" i="31" s="1"/>
  <c r="B379" i="10" s="1"/>
  <c r="H2101" i="31" a="1"/>
  <c r="H2101" i="31" s="1"/>
  <c r="B381" i="10" s="1"/>
  <c r="H2103" i="31" a="1"/>
  <c r="H2103" i="31" s="1"/>
  <c r="B383" i="10" s="1"/>
  <c r="H2105" i="31" a="1"/>
  <c r="H2105" i="31" s="1"/>
  <c r="B385" i="10" s="1"/>
  <c r="H2107" i="31" a="1"/>
  <c r="H2107" i="31" s="1"/>
  <c r="B387" i="10" s="1"/>
  <c r="H2109" i="31" a="1"/>
  <c r="H2109" i="31" s="1"/>
  <c r="B389" i="10" s="1"/>
  <c r="H2111" i="31" a="1"/>
  <c r="H2111" i="31" s="1"/>
  <c r="B391" i="10" s="1"/>
  <c r="H2113" i="31" a="1"/>
  <c r="H2113" i="31" s="1"/>
  <c r="B393" i="10" s="1"/>
  <c r="H2115" i="31" a="1"/>
  <c r="H2115" i="31" s="1"/>
  <c r="B395" i="10" s="1"/>
  <c r="H2117" i="31" a="1"/>
  <c r="H2117" i="31" s="1"/>
  <c r="B397" i="10" s="1"/>
  <c r="H2119" i="31" a="1"/>
  <c r="H2119" i="31" s="1"/>
  <c r="B399" i="10" s="1"/>
  <c r="H2121" i="31" a="1"/>
  <c r="H2121" i="31" s="1"/>
  <c r="B401" i="10" s="1"/>
  <c r="H2123" i="31" a="1"/>
  <c r="H2123" i="31" s="1"/>
  <c r="B403" i="10" s="1"/>
  <c r="H2125" i="31" a="1"/>
  <c r="H2125" i="31" s="1"/>
  <c r="B405" i="10" s="1"/>
  <c r="H2127" i="31" a="1"/>
  <c r="H2127" i="31" s="1"/>
  <c r="B407" i="10" s="1"/>
  <c r="H2129" i="31" a="1"/>
  <c r="H2129" i="31" s="1"/>
  <c r="B409" i="10" s="1"/>
  <c r="H2131" i="31" a="1"/>
  <c r="H2131" i="31" s="1"/>
  <c r="B411" i="10" s="1"/>
  <c r="H2133" i="31" a="1"/>
  <c r="H2133" i="31" s="1"/>
  <c r="B413" i="10" s="1"/>
  <c r="H2135" i="31" a="1"/>
  <c r="H2135" i="31" s="1"/>
  <c r="B415" i="10" s="1"/>
  <c r="H2137" i="31" a="1"/>
  <c r="H2137" i="31" s="1"/>
  <c r="B417" i="10" s="1"/>
  <c r="H2139" i="31" a="1"/>
  <c r="H2139" i="31" s="1"/>
  <c r="B419" i="10" s="1"/>
  <c r="H2141" i="31" a="1"/>
  <c r="H2141" i="31" s="1"/>
  <c r="B421" i="10" s="1"/>
  <c r="H2143" i="31" a="1"/>
  <c r="H2143" i="31" s="1"/>
  <c r="B423" i="10" s="1"/>
  <c r="H2145" i="31" a="1"/>
  <c r="H2145" i="31" s="1"/>
  <c r="B425" i="10" s="1"/>
  <c r="H2147" i="31" a="1"/>
  <c r="H2147" i="31" s="1"/>
  <c r="B427" i="10" s="1"/>
  <c r="H2149" i="31" a="1"/>
  <c r="H2149" i="31" s="1"/>
  <c r="B429" i="10" s="1"/>
  <c r="H2151" i="31" a="1"/>
  <c r="H2151" i="31" s="1"/>
  <c r="B431" i="10" s="1"/>
  <c r="H2153" i="31" a="1"/>
  <c r="H2153" i="31" s="1"/>
  <c r="B433" i="10" s="1"/>
  <c r="H2155" i="31" a="1"/>
  <c r="H2155" i="31" s="1"/>
  <c r="B435" i="10" s="1"/>
  <c r="H2157" i="31" a="1"/>
  <c r="H2157" i="31" s="1"/>
  <c r="B437" i="10" s="1"/>
  <c r="H2159" i="31" a="1"/>
  <c r="H2159" i="31" s="1"/>
  <c r="B439" i="10" s="1"/>
  <c r="H2161" i="31" a="1"/>
  <c r="H2161" i="31" s="1"/>
  <c r="B441" i="10" s="1"/>
  <c r="H2163" i="31" a="1"/>
  <c r="H2163" i="31" s="1"/>
  <c r="B443" i="10" s="1"/>
  <c r="H2165" i="31" a="1"/>
  <c r="H2165" i="31" s="1"/>
  <c r="B445" i="10" s="1"/>
  <c r="H2167" i="31" a="1"/>
  <c r="H2167" i="31" s="1"/>
  <c r="B447" i="10" s="1"/>
  <c r="H2169" i="31" a="1"/>
  <c r="H2169" i="31" s="1"/>
  <c r="B449" i="10" s="1"/>
  <c r="H2172" i="31" a="1"/>
  <c r="H2172" i="31" s="1"/>
  <c r="B452" i="10" s="1"/>
  <c r="A193" i="5"/>
  <c r="A181" i="5"/>
  <c r="A177" i="5"/>
  <c r="A179" i="5"/>
  <c r="A175" i="5"/>
  <c r="A178" i="5"/>
  <c r="A180" i="5"/>
  <c r="A176" i="5"/>
  <c r="A182" i="5"/>
  <c r="A174" i="5"/>
  <c r="A173" i="5"/>
  <c r="A172" i="5"/>
  <c r="A171" i="5"/>
  <c r="A170" i="5"/>
  <c r="A154" i="5"/>
  <c r="A150" i="5"/>
  <c r="A146" i="5"/>
  <c r="A153" i="5"/>
  <c r="A149" i="5"/>
  <c r="A145" i="5"/>
  <c r="A156" i="5"/>
  <c r="A152" i="5"/>
  <c r="A148" i="5"/>
  <c r="A155" i="5"/>
  <c r="A151" i="5"/>
  <c r="A147" i="5"/>
  <c r="A144" i="5"/>
  <c r="A143" i="5"/>
  <c r="A142" i="5"/>
  <c r="A141" i="5"/>
  <c r="A140" i="5"/>
  <c r="A139" i="5"/>
  <c r="A138" i="5"/>
  <c r="A137" i="5"/>
  <c r="A136" i="5"/>
  <c r="A135" i="5"/>
  <c r="A134" i="5"/>
  <c r="A133" i="5"/>
  <c r="A132" i="5"/>
  <c r="A131" i="5"/>
  <c r="A167" i="5"/>
  <c r="A165" i="5"/>
  <c r="A161" i="5"/>
  <c r="A157" i="5"/>
  <c r="A168" i="5"/>
  <c r="A166" i="5"/>
  <c r="A163" i="5"/>
  <c r="A160" i="5"/>
  <c r="A158" i="5"/>
  <c r="A169" i="5"/>
  <c r="A164" i="5"/>
  <c r="A162" i="5"/>
  <c r="A159" i="5"/>
  <c r="A206" i="5"/>
  <c r="A205" i="5"/>
  <c r="A204" i="5"/>
  <c r="A203" i="5"/>
  <c r="A219" i="5"/>
  <c r="A218" i="5"/>
  <c r="A217" i="5"/>
  <c r="A216" i="5"/>
  <c r="A215" i="5"/>
  <c r="A286" i="5"/>
  <c r="A285" i="5"/>
  <c r="A284" i="5"/>
  <c r="A282" i="5"/>
  <c r="A281" i="5"/>
  <c r="A280" i="5"/>
  <c r="A272" i="5"/>
  <c r="A271" i="5"/>
  <c r="A270" i="5"/>
  <c r="A269" i="5"/>
  <c r="A268" i="5"/>
  <c r="A267" i="5"/>
  <c r="A266" i="5"/>
  <c r="A265" i="5"/>
  <c r="A264" i="5"/>
  <c r="A263" i="5"/>
  <c r="A236" i="5"/>
  <c r="A235" i="5"/>
  <c r="A253" i="5"/>
  <c r="A262" i="5"/>
  <c r="A252" i="5"/>
  <c r="A251" i="5"/>
  <c r="A250" i="5"/>
  <c r="A249" i="5"/>
  <c r="A248" i="5"/>
  <c r="A247" i="5"/>
  <c r="A246" i="5"/>
  <c r="A245" i="5"/>
  <c r="A261" i="5"/>
  <c r="A260" i="5"/>
  <c r="A259" i="5"/>
  <c r="A258" i="5"/>
  <c r="A257" i="5"/>
  <c r="A256" i="5"/>
  <c r="A255" i="5"/>
  <c r="A254" i="5"/>
  <c r="A244" i="5"/>
  <c r="A243" i="5"/>
  <c r="A242" i="5"/>
  <c r="A241" i="5"/>
  <c r="A240" i="5"/>
  <c r="A239" i="5"/>
  <c r="A238" i="5"/>
  <c r="A237" i="5"/>
  <c r="A316" i="5"/>
  <c r="A315" i="5"/>
  <c r="A314" i="5"/>
  <c r="A313" i="5"/>
  <c r="A312" i="5"/>
  <c r="A321" i="5"/>
  <c r="A320" i="5"/>
  <c r="A319" i="5"/>
  <c r="A318" i="5"/>
  <c r="A317" i="5"/>
  <c r="A306" i="5"/>
  <c r="A305" i="5"/>
  <c r="A304" i="5"/>
  <c r="A303" i="5"/>
  <c r="A302" i="5"/>
  <c r="A311" i="5"/>
  <c r="A310" i="5"/>
  <c r="A309" i="5"/>
  <c r="A308" i="5"/>
  <c r="A307" i="5"/>
  <c r="A336" i="5"/>
  <c r="A335" i="5"/>
  <c r="A334" i="5"/>
  <c r="A326" i="5"/>
  <c r="A324" i="5"/>
  <c r="A322" i="5"/>
  <c r="A325" i="5"/>
  <c r="A323" i="5"/>
  <c r="A113" i="5"/>
  <c r="A112" i="5"/>
  <c r="A111" i="5"/>
  <c r="A110" i="5"/>
  <c r="A109" i="5"/>
  <c r="A103" i="5"/>
  <c r="A102" i="5"/>
  <c r="A101" i="5"/>
  <c r="A100" i="5"/>
  <c r="A85" i="5"/>
  <c r="A83" i="5"/>
  <c r="A84" i="5"/>
  <c r="A82" i="5"/>
  <c r="A80" i="5"/>
  <c r="A81" i="5"/>
  <c r="A79" i="5"/>
  <c r="A77" i="5"/>
  <c r="A78" i="5"/>
  <c r="A76" i="5"/>
  <c r="A74" i="5"/>
  <c r="A75" i="5"/>
  <c r="A70" i="5"/>
  <c r="A68" i="5"/>
  <c r="A69" i="5"/>
  <c r="A73" i="5"/>
  <c r="A71" i="5"/>
  <c r="A72" i="5"/>
  <c r="A67" i="5"/>
  <c r="A65" i="5"/>
  <c r="A66" i="5"/>
  <c r="A64" i="5"/>
  <c r="A23" i="5"/>
  <c r="A22" i="5"/>
  <c r="A21" i="5"/>
  <c r="A20" i="5"/>
  <c r="A19" i="5"/>
  <c r="A18" i="5"/>
  <c r="A17" i="5"/>
  <c r="A16" i="5"/>
  <c r="A15" i="5"/>
  <c r="A14" i="5"/>
  <c r="A13" i="5"/>
  <c r="A12" i="5"/>
  <c r="A6" i="5"/>
  <c r="K13" i="5"/>
  <c r="K12" i="5"/>
  <c r="K11" i="5"/>
  <c r="K10" i="5"/>
  <c r="K9" i="5"/>
  <c r="K8" i="5"/>
  <c r="K7" i="5"/>
  <c r="K6" i="5"/>
  <c r="C685" i="10"/>
  <c r="C684" i="10"/>
  <c r="C683" i="10"/>
  <c r="C682" i="10"/>
  <c r="C681" i="10"/>
  <c r="C680" i="10"/>
  <c r="C679" i="10"/>
  <c r="C678" i="10"/>
  <c r="H1895" i="31" a="1"/>
  <c r="H1895" i="31" s="1"/>
  <c r="B175" i="10" s="1"/>
  <c r="H1897" i="31" a="1"/>
  <c r="H1897" i="31" s="1"/>
  <c r="B177" i="10" s="1"/>
  <c r="H1899" i="31" a="1"/>
  <c r="H1899" i="31" s="1"/>
  <c r="B179" i="10" s="1"/>
  <c r="H1901" i="31" a="1"/>
  <c r="H1901" i="31" s="1"/>
  <c r="B181" i="10" s="1"/>
  <c r="H1903" i="31" a="1"/>
  <c r="H1903" i="31" s="1"/>
  <c r="B183" i="10" s="1"/>
  <c r="H1905" i="31" a="1"/>
  <c r="H1905" i="31" s="1"/>
  <c r="B185" i="10" s="1"/>
  <c r="H1907" i="31" a="1"/>
  <c r="H1907" i="31" s="1"/>
  <c r="B187" i="10" s="1"/>
  <c r="H1909" i="31" a="1"/>
  <c r="H1909" i="31" s="1"/>
  <c r="B189" i="10" s="1"/>
  <c r="H1911" i="31" a="1"/>
  <c r="H1911" i="31" s="1"/>
  <c r="B191" i="10" s="1"/>
  <c r="H1913" i="31" a="1"/>
  <c r="H1913" i="31" s="1"/>
  <c r="B193" i="10" s="1"/>
  <c r="H1915" i="31" a="1"/>
  <c r="H1915" i="31" s="1"/>
  <c r="B195" i="10" s="1"/>
  <c r="H1917" i="31" a="1"/>
  <c r="H1917" i="31" s="1"/>
  <c r="B197" i="10" s="1"/>
  <c r="H1919" i="31" a="1"/>
  <c r="H1919" i="31" s="1"/>
  <c r="B199" i="10" s="1"/>
  <c r="H1921" i="31" a="1"/>
  <c r="H1921" i="31" s="1"/>
  <c r="B201" i="10" s="1"/>
  <c r="H1923" i="31" a="1"/>
  <c r="H1923" i="31" s="1"/>
  <c r="B203" i="10" s="1"/>
  <c r="H1925" i="31" a="1"/>
  <c r="H1925" i="31" s="1"/>
  <c r="B205" i="10" s="1"/>
  <c r="H1927" i="31" a="1"/>
  <c r="H1927" i="31" s="1"/>
  <c r="B207" i="10" s="1"/>
  <c r="H1929" i="31" a="1"/>
  <c r="H1929" i="31" s="1"/>
  <c r="B209" i="10" s="1"/>
  <c r="H1932" i="31" a="1"/>
  <c r="H1932" i="31" s="1"/>
  <c r="B212" i="10" s="1"/>
  <c r="H1934" i="31" a="1"/>
  <c r="H1934" i="31" s="1"/>
  <c r="B214" i="10" s="1"/>
  <c r="H1936" i="31" a="1"/>
  <c r="H1936" i="31" s="1"/>
  <c r="B216" i="10" s="1"/>
  <c r="H1938" i="31" a="1"/>
  <c r="H1938" i="31" s="1"/>
  <c r="B218" i="10" s="1"/>
  <c r="H1940" i="31" a="1"/>
  <c r="H1940" i="31" s="1"/>
  <c r="B220" i="10" s="1"/>
  <c r="H1942" i="31" a="1"/>
  <c r="H1942" i="31" s="1"/>
  <c r="B222" i="10" s="1"/>
  <c r="H1944" i="31" a="1"/>
  <c r="H1944" i="31" s="1"/>
  <c r="B224" i="10" s="1"/>
  <c r="H1946" i="31" a="1"/>
  <c r="H1946" i="31" s="1"/>
  <c r="B226" i="10" s="1"/>
  <c r="H1948" i="31" a="1"/>
  <c r="H1948" i="31" s="1"/>
  <c r="B228" i="10" s="1"/>
  <c r="H1950" i="31" a="1"/>
  <c r="H1950" i="31" s="1"/>
  <c r="B230" i="10" s="1"/>
  <c r="H1952" i="31" a="1"/>
  <c r="H1952" i="31" s="1"/>
  <c r="B232" i="10" s="1"/>
  <c r="H1954" i="31" a="1"/>
  <c r="H1954" i="31" s="1"/>
  <c r="B234" i="10" s="1"/>
  <c r="H1956" i="31" a="1"/>
  <c r="H1956" i="31" s="1"/>
  <c r="B236" i="10" s="1"/>
  <c r="H1958" i="31" a="1"/>
  <c r="H1958" i="31" s="1"/>
  <c r="B238" i="10" s="1"/>
  <c r="H1960" i="31" a="1"/>
  <c r="H1960" i="31" s="1"/>
  <c r="B240" i="10" s="1"/>
  <c r="H1962" i="31" a="1"/>
  <c r="H1962" i="31" s="1"/>
  <c r="B242" i="10" s="1"/>
  <c r="H1964" i="31" a="1"/>
  <c r="H1964" i="31" s="1"/>
  <c r="B244" i="10" s="1"/>
  <c r="H1966" i="31" a="1"/>
  <c r="H1966" i="31" s="1"/>
  <c r="B246" i="10" s="1"/>
  <c r="H1968" i="31" a="1"/>
  <c r="H1968" i="31" s="1"/>
  <c r="B248" i="10" s="1"/>
  <c r="H1970" i="31" a="1"/>
  <c r="H1970" i="31" s="1"/>
  <c r="B250" i="10" s="1"/>
  <c r="H1972" i="31" a="1"/>
  <c r="H1972" i="31" s="1"/>
  <c r="B252" i="10" s="1"/>
  <c r="H1974" i="31" a="1"/>
  <c r="H1974" i="31" s="1"/>
  <c r="B254" i="10" s="1"/>
  <c r="H1976" i="31" a="1"/>
  <c r="H1976" i="31" s="1"/>
  <c r="B256" i="10" s="1"/>
  <c r="H1978" i="31" a="1"/>
  <c r="H1978" i="31" s="1"/>
  <c r="B258" i="10" s="1"/>
  <c r="H1980" i="31" a="1"/>
  <c r="H1980" i="31" s="1"/>
  <c r="B260" i="10" s="1"/>
  <c r="H1982" i="31" a="1"/>
  <c r="H1982" i="31" s="1"/>
  <c r="B262" i="10" s="1"/>
  <c r="H1984" i="31" a="1"/>
  <c r="H1984" i="31" s="1"/>
  <c r="B264" i="10" s="1"/>
  <c r="H1986" i="31" a="1"/>
  <c r="H1986" i="31" s="1"/>
  <c r="B266" i="10" s="1"/>
  <c r="H1988" i="31" a="1"/>
  <c r="H1988" i="31" s="1"/>
  <c r="B268" i="10" s="1"/>
  <c r="H1990" i="31" a="1"/>
  <c r="H1990" i="31" s="1"/>
  <c r="B270" i="10" s="1"/>
  <c r="H1993" i="31" a="1"/>
  <c r="H1993" i="31" s="1"/>
  <c r="B273" i="10" s="1"/>
  <c r="H1995" i="31" a="1"/>
  <c r="H1995" i="31" s="1"/>
  <c r="B275" i="10" s="1"/>
  <c r="H1997" i="31" a="1"/>
  <c r="H1997" i="31" s="1"/>
  <c r="B277" i="10" s="1"/>
  <c r="H1999" i="31" a="1"/>
  <c r="H1999" i="31" s="1"/>
  <c r="B279" i="10" s="1"/>
  <c r="H2001" i="31" a="1"/>
  <c r="H2001" i="31" s="1"/>
  <c r="B281" i="10" s="1"/>
  <c r="H2003" i="31" a="1"/>
  <c r="H2003" i="31" s="1"/>
  <c r="B283" i="10" s="1"/>
  <c r="H2005" i="31" a="1"/>
  <c r="H2005" i="31" s="1"/>
  <c r="B285" i="10" s="1"/>
  <c r="H2007" i="31" a="1"/>
  <c r="H2007" i="31" s="1"/>
  <c r="B287" i="10" s="1"/>
  <c r="H2009" i="31" a="1"/>
  <c r="H2009" i="31" s="1"/>
  <c r="B289" i="10" s="1"/>
  <c r="H2011" i="31" a="1"/>
  <c r="H2011" i="31" s="1"/>
  <c r="B291" i="10" s="1"/>
  <c r="H2013" i="31" a="1"/>
  <c r="H2013" i="31" s="1"/>
  <c r="B293" i="10" s="1"/>
  <c r="H2015" i="31" a="1"/>
  <c r="H2015" i="31" s="1"/>
  <c r="B295" i="10" s="1"/>
  <c r="H2017" i="31" a="1"/>
  <c r="H2017" i="31" s="1"/>
  <c r="B297" i="10" s="1"/>
  <c r="H2019" i="31" a="1"/>
  <c r="H2019" i="31" s="1"/>
  <c r="B299" i="10" s="1"/>
  <c r="H2021" i="31" a="1"/>
  <c r="H2021" i="31" s="1"/>
  <c r="B301" i="10" s="1"/>
  <c r="H2023" i="31" a="1"/>
  <c r="H2023" i="31" s="1"/>
  <c r="B303" i="10" s="1"/>
  <c r="H2025" i="31" a="1"/>
  <c r="H2025" i="31" s="1"/>
  <c r="B305" i="10" s="1"/>
  <c r="H2027" i="31" a="1"/>
  <c r="H2027" i="31" s="1"/>
  <c r="B307" i="10" s="1"/>
  <c r="H2029" i="31" a="1"/>
  <c r="H2029" i="31" s="1"/>
  <c r="B309" i="10" s="1"/>
  <c r="H2031" i="31" a="1"/>
  <c r="H2031" i="31" s="1"/>
  <c r="B311" i="10" s="1"/>
  <c r="H2033" i="31" a="1"/>
  <c r="H2033" i="31" s="1"/>
  <c r="B313" i="10" s="1"/>
  <c r="H2035" i="31" a="1"/>
  <c r="H2035" i="31" s="1"/>
  <c r="B315" i="10" s="1"/>
  <c r="H2037" i="31" a="1"/>
  <c r="H2037" i="31" s="1"/>
  <c r="B317" i="10" s="1"/>
  <c r="H2039" i="31" a="1"/>
  <c r="H2039" i="31" s="1"/>
  <c r="B319" i="10" s="1"/>
  <c r="H2041" i="31" a="1"/>
  <c r="H2041" i="31" s="1"/>
  <c r="B321" i="10" s="1"/>
  <c r="H2043" i="31" a="1"/>
  <c r="H2043" i="31" s="1"/>
  <c r="B323" i="10" s="1"/>
  <c r="H2045" i="31" a="1"/>
  <c r="H2045" i="31" s="1"/>
  <c r="B325" i="10" s="1"/>
  <c r="H2047" i="31" a="1"/>
  <c r="H2047" i="31" s="1"/>
  <c r="B327" i="10" s="1"/>
  <c r="H2049" i="31" a="1"/>
  <c r="H2049" i="31" s="1"/>
  <c r="B329" i="10" s="1"/>
  <c r="H2051" i="31" a="1"/>
  <c r="H2051" i="31" s="1"/>
  <c r="B331" i="10" s="1"/>
  <c r="H2053" i="31" a="1"/>
  <c r="H2053" i="31" s="1"/>
  <c r="B333" i="10" s="1"/>
  <c r="H2055" i="31" a="1"/>
  <c r="H2055" i="31" s="1"/>
  <c r="B335" i="10" s="1"/>
  <c r="H2057" i="31" a="1"/>
  <c r="H2057" i="31" s="1"/>
  <c r="B337" i="10" s="1"/>
  <c r="H2059" i="31" a="1"/>
  <c r="H2059" i="31" s="1"/>
  <c r="B339" i="10" s="1"/>
  <c r="H2061" i="31" a="1"/>
  <c r="H2061" i="31" s="1"/>
  <c r="B341" i="10" s="1"/>
  <c r="H2063" i="31" a="1"/>
  <c r="H2063" i="31" s="1"/>
  <c r="B343" i="10" s="1"/>
  <c r="H2065" i="31" a="1"/>
  <c r="H2065" i="31" s="1"/>
  <c r="B345" i="10" s="1"/>
  <c r="H1896" i="31" a="1"/>
  <c r="H1896" i="31" s="1"/>
  <c r="B176" i="10" s="1"/>
  <c r="H1898" i="31" a="1"/>
  <c r="H1898" i="31" s="1"/>
  <c r="B178" i="10" s="1"/>
  <c r="H1900" i="31" a="1"/>
  <c r="H1900" i="31" s="1"/>
  <c r="B180" i="10" s="1"/>
  <c r="H1902" i="31" a="1"/>
  <c r="H1902" i="31" s="1"/>
  <c r="B182" i="10" s="1"/>
  <c r="H1904" i="31" a="1"/>
  <c r="H1904" i="31" s="1"/>
  <c r="B184" i="10" s="1"/>
  <c r="H1906" i="31" a="1"/>
  <c r="H1906" i="31" s="1"/>
  <c r="B186" i="10" s="1"/>
  <c r="H1908" i="31" a="1"/>
  <c r="H1908" i="31" s="1"/>
  <c r="B188" i="10" s="1"/>
  <c r="H1910" i="31" a="1"/>
  <c r="H1910" i="31" s="1"/>
  <c r="B190" i="10" s="1"/>
  <c r="H1912" i="31" a="1"/>
  <c r="H1912" i="31" s="1"/>
  <c r="B192" i="10" s="1"/>
  <c r="H1914" i="31" a="1"/>
  <c r="H1914" i="31" s="1"/>
  <c r="B194" i="10" s="1"/>
  <c r="H1916" i="31" a="1"/>
  <c r="H1916" i="31" s="1"/>
  <c r="B196" i="10" s="1"/>
  <c r="H1918" i="31" a="1"/>
  <c r="H1918" i="31" s="1"/>
  <c r="B198" i="10" s="1"/>
  <c r="H1920" i="31" a="1"/>
  <c r="H1920" i="31" s="1"/>
  <c r="B200" i="10" s="1"/>
  <c r="H1922" i="31" a="1"/>
  <c r="H1922" i="31" s="1"/>
  <c r="B202" i="10" s="1"/>
  <c r="H1924" i="31" a="1"/>
  <c r="H1924" i="31" s="1"/>
  <c r="B204" i="10" s="1"/>
  <c r="H1926" i="31" a="1"/>
  <c r="H1926" i="31" s="1"/>
  <c r="B206" i="10" s="1"/>
  <c r="H1928" i="31" a="1"/>
  <c r="H1928" i="31" s="1"/>
  <c r="B208" i="10" s="1"/>
  <c r="H1930" i="31" a="1"/>
  <c r="H1930" i="31" s="1"/>
  <c r="B210" i="10" s="1"/>
  <c r="H1933" i="31" a="1"/>
  <c r="H1933" i="31" s="1"/>
  <c r="B213" i="10" s="1"/>
  <c r="H1935" i="31" a="1"/>
  <c r="H1935" i="31" s="1"/>
  <c r="B215" i="10" s="1"/>
  <c r="H1937" i="31" a="1"/>
  <c r="H1937" i="31" s="1"/>
  <c r="B217" i="10" s="1"/>
  <c r="H1939" i="31" a="1"/>
  <c r="H1939" i="31" s="1"/>
  <c r="B219" i="10" s="1"/>
  <c r="H1941" i="31" a="1"/>
  <c r="H1941" i="31" s="1"/>
  <c r="B221" i="10" s="1"/>
  <c r="H1943" i="31" a="1"/>
  <c r="H1943" i="31" s="1"/>
  <c r="B223" i="10" s="1"/>
  <c r="H1945" i="31" a="1"/>
  <c r="H1945" i="31" s="1"/>
  <c r="B225" i="10" s="1"/>
  <c r="H1947" i="31" a="1"/>
  <c r="H1947" i="31" s="1"/>
  <c r="B227" i="10" s="1"/>
  <c r="H1949" i="31" a="1"/>
  <c r="H1949" i="31" s="1"/>
  <c r="B229" i="10" s="1"/>
  <c r="H1951" i="31" a="1"/>
  <c r="H1951" i="31" s="1"/>
  <c r="B231" i="10" s="1"/>
  <c r="H1953" i="31" a="1"/>
  <c r="H1953" i="31" s="1"/>
  <c r="B233" i="10" s="1"/>
  <c r="H1955" i="31" a="1"/>
  <c r="H1955" i="31" s="1"/>
  <c r="B235" i="10" s="1"/>
  <c r="H1957" i="31" a="1"/>
  <c r="H1957" i="31" s="1"/>
  <c r="B237" i="10" s="1"/>
  <c r="H1959" i="31" a="1"/>
  <c r="H1959" i="31" s="1"/>
  <c r="B239" i="10" s="1"/>
  <c r="H1961" i="31" a="1"/>
  <c r="H1961" i="31" s="1"/>
  <c r="B241" i="10" s="1"/>
  <c r="H1963" i="31" a="1"/>
  <c r="H1963" i="31" s="1"/>
  <c r="B243" i="10" s="1"/>
  <c r="H1965" i="31" a="1"/>
  <c r="H1965" i="31" s="1"/>
  <c r="B245" i="10" s="1"/>
  <c r="H1967" i="31" a="1"/>
  <c r="H1967" i="31" s="1"/>
  <c r="B247" i="10" s="1"/>
  <c r="H1969" i="31" a="1"/>
  <c r="H1969" i="31" s="1"/>
  <c r="B249" i="10" s="1"/>
  <c r="H1971" i="31" a="1"/>
  <c r="H1971" i="31" s="1"/>
  <c r="B251" i="10" s="1"/>
  <c r="H1973" i="31" a="1"/>
  <c r="H1973" i="31" s="1"/>
  <c r="B253" i="10" s="1"/>
  <c r="H1975" i="31" a="1"/>
  <c r="H1975" i="31" s="1"/>
  <c r="B255" i="10" s="1"/>
  <c r="H1977" i="31" a="1"/>
  <c r="H1977" i="31" s="1"/>
  <c r="B257" i="10" s="1"/>
  <c r="H1979" i="31" a="1"/>
  <c r="H1979" i="31" s="1"/>
  <c r="B259" i="10" s="1"/>
  <c r="H1981" i="31" a="1"/>
  <c r="H1981" i="31" s="1"/>
  <c r="B261" i="10" s="1"/>
  <c r="H1983" i="31" a="1"/>
  <c r="H1983" i="31" s="1"/>
  <c r="B263" i="10" s="1"/>
  <c r="H1985" i="31" a="1"/>
  <c r="H1985" i="31" s="1"/>
  <c r="B265" i="10" s="1"/>
  <c r="H1987" i="31" a="1"/>
  <c r="H1987" i="31" s="1"/>
  <c r="B267" i="10" s="1"/>
  <c r="H1989" i="31" a="1"/>
  <c r="H1989" i="31" s="1"/>
  <c r="B269" i="10" s="1"/>
  <c r="H1991" i="31" a="1"/>
  <c r="H1991" i="31" s="1"/>
  <c r="B271" i="10" s="1"/>
  <c r="H1994" i="31" a="1"/>
  <c r="H1994" i="31" s="1"/>
  <c r="B274" i="10" s="1"/>
  <c r="H1996" i="31" a="1"/>
  <c r="H1996" i="31" s="1"/>
  <c r="B276" i="10" s="1"/>
  <c r="H1998" i="31" a="1"/>
  <c r="H1998" i="31" s="1"/>
  <c r="B278" i="10" s="1"/>
  <c r="H2000" i="31" a="1"/>
  <c r="H2000" i="31" s="1"/>
  <c r="B280" i="10" s="1"/>
  <c r="H2002" i="31" a="1"/>
  <c r="H2002" i="31" s="1"/>
  <c r="B282" i="10" s="1"/>
  <c r="H2004" i="31" a="1"/>
  <c r="H2004" i="31" s="1"/>
  <c r="B284" i="10" s="1"/>
  <c r="H2006" i="31" a="1"/>
  <c r="H2006" i="31" s="1"/>
  <c r="B286" i="10" s="1"/>
  <c r="H2008" i="31" a="1"/>
  <c r="H2008" i="31" s="1"/>
  <c r="B288" i="10" s="1"/>
  <c r="H2010" i="31" a="1"/>
  <c r="H2010" i="31" s="1"/>
  <c r="B290" i="10" s="1"/>
  <c r="H2012" i="31" a="1"/>
  <c r="H2012" i="31" s="1"/>
  <c r="B292" i="10" s="1"/>
  <c r="H2014" i="31" a="1"/>
  <c r="H2014" i="31" s="1"/>
  <c r="B294" i="10" s="1"/>
  <c r="H2016" i="31" a="1"/>
  <c r="H2016" i="31" s="1"/>
  <c r="B296" i="10" s="1"/>
  <c r="H2018" i="31" a="1"/>
  <c r="H2018" i="31" s="1"/>
  <c r="B298" i="10" s="1"/>
  <c r="H2020" i="31" a="1"/>
  <c r="H2020" i="31" s="1"/>
  <c r="B300" i="10" s="1"/>
  <c r="H2022" i="31" a="1"/>
  <c r="H2022" i="31" s="1"/>
  <c r="B302" i="10" s="1"/>
  <c r="H2024" i="31" a="1"/>
  <c r="H2024" i="31" s="1"/>
  <c r="B304" i="10" s="1"/>
  <c r="H2026" i="31" a="1"/>
  <c r="H2026" i="31" s="1"/>
  <c r="B306" i="10" s="1"/>
  <c r="H2028" i="31" a="1"/>
  <c r="H2028" i="31" s="1"/>
  <c r="B308" i="10" s="1"/>
  <c r="H2030" i="31" a="1"/>
  <c r="H2030" i="31" s="1"/>
  <c r="B310" i="10" s="1"/>
  <c r="H2032" i="31" a="1"/>
  <c r="H2032" i="31" s="1"/>
  <c r="B312" i="10" s="1"/>
  <c r="H2034" i="31" a="1"/>
  <c r="H2034" i="31" s="1"/>
  <c r="B314" i="10" s="1"/>
  <c r="H2036" i="31" a="1"/>
  <c r="H2036" i="31" s="1"/>
  <c r="B316" i="10" s="1"/>
  <c r="H2038" i="31" a="1"/>
  <c r="H2038" i="31" s="1"/>
  <c r="B318" i="10" s="1"/>
  <c r="H2040" i="31" a="1"/>
  <c r="H2040" i="31" s="1"/>
  <c r="B320" i="10" s="1"/>
  <c r="H2042" i="31" a="1"/>
  <c r="H2042" i="31" s="1"/>
  <c r="B322" i="10" s="1"/>
  <c r="H2044" i="31" a="1"/>
  <c r="H2044" i="31" s="1"/>
  <c r="B324" i="10" s="1"/>
  <c r="H2046" i="31" a="1"/>
  <c r="H2046" i="31" s="1"/>
  <c r="B326" i="10" s="1"/>
  <c r="H2048" i="31" a="1"/>
  <c r="H2048" i="31" s="1"/>
  <c r="B328" i="10" s="1"/>
  <c r="H2050" i="31" a="1"/>
  <c r="H2050" i="31" s="1"/>
  <c r="B330" i="10" s="1"/>
  <c r="H2052" i="31" a="1"/>
  <c r="H2052" i="31" s="1"/>
  <c r="B332" i="10" s="1"/>
  <c r="H2054" i="31" a="1"/>
  <c r="H2054" i="31" s="1"/>
  <c r="B334" i="10" s="1"/>
  <c r="H2056" i="31" a="1"/>
  <c r="H2056" i="31" s="1"/>
  <c r="B336" i="10" s="1"/>
  <c r="H2058" i="31" a="1"/>
  <c r="H2058" i="31" s="1"/>
  <c r="B338" i="10" s="1"/>
  <c r="H2060" i="31" a="1"/>
  <c r="H2060" i="31" s="1"/>
  <c r="B340" i="10" s="1"/>
  <c r="H2062" i="31" a="1"/>
  <c r="H2062" i="31" s="1"/>
  <c r="B342" i="10" s="1"/>
  <c r="H2064" i="31" a="1"/>
  <c r="H2064" i="31" s="1"/>
  <c r="B344" i="10" s="1"/>
  <c r="H2066" i="31" a="1"/>
  <c r="H2066" i="31" s="1"/>
  <c r="B346" i="10" s="1"/>
  <c r="H2068" i="31" a="1"/>
  <c r="H2068" i="31" s="1"/>
  <c r="B348" i="10" s="1"/>
  <c r="H2070" i="31" a="1"/>
  <c r="H2070" i="31" s="1"/>
  <c r="B350" i="10" s="1"/>
  <c r="H2072" i="31" a="1"/>
  <c r="H2072" i="31" s="1"/>
  <c r="B352" i="10" s="1"/>
  <c r="H2074" i="31" a="1"/>
  <c r="H2074" i="31" s="1"/>
  <c r="B354" i="10" s="1"/>
  <c r="H2076" i="31" a="1"/>
  <c r="H2076" i="31" s="1"/>
  <c r="B356" i="10" s="1"/>
  <c r="H2080" i="31" a="1"/>
  <c r="H2080" i="31" s="1"/>
  <c r="H2173" i="31" a="1"/>
  <c r="H2173" i="31" s="1"/>
  <c r="B453" i="10" s="1"/>
  <c r="H2175" i="31" a="1"/>
  <c r="H2175" i="31" s="1"/>
  <c r="B455" i="10" s="1"/>
  <c r="H2177" i="31" a="1"/>
  <c r="H2177" i="31" s="1"/>
  <c r="B457" i="10" s="1"/>
  <c r="H2180" i="31" a="1"/>
  <c r="H2180" i="31" s="1"/>
  <c r="B460" i="10" s="1"/>
  <c r="H2182" i="31" a="1"/>
  <c r="H2182" i="31" s="1"/>
  <c r="B462" i="10" s="1"/>
  <c r="H2184" i="31" a="1"/>
  <c r="H2184" i="31" s="1"/>
  <c r="B464" i="10" s="1"/>
  <c r="H2186" i="31" a="1"/>
  <c r="H2186" i="31" s="1"/>
  <c r="B466" i="10" s="1"/>
  <c r="H2188" i="31" a="1"/>
  <c r="H2188" i="31" s="1"/>
  <c r="B468" i="10" s="1"/>
  <c r="H2190" i="31" a="1"/>
  <c r="H2190" i="31" s="1"/>
  <c r="B470" i="10" s="1"/>
  <c r="H2192" i="31" a="1"/>
  <c r="H2192" i="31" s="1"/>
  <c r="B472" i="10" s="1"/>
  <c r="H2194" i="31" a="1"/>
  <c r="H2194" i="31" s="1"/>
  <c r="B474" i="10" s="1"/>
  <c r="H2196" i="31" a="1"/>
  <c r="H2196" i="31" s="1"/>
  <c r="B476" i="10" s="1"/>
  <c r="H2198" i="31" a="1"/>
  <c r="H2198" i="31" s="1"/>
  <c r="B478" i="10" s="1"/>
  <c r="H2200" i="31" a="1"/>
  <c r="H2200" i="31" s="1"/>
  <c r="B480" i="10" s="1"/>
  <c r="H2202" i="31" a="1"/>
  <c r="H2202" i="31" s="1"/>
  <c r="B482" i="10" s="1"/>
  <c r="H2204" i="31" a="1"/>
  <c r="H2204" i="31" s="1"/>
  <c r="B484" i="10" s="1"/>
  <c r="H2206" i="31" a="1"/>
  <c r="H2206" i="31" s="1"/>
  <c r="B486" i="10" s="1"/>
  <c r="H2208" i="31" a="1"/>
  <c r="H2208" i="31" s="1"/>
  <c r="B488" i="10" s="1"/>
  <c r="H2210" i="31" a="1"/>
  <c r="H2210" i="31" s="1"/>
  <c r="B490" i="10" s="1"/>
  <c r="H2212" i="31" a="1"/>
  <c r="H2212" i="31" s="1"/>
  <c r="B492" i="10" s="1"/>
  <c r="H2214" i="31" a="1"/>
  <c r="H2214" i="31" s="1"/>
  <c r="B494" i="10" s="1"/>
  <c r="H2216" i="31" a="1"/>
  <c r="H2216" i="31" s="1"/>
  <c r="B496" i="10" s="1"/>
  <c r="H2218" i="31" a="1"/>
  <c r="H2218" i="31" s="1"/>
  <c r="B498" i="10" s="1"/>
  <c r="H2220" i="31" a="1"/>
  <c r="H2220" i="31" s="1"/>
  <c r="B500" i="10" s="1"/>
  <c r="H2222" i="31" a="1"/>
  <c r="H2222" i="31" s="1"/>
  <c r="B502" i="10" s="1"/>
  <c r="H2224" i="31" a="1"/>
  <c r="H2224" i="31" s="1"/>
  <c r="B504" i="10" s="1"/>
  <c r="H2226" i="31" a="1"/>
  <c r="H2226" i="31" s="1"/>
  <c r="B506" i="10" s="1"/>
  <c r="H2228" i="31" a="1"/>
  <c r="H2228" i="31" s="1"/>
  <c r="B508" i="10" s="1"/>
  <c r="H2230" i="31" a="1"/>
  <c r="H2230" i="31" s="1"/>
  <c r="B510" i="10" s="1"/>
  <c r="H2232" i="31" a="1"/>
  <c r="H2232" i="31" s="1"/>
  <c r="B512" i="10" s="1"/>
  <c r="H2234" i="31" a="1"/>
  <c r="H2234" i="31" s="1"/>
  <c r="B514" i="10" s="1"/>
  <c r="H2236" i="31" a="1"/>
  <c r="H2236" i="31" s="1"/>
  <c r="B516" i="10" s="1"/>
  <c r="H2238" i="31" a="1"/>
  <c r="H2238" i="31" s="1"/>
  <c r="B518" i="10" s="1"/>
  <c r="H2240" i="31" a="1"/>
  <c r="H2240" i="31" s="1"/>
  <c r="B520" i="10" s="1"/>
  <c r="H2242" i="31" a="1"/>
  <c r="H2242" i="31" s="1"/>
  <c r="B522" i="10" s="1"/>
  <c r="H2244" i="31" a="1"/>
  <c r="H2244" i="31" s="1"/>
  <c r="B524" i="10" s="1"/>
  <c r="H2246" i="31" a="1"/>
  <c r="H2246" i="31" s="1"/>
  <c r="B526" i="10" s="1"/>
  <c r="H2248" i="31" a="1"/>
  <c r="H2248" i="31" s="1"/>
  <c r="B528" i="10" s="1"/>
  <c r="H2250" i="31" a="1"/>
  <c r="H2250" i="31" s="1"/>
  <c r="B530" i="10" s="1"/>
  <c r="H2252" i="31" a="1"/>
  <c r="H2252" i="31" s="1"/>
  <c r="B532" i="10" s="1"/>
  <c r="H2254" i="31" a="1"/>
  <c r="H2254" i="31" s="1"/>
  <c r="B534" i="10" s="1"/>
  <c r="H2256" i="31" a="1"/>
  <c r="H2256" i="31" s="1"/>
  <c r="B536" i="10" s="1"/>
  <c r="H2258" i="31" a="1"/>
  <c r="H2258" i="31" s="1"/>
  <c r="B538" i="10" s="1"/>
  <c r="H2260" i="31" a="1"/>
  <c r="H2260" i="31" s="1"/>
  <c r="B540" i="10" s="1"/>
  <c r="H2262" i="31" a="1"/>
  <c r="H2262" i="31" s="1"/>
  <c r="B542" i="10" s="1"/>
  <c r="H2264" i="31" a="1"/>
  <c r="H2264" i="31" s="1"/>
  <c r="B544" i="10" s="1"/>
  <c r="H2266" i="31" a="1"/>
  <c r="H2266" i="31" s="1"/>
  <c r="B546" i="10" s="1"/>
  <c r="H2268" i="31" a="1"/>
  <c r="H2268" i="31" s="1"/>
  <c r="B548" i="10" s="1"/>
  <c r="H2270" i="31" a="1"/>
  <c r="H2270" i="31" s="1"/>
  <c r="B550" i="10" s="1"/>
  <c r="H2272" i="31" a="1"/>
  <c r="H2272" i="31" s="1"/>
  <c r="B552" i="10" s="1"/>
  <c r="H2274" i="31" a="1"/>
  <c r="H2274" i="31" s="1"/>
  <c r="B554" i="10" s="1"/>
  <c r="H2276" i="31" a="1"/>
  <c r="H2276" i="31" s="1"/>
  <c r="B556" i="10" s="1"/>
  <c r="H2278" i="31" a="1"/>
  <c r="H2278" i="31" s="1"/>
  <c r="B558" i="10" s="1"/>
  <c r="H2280" i="31" a="1"/>
  <c r="H2280" i="31" s="1"/>
  <c r="B560" i="10" s="1"/>
  <c r="H2282" i="31" a="1"/>
  <c r="H2282" i="31" s="1"/>
  <c r="B562" i="10" s="1"/>
  <c r="H2284" i="31" a="1"/>
  <c r="H2284" i="31" s="1"/>
  <c r="B564" i="10" s="1"/>
  <c r="H2286" i="31" a="1"/>
  <c r="H2286" i="31" s="1"/>
  <c r="B566" i="10" s="1"/>
  <c r="H2288" i="31" a="1"/>
  <c r="H2288" i="31" s="1"/>
  <c r="B568" i="10" s="1"/>
  <c r="H2067" i="31" a="1"/>
  <c r="H2067" i="31" s="1"/>
  <c r="B347" i="10" s="1"/>
  <c r="H2069" i="31" a="1"/>
  <c r="H2069" i="31" s="1"/>
  <c r="B349" i="10" s="1"/>
  <c r="H2071" i="31" a="1"/>
  <c r="H2071" i="31" s="1"/>
  <c r="B351" i="10" s="1"/>
  <c r="H2073" i="31" a="1"/>
  <c r="H2073" i="31" s="1"/>
  <c r="B353" i="10" s="1"/>
  <c r="H2075" i="31" a="1"/>
  <c r="H2075" i="31" s="1"/>
  <c r="B355" i="10" s="1"/>
  <c r="H2077" i="31" a="1"/>
  <c r="H2077" i="31" s="1"/>
  <c r="B357" i="10" s="1"/>
  <c r="H2081" i="31" a="1"/>
  <c r="H2081" i="31" s="1"/>
  <c r="B361" i="10" s="1"/>
  <c r="H2174" i="31" a="1"/>
  <c r="H2174" i="31" s="1"/>
  <c r="B454" i="10" s="1"/>
  <c r="H2176" i="31" a="1"/>
  <c r="H2176" i="31" s="1"/>
  <c r="B456" i="10" s="1"/>
  <c r="H2179" i="31" a="1"/>
  <c r="H2179" i="31" s="1"/>
  <c r="B459" i="10" s="1"/>
  <c r="H2181" i="31" a="1"/>
  <c r="H2181" i="31" s="1"/>
  <c r="B461" i="10" s="1"/>
  <c r="H2183" i="31" a="1"/>
  <c r="H2183" i="31" s="1"/>
  <c r="B463" i="10" s="1"/>
  <c r="H2185" i="31" a="1"/>
  <c r="H2185" i="31" s="1"/>
  <c r="B465" i="10" s="1"/>
  <c r="H2187" i="31" a="1"/>
  <c r="H2187" i="31" s="1"/>
  <c r="B467" i="10" s="1"/>
  <c r="H2189" i="31" a="1"/>
  <c r="H2189" i="31" s="1"/>
  <c r="B469" i="10" s="1"/>
  <c r="H2191" i="31" a="1"/>
  <c r="H2191" i="31" s="1"/>
  <c r="B471" i="10" s="1"/>
  <c r="H2193" i="31" a="1"/>
  <c r="H2193" i="31" s="1"/>
  <c r="B473" i="10" s="1"/>
  <c r="H2195" i="31" a="1"/>
  <c r="H2195" i="31" s="1"/>
  <c r="B475" i="10" s="1"/>
  <c r="H2197" i="31" a="1"/>
  <c r="H2197" i="31" s="1"/>
  <c r="B477" i="10" s="1"/>
  <c r="H2199" i="31" a="1"/>
  <c r="H2199" i="31" s="1"/>
  <c r="B479" i="10" s="1"/>
  <c r="H2201" i="31" a="1"/>
  <c r="H2201" i="31" s="1"/>
  <c r="B481" i="10" s="1"/>
  <c r="H2203" i="31" a="1"/>
  <c r="H2203" i="31" s="1"/>
  <c r="B483" i="10" s="1"/>
  <c r="H2205" i="31" a="1"/>
  <c r="H2205" i="31" s="1"/>
  <c r="B485" i="10" s="1"/>
  <c r="H2207" i="31" a="1"/>
  <c r="H2207" i="31" s="1"/>
  <c r="B487" i="10" s="1"/>
  <c r="H2209" i="31" a="1"/>
  <c r="H2209" i="31" s="1"/>
  <c r="B489" i="10" s="1"/>
  <c r="H2211" i="31" a="1"/>
  <c r="H2211" i="31" s="1"/>
  <c r="B491" i="10" s="1"/>
  <c r="H2213" i="31" a="1"/>
  <c r="H2213" i="31" s="1"/>
  <c r="B493" i="10" s="1"/>
  <c r="H2215" i="31" a="1"/>
  <c r="H2215" i="31" s="1"/>
  <c r="B495" i="10" s="1"/>
  <c r="H2217" i="31" a="1"/>
  <c r="H2217" i="31" s="1"/>
  <c r="B497" i="10" s="1"/>
  <c r="H2219" i="31" a="1"/>
  <c r="H2219" i="31" s="1"/>
  <c r="B499" i="10" s="1"/>
  <c r="H2221" i="31" a="1"/>
  <c r="H2221" i="31" s="1"/>
  <c r="B501" i="10" s="1"/>
  <c r="H2223" i="31" a="1"/>
  <c r="H2223" i="31" s="1"/>
  <c r="B503" i="10" s="1"/>
  <c r="H2225" i="31" a="1"/>
  <c r="H2225" i="31" s="1"/>
  <c r="B505" i="10" s="1"/>
  <c r="H2227" i="31" a="1"/>
  <c r="H2227" i="31" s="1"/>
  <c r="B507" i="10" s="1"/>
  <c r="H2229" i="31" a="1"/>
  <c r="H2229" i="31" s="1"/>
  <c r="B509" i="10" s="1"/>
  <c r="H2231" i="31" a="1"/>
  <c r="H2231" i="31" s="1"/>
  <c r="B511" i="10" s="1"/>
  <c r="H2233" i="31" a="1"/>
  <c r="H2233" i="31" s="1"/>
  <c r="B513" i="10" s="1"/>
  <c r="H2235" i="31" a="1"/>
  <c r="H2235" i="31" s="1"/>
  <c r="B515" i="10" s="1"/>
  <c r="H2237" i="31" a="1"/>
  <c r="H2237" i="31" s="1"/>
  <c r="B517" i="10" s="1"/>
  <c r="H2239" i="31" a="1"/>
  <c r="H2239" i="31" s="1"/>
  <c r="B519" i="10" s="1"/>
  <c r="H2241" i="31" a="1"/>
  <c r="H2241" i="31" s="1"/>
  <c r="B521" i="10" s="1"/>
  <c r="H2243" i="31" a="1"/>
  <c r="H2243" i="31" s="1"/>
  <c r="B523" i="10" s="1"/>
  <c r="H2245" i="31" a="1"/>
  <c r="H2245" i="31" s="1"/>
  <c r="B525" i="10" s="1"/>
  <c r="H2247" i="31" a="1"/>
  <c r="H2247" i="31" s="1"/>
  <c r="B527" i="10" s="1"/>
  <c r="H2249" i="31" a="1"/>
  <c r="H2249" i="31" s="1"/>
  <c r="B529" i="10" s="1"/>
  <c r="H2251" i="31" a="1"/>
  <c r="H2251" i="31" s="1"/>
  <c r="B531" i="10" s="1"/>
  <c r="H2253" i="31" a="1"/>
  <c r="H2253" i="31" s="1"/>
  <c r="B533" i="10" s="1"/>
  <c r="H2255" i="31" a="1"/>
  <c r="H2255" i="31" s="1"/>
  <c r="B535" i="10" s="1"/>
  <c r="H2257" i="31" a="1"/>
  <c r="H2257" i="31" s="1"/>
  <c r="B537" i="10" s="1"/>
  <c r="H2259" i="31" a="1"/>
  <c r="H2259" i="31" s="1"/>
  <c r="B539" i="10" s="1"/>
  <c r="H2261" i="31" a="1"/>
  <c r="H2261" i="31" s="1"/>
  <c r="B541" i="10" s="1"/>
  <c r="H2263" i="31" a="1"/>
  <c r="H2263" i="31" s="1"/>
  <c r="B543" i="10" s="1"/>
  <c r="H2265" i="31" a="1"/>
  <c r="H2265" i="31" s="1"/>
  <c r="B545" i="10" s="1"/>
  <c r="H2267" i="31" a="1"/>
  <c r="H2267" i="31" s="1"/>
  <c r="B547" i="10" s="1"/>
  <c r="H2269" i="31" a="1"/>
  <c r="H2269" i="31" s="1"/>
  <c r="B549" i="10" s="1"/>
  <c r="H2271" i="31" a="1"/>
  <c r="H2271" i="31" s="1"/>
  <c r="B551" i="10" s="1"/>
  <c r="H2273" i="31" a="1"/>
  <c r="H2273" i="31" s="1"/>
  <c r="B553" i="10" s="1"/>
  <c r="H2275" i="31" a="1"/>
  <c r="H2275" i="31" s="1"/>
  <c r="B555" i="10" s="1"/>
  <c r="H2277" i="31" a="1"/>
  <c r="H2277" i="31" s="1"/>
  <c r="B557" i="10" s="1"/>
  <c r="H2279" i="31" a="1"/>
  <c r="H2279" i="31" s="1"/>
  <c r="B559" i="10" s="1"/>
  <c r="H2281" i="31" a="1"/>
  <c r="H2281" i="31" s="1"/>
  <c r="B561" i="10" s="1"/>
  <c r="H2283" i="31" a="1"/>
  <c r="H2283" i="31" s="1"/>
  <c r="B563" i="10" s="1"/>
  <c r="H2285" i="31" a="1"/>
  <c r="H2285" i="31" s="1"/>
  <c r="B565" i="10" s="1"/>
  <c r="H2287" i="31" a="1"/>
  <c r="H2287" i="31" s="1"/>
  <c r="B567" i="10" s="1"/>
  <c r="H2291" i="31" a="1"/>
  <c r="H2291" i="31" s="1"/>
  <c r="B571" i="10" s="1"/>
  <c r="H2296" i="31" a="1"/>
  <c r="H2296" i="31" s="1"/>
  <c r="B576" i="10" s="1"/>
  <c r="H2299" i="31" a="1"/>
  <c r="H2299" i="31" s="1"/>
  <c r="B579" i="10" s="1"/>
  <c r="H2304" i="31" a="1"/>
  <c r="H2304" i="31" s="1"/>
  <c r="B584" i="10" s="1"/>
  <c r="H2306" i="31" a="1"/>
  <c r="H2306" i="31" s="1"/>
  <c r="B586" i="10" s="1"/>
  <c r="H2308" i="31" a="1"/>
  <c r="H2308" i="31" s="1"/>
  <c r="B588" i="10" s="1"/>
  <c r="H2310" i="31" a="1"/>
  <c r="H2310" i="31" s="1"/>
  <c r="B590" i="10" s="1"/>
  <c r="H2312" i="31" a="1"/>
  <c r="H2312" i="31" s="1"/>
  <c r="B592" i="10" s="1"/>
  <c r="H2314" i="31" a="1"/>
  <c r="H2314" i="31" s="1"/>
  <c r="B594" i="10" s="1"/>
  <c r="H2316" i="31" a="1"/>
  <c r="H2316" i="31" s="1"/>
  <c r="B596" i="10" s="1"/>
  <c r="H2318" i="31" a="1"/>
  <c r="H2318" i="31" s="1"/>
  <c r="B598" i="10" s="1"/>
  <c r="H2320" i="31" a="1"/>
  <c r="H2320" i="31" s="1"/>
  <c r="B600" i="10" s="1"/>
  <c r="H2322" i="31" a="1"/>
  <c r="H2322" i="31" s="1"/>
  <c r="B602" i="10" s="1"/>
  <c r="H2324" i="31" a="1"/>
  <c r="H2324" i="31" s="1"/>
  <c r="B604" i="10" s="1"/>
  <c r="H2326" i="31" a="1"/>
  <c r="H2326" i="31" s="1"/>
  <c r="B606" i="10" s="1"/>
  <c r="H2328" i="31" a="1"/>
  <c r="H2328" i="31" s="1"/>
  <c r="B608" i="10" s="1"/>
  <c r="H2330" i="31" a="1"/>
  <c r="H2330" i="31" s="1"/>
  <c r="B610" i="10" s="1"/>
  <c r="H2332" i="31" a="1"/>
  <c r="H2332" i="31" s="1"/>
  <c r="B612" i="10" s="1"/>
  <c r="H2334" i="31" a="1"/>
  <c r="H2334" i="31" s="1"/>
  <c r="B614" i="10" s="1"/>
  <c r="H2336" i="31" a="1"/>
  <c r="H2336" i="31" s="1"/>
  <c r="B616" i="10" s="1"/>
  <c r="H2338" i="31" a="1"/>
  <c r="H2338" i="31" s="1"/>
  <c r="B618" i="10" s="1"/>
  <c r="H2340" i="31" a="1"/>
  <c r="H2340" i="31" s="1"/>
  <c r="B620" i="10" s="1"/>
  <c r="H2342" i="31" a="1"/>
  <c r="H2342" i="31" s="1"/>
  <c r="B622" i="10" s="1"/>
  <c r="H2344" i="31" a="1"/>
  <c r="H2344" i="31" s="1"/>
  <c r="B624" i="10" s="1"/>
  <c r="H2346" i="31" a="1"/>
  <c r="H2346" i="31" s="1"/>
  <c r="B626" i="10" s="1"/>
  <c r="H2348" i="31" a="1"/>
  <c r="H2348" i="31" s="1"/>
  <c r="B628" i="10" s="1"/>
  <c r="H2350" i="31" a="1"/>
  <c r="H2350" i="31" s="1"/>
  <c r="B630" i="10" s="1"/>
  <c r="H2352" i="31" a="1"/>
  <c r="H2352" i="31" s="1"/>
  <c r="B632" i="10" s="1"/>
  <c r="H2354" i="31" a="1"/>
  <c r="H2354" i="31" s="1"/>
  <c r="B634" i="10" s="1"/>
  <c r="H2356" i="31" a="1"/>
  <c r="H2356" i="31" s="1"/>
  <c r="B636" i="10" s="1"/>
  <c r="H2358" i="31" a="1"/>
  <c r="H2358" i="31" s="1"/>
  <c r="B638" i="10" s="1"/>
  <c r="H2360" i="31" a="1"/>
  <c r="H2360" i="31" s="1"/>
  <c r="B640" i="10" s="1"/>
  <c r="H2362" i="31" a="1"/>
  <c r="H2362" i="31" s="1"/>
  <c r="B642" i="10" s="1"/>
  <c r="H2364" i="31" a="1"/>
  <c r="H2364" i="31" s="1"/>
  <c r="B644" i="10" s="1"/>
  <c r="H2366" i="31" a="1"/>
  <c r="H2366" i="31" s="1"/>
  <c r="B646" i="10" s="1"/>
  <c r="H2368" i="31" a="1"/>
  <c r="H2368" i="31" s="1"/>
  <c r="B648" i="10" s="1"/>
  <c r="H2370" i="31" a="1"/>
  <c r="H2370" i="31" s="1"/>
  <c r="B650" i="10" s="1"/>
  <c r="H2289" i="31" a="1"/>
  <c r="H2289" i="31" s="1"/>
  <c r="B569" i="10" s="1"/>
  <c r="H2294" i="31" a="1"/>
  <c r="H2294" i="31" s="1"/>
  <c r="B574" i="10" s="1"/>
  <c r="H2297" i="31" a="1"/>
  <c r="H2297" i="31" s="1"/>
  <c r="B577" i="10" s="1"/>
  <c r="H2302" i="31" a="1"/>
  <c r="H2302" i="31" s="1"/>
  <c r="B582" i="10" s="1"/>
  <c r="H2293" i="31" a="1"/>
  <c r="H2293" i="31" s="1"/>
  <c r="B573" i="10" s="1"/>
  <c r="H2301" i="31" a="1"/>
  <c r="H2301" i="31" s="1"/>
  <c r="B581" i="10" s="1"/>
  <c r="H2292" i="31" a="1"/>
  <c r="H2292" i="31" s="1"/>
  <c r="B572" i="10" s="1"/>
  <c r="H2295" i="31" a="1"/>
  <c r="H2295" i="31" s="1"/>
  <c r="B575" i="10" s="1"/>
  <c r="H2300" i="31" a="1"/>
  <c r="H2300" i="31" s="1"/>
  <c r="B580" i="10" s="1"/>
  <c r="H2303" i="31" a="1"/>
  <c r="H2303" i="31" s="1"/>
  <c r="B583" i="10" s="1"/>
  <c r="H2305" i="31" a="1"/>
  <c r="H2305" i="31" s="1"/>
  <c r="B585" i="10" s="1"/>
  <c r="H2307" i="31" a="1"/>
  <c r="H2307" i="31" s="1"/>
  <c r="B587" i="10" s="1"/>
  <c r="H2309" i="31" a="1"/>
  <c r="H2309" i="31" s="1"/>
  <c r="B589" i="10" s="1"/>
  <c r="H2311" i="31" a="1"/>
  <c r="H2311" i="31" s="1"/>
  <c r="B591" i="10" s="1"/>
  <c r="H2313" i="31" a="1"/>
  <c r="H2313" i="31" s="1"/>
  <c r="B593" i="10" s="1"/>
  <c r="H2315" i="31" a="1"/>
  <c r="H2315" i="31" s="1"/>
  <c r="B595" i="10" s="1"/>
  <c r="H2317" i="31" a="1"/>
  <c r="H2317" i="31" s="1"/>
  <c r="B597" i="10" s="1"/>
  <c r="H2319" i="31" a="1"/>
  <c r="H2319" i="31" s="1"/>
  <c r="B599" i="10" s="1"/>
  <c r="H2321" i="31" a="1"/>
  <c r="H2321" i="31" s="1"/>
  <c r="B601" i="10" s="1"/>
  <c r="H2323" i="31" a="1"/>
  <c r="H2323" i="31" s="1"/>
  <c r="B603" i="10" s="1"/>
  <c r="H2325" i="31" a="1"/>
  <c r="H2325" i="31" s="1"/>
  <c r="B605" i="10" s="1"/>
  <c r="H2327" i="31" a="1"/>
  <c r="H2327" i="31" s="1"/>
  <c r="B607" i="10" s="1"/>
  <c r="H2329" i="31" a="1"/>
  <c r="H2329" i="31" s="1"/>
  <c r="B609" i="10" s="1"/>
  <c r="H2331" i="31" a="1"/>
  <c r="H2331" i="31" s="1"/>
  <c r="B611" i="10" s="1"/>
  <c r="H2333" i="31" a="1"/>
  <c r="H2333" i="31" s="1"/>
  <c r="B613" i="10" s="1"/>
  <c r="H2335" i="31" a="1"/>
  <c r="H2335" i="31" s="1"/>
  <c r="B615" i="10" s="1"/>
  <c r="H2337" i="31" a="1"/>
  <c r="H2337" i="31" s="1"/>
  <c r="B617" i="10" s="1"/>
  <c r="H2339" i="31" a="1"/>
  <c r="H2339" i="31" s="1"/>
  <c r="B619" i="10" s="1"/>
  <c r="H2341" i="31" a="1"/>
  <c r="H2341" i="31" s="1"/>
  <c r="B621" i="10" s="1"/>
  <c r="H2343" i="31" a="1"/>
  <c r="H2343" i="31" s="1"/>
  <c r="B623" i="10" s="1"/>
  <c r="H2345" i="31" a="1"/>
  <c r="H2345" i="31" s="1"/>
  <c r="B625" i="10" s="1"/>
  <c r="H2347" i="31" a="1"/>
  <c r="H2347" i="31" s="1"/>
  <c r="B627" i="10" s="1"/>
  <c r="H2349" i="31" a="1"/>
  <c r="H2349" i="31" s="1"/>
  <c r="B629" i="10" s="1"/>
  <c r="H2351" i="31" a="1"/>
  <c r="H2351" i="31" s="1"/>
  <c r="B631" i="10" s="1"/>
  <c r="H2353" i="31" a="1"/>
  <c r="H2353" i="31" s="1"/>
  <c r="B633" i="10" s="1"/>
  <c r="H2355" i="31" a="1"/>
  <c r="H2355" i="31" s="1"/>
  <c r="B635" i="10" s="1"/>
  <c r="H2357" i="31" a="1"/>
  <c r="H2357" i="31" s="1"/>
  <c r="B637" i="10" s="1"/>
  <c r="H2359" i="31" a="1"/>
  <c r="H2359" i="31" s="1"/>
  <c r="B639" i="10" s="1"/>
  <c r="H2361" i="31" a="1"/>
  <c r="H2361" i="31" s="1"/>
  <c r="B641" i="10" s="1"/>
  <c r="H2363" i="31" a="1"/>
  <c r="H2363" i="31" s="1"/>
  <c r="B643" i="10" s="1"/>
  <c r="H2365" i="31" a="1"/>
  <c r="H2365" i="31" s="1"/>
  <c r="B645" i="10" s="1"/>
  <c r="H2367" i="31" a="1"/>
  <c r="H2367" i="31" s="1"/>
  <c r="B647" i="10" s="1"/>
  <c r="H2369" i="31" a="1"/>
  <c r="H2369" i="31" s="1"/>
  <c r="B649" i="10" s="1"/>
  <c r="H2290" i="31" a="1"/>
  <c r="H2290" i="31" s="1"/>
  <c r="B570" i="10" s="1"/>
  <c r="H2298" i="31" a="1"/>
  <c r="H2298" i="31" s="1"/>
  <c r="B578" i="10" s="1"/>
  <c r="H2844" i="31" a="1"/>
  <c r="H2844" i="31" s="1"/>
  <c r="J153" i="6" s="1"/>
  <c r="H1719" i="31" a="1"/>
  <c r="H1719" i="31" s="1"/>
  <c r="H1723" i="31" a="1"/>
  <c r="H1723" i="31" s="1"/>
  <c r="H1718" i="31" a="1"/>
  <c r="H1718" i="31" s="1"/>
  <c r="A94" i="10" s="1"/>
  <c r="H1722" i="31" a="1"/>
  <c r="H1722" i="31" s="1"/>
  <c r="H1720" i="31" a="1"/>
  <c r="H1720" i="31" s="1"/>
  <c r="A274" i="10" s="1"/>
  <c r="H1721" i="31" a="1"/>
  <c r="H1721" i="31" s="1"/>
  <c r="A369" i="10" s="1"/>
  <c r="H1725" i="31" a="1"/>
  <c r="H1725" i="31" s="1"/>
  <c r="A581" i="10" s="1"/>
  <c r="H1724" i="31" a="1"/>
  <c r="H1724" i="31" s="1"/>
  <c r="H2746" i="31" a="1"/>
  <c r="H2746" i="31" s="1"/>
  <c r="J155" i="6" s="1"/>
  <c r="H2744" i="31" a="1"/>
  <c r="H2744" i="31" s="1"/>
  <c r="I163" i="6" s="1"/>
  <c r="H2745" i="31" a="1"/>
  <c r="H2745" i="31" s="1"/>
  <c r="J154" i="6" s="1"/>
  <c r="H2742" i="31" a="1"/>
  <c r="H2742" i="31" s="1"/>
  <c r="I161" i="6" s="1"/>
  <c r="H2743" i="31" a="1"/>
  <c r="H2743" i="31" s="1"/>
  <c r="I162" i="6" s="1"/>
  <c r="H2740" i="31" a="1"/>
  <c r="H2740" i="31" s="1"/>
  <c r="I159" i="6" s="1"/>
  <c r="H2741" i="31" a="1"/>
  <c r="H2741" i="31" s="1"/>
  <c r="I160" i="6" s="1"/>
  <c r="H2738" i="31" a="1"/>
  <c r="H2738" i="31" s="1"/>
  <c r="I157" i="6" s="1"/>
  <c r="H2739" i="31" a="1"/>
  <c r="H2739" i="31" s="1"/>
  <c r="I158" i="6" s="1"/>
  <c r="H2736" i="31" a="1"/>
  <c r="H2736" i="31" s="1"/>
  <c r="I155" i="6" s="1"/>
  <c r="H2737" i="31" a="1"/>
  <c r="H2737" i="31" s="1"/>
  <c r="I156" i="6" s="1"/>
  <c r="H2734" i="31" a="1"/>
  <c r="H2734" i="31" s="1"/>
  <c r="H155" i="6" s="1"/>
  <c r="H2735" i="31" a="1"/>
  <c r="H2735" i="31" s="1"/>
  <c r="I154" i="6" s="1"/>
  <c r="H2732" i="31" a="1"/>
  <c r="H2732" i="31" s="1"/>
  <c r="G161" i="6" s="1"/>
  <c r="H2733" i="31" a="1"/>
  <c r="H2733" i="31" s="1"/>
  <c r="H154" i="6" s="1"/>
  <c r="H2730" i="31" a="1"/>
  <c r="H2730" i="31" s="1"/>
  <c r="G159" i="6" s="1"/>
  <c r="H2731" i="31" a="1"/>
  <c r="H2731" i="31" s="1"/>
  <c r="G160" i="6" s="1"/>
  <c r="H2728" i="31" a="1"/>
  <c r="H2728" i="31" s="1"/>
  <c r="G157" i="6" s="1"/>
  <c r="H2729" i="31" a="1"/>
  <c r="H2729" i="31" s="1"/>
  <c r="G158" i="6" s="1"/>
  <c r="H2726" i="31" a="1"/>
  <c r="H2726" i="31" s="1"/>
  <c r="G155" i="6" s="1"/>
  <c r="H2727" i="31" a="1"/>
  <c r="H2727" i="31" s="1"/>
  <c r="G156" i="6" s="1"/>
  <c r="H2724" i="31" a="1"/>
  <c r="H2724" i="31" s="1"/>
  <c r="F156" i="6" s="1"/>
  <c r="H2725" i="31" a="1"/>
  <c r="H2725" i="31" s="1"/>
  <c r="G154" i="6" s="1"/>
  <c r="H2837" i="31" a="1"/>
  <c r="H2837" i="31" s="1"/>
  <c r="C153" i="6" s="1"/>
  <c r="H2838" i="31" a="1"/>
  <c r="H2838" i="31" s="1"/>
  <c r="D153" i="6" s="1"/>
  <c r="H1880" i="31" a="1"/>
  <c r="H1880" i="31" s="1"/>
  <c r="B160" i="10" s="1"/>
  <c r="H1881" i="31" a="1"/>
  <c r="H1881" i="31" s="1"/>
  <c r="B161" i="10" s="1"/>
  <c r="H1837" i="31" a="1"/>
  <c r="H1837" i="31" s="1"/>
  <c r="B117" i="10" s="1"/>
  <c r="H1838" i="31" a="1"/>
  <c r="H1838" i="31" s="1"/>
  <c r="B118" i="10" s="1"/>
  <c r="H1745" i="31" a="1"/>
  <c r="H1745" i="31" s="1"/>
  <c r="B25" i="10" s="1"/>
  <c r="H1746" i="31" a="1"/>
  <c r="H1746" i="31" s="1"/>
  <c r="B26" i="10" s="1"/>
  <c r="A42" i="36" a="1"/>
  <c r="A42" i="36" s="1"/>
  <c r="A41" i="36" a="1"/>
  <c r="A41" i="36" s="1"/>
  <c r="A40" i="36" a="1"/>
  <c r="A40" i="36" s="1"/>
  <c r="A59" i="36" a="1"/>
  <c r="A59" i="36" s="1"/>
  <c r="BM59" i="36" s="1"/>
  <c r="A58" i="36" a="1"/>
  <c r="A58" i="36" s="1"/>
  <c r="BM58" i="36" s="1"/>
  <c r="H16" i="36"/>
  <c r="H18" i="36"/>
  <c r="H6" i="36"/>
  <c r="H2830" i="31" a="1"/>
  <c r="H2830" i="31" s="1"/>
  <c r="H2831" i="31" a="1"/>
  <c r="H2831" i="31" s="1"/>
  <c r="BM67" i="36"/>
  <c r="BM62" i="36"/>
  <c r="BM65" i="36"/>
  <c r="BM63" i="36"/>
  <c r="BM64" i="36"/>
  <c r="BM66" i="36"/>
  <c r="D80" i="36" a="1"/>
  <c r="D80" i="36" s="1"/>
  <c r="D79" i="36" a="1"/>
  <c r="D79" i="36" s="1"/>
  <c r="D78" i="36" a="1"/>
  <c r="D78" i="36" s="1"/>
  <c r="H2914" i="31" a="1"/>
  <c r="H2914" i="31" s="1"/>
  <c r="H2829" i="31" a="1"/>
  <c r="H2829" i="31" s="1"/>
  <c r="H2828" i="31" a="1"/>
  <c r="H2828" i="31" s="1"/>
  <c r="I65" i="36"/>
  <c r="I66" i="36"/>
  <c r="I64" i="36"/>
  <c r="I63" i="36"/>
  <c r="I62" i="36"/>
  <c r="I67" i="36"/>
  <c r="E7" i="1"/>
  <c r="H2826" i="31" a="1"/>
  <c r="H2826" i="31" s="1"/>
  <c r="H2827" i="31" a="1"/>
  <c r="H2827" i="31" s="1"/>
  <c r="H108" i="31" a="1"/>
  <c r="H108" i="31" s="1"/>
  <c r="B26" i="11" s="1"/>
  <c r="H2825" i="31" a="1"/>
  <c r="H2825" i="31" s="1"/>
  <c r="H1049" i="31" a="1"/>
  <c r="H1049" i="31" s="1"/>
  <c r="B64" i="9" s="1"/>
  <c r="H1050" i="31" a="1"/>
  <c r="H1050" i="31" s="1"/>
  <c r="B65" i="9" s="1"/>
  <c r="H132" i="31" a="1"/>
  <c r="H132" i="31" s="1"/>
  <c r="R19" i="33" s="1"/>
  <c r="H1048" i="31" a="1"/>
  <c r="H1048" i="31" s="1"/>
  <c r="B63" i="9" s="1"/>
  <c r="H606" i="31" a="1"/>
  <c r="H606" i="31" s="1"/>
  <c r="B54" i="2" s="1"/>
  <c r="H607" i="31" a="1"/>
  <c r="H607" i="31" s="1"/>
  <c r="B57" i="2" s="1"/>
  <c r="H609" i="31" a="1"/>
  <c r="H609" i="31" s="1"/>
  <c r="B62" i="2" s="1"/>
  <c r="H611" i="31" a="1"/>
  <c r="H611" i="31" s="1"/>
  <c r="H612" i="31" a="1"/>
  <c r="H612" i="31" s="1"/>
  <c r="H608" i="31" a="1"/>
  <c r="H608" i="31" s="1"/>
  <c r="B61" i="2" s="1"/>
  <c r="H610" i="31" a="1"/>
  <c r="H610" i="31" s="1"/>
  <c r="B63" i="2" s="1"/>
  <c r="H599" i="31" a="1"/>
  <c r="H599" i="31" s="1"/>
  <c r="B46" i="2" s="1"/>
  <c r="H601" i="31" a="1"/>
  <c r="H601" i="31" s="1"/>
  <c r="B48" i="2" s="1"/>
  <c r="H603" i="31" a="1"/>
  <c r="H603" i="31" s="1"/>
  <c r="B50" i="2" s="1"/>
  <c r="H605" i="31" a="1"/>
  <c r="H605" i="31" s="1"/>
  <c r="B53" i="2" s="1"/>
  <c r="H602" i="31" a="1"/>
  <c r="H602" i="31" s="1"/>
  <c r="B49" i="2" s="1"/>
  <c r="H604" i="31" a="1"/>
  <c r="H604" i="31" s="1"/>
  <c r="B51" i="2" s="1"/>
  <c r="H600" i="31" a="1"/>
  <c r="H600" i="31" s="1"/>
  <c r="B47" i="2" s="1"/>
  <c r="H565" i="31" a="1"/>
  <c r="H565" i="31" s="1"/>
  <c r="C28" i="2" s="1"/>
  <c r="H220" i="31" a="1"/>
  <c r="H220" i="31" s="1"/>
  <c r="B36" i="1" s="1"/>
  <c r="H563" i="31" a="1"/>
  <c r="H563" i="31" s="1"/>
  <c r="H564" i="31" a="1"/>
  <c r="H564" i="31" s="1"/>
  <c r="B28" i="2" s="1"/>
  <c r="H561" i="31" a="1"/>
  <c r="H561" i="31" s="1"/>
  <c r="C26" i="2" s="1"/>
  <c r="H562" i="31" a="1"/>
  <c r="H562" i="31" s="1"/>
  <c r="B27" i="2" s="1"/>
  <c r="H1707" i="31" a="1"/>
  <c r="H1707" i="31" s="1"/>
  <c r="Q5" i="10" s="1"/>
  <c r="H1708" i="31" a="1"/>
  <c r="H1708" i="31" s="1"/>
  <c r="R5" i="10" s="1"/>
  <c r="H1872" i="31" a="1"/>
  <c r="H1872" i="31" s="1"/>
  <c r="B152" i="10" s="1"/>
  <c r="H1873" i="31" a="1"/>
  <c r="H1873" i="31" s="1"/>
  <c r="B153" i="10" s="1"/>
  <c r="H1870" i="31" a="1"/>
  <c r="H1870" i="31" s="1"/>
  <c r="B150" i="10" s="1"/>
  <c r="H1871" i="31" a="1"/>
  <c r="H1871" i="31" s="1"/>
  <c r="B151" i="10" s="1"/>
  <c r="H1829" i="31" a="1"/>
  <c r="H1829" i="31" s="1"/>
  <c r="B109" i="10" s="1"/>
  <c r="H1830" i="31" a="1"/>
  <c r="H1830" i="31" s="1"/>
  <c r="B110" i="10" s="1"/>
  <c r="H1827" i="31" a="1"/>
  <c r="H1827" i="31" s="1"/>
  <c r="B107" i="10" s="1"/>
  <c r="H1828" i="31" a="1"/>
  <c r="H1828" i="31" s="1"/>
  <c r="B108" i="10" s="1"/>
  <c r="H1737" i="31" a="1"/>
  <c r="H1737" i="31" s="1"/>
  <c r="B17" i="10" s="1"/>
  <c r="H1738" i="31" a="1"/>
  <c r="H1738" i="31" s="1"/>
  <c r="B18" i="10" s="1"/>
  <c r="H1735" i="31" a="1"/>
  <c r="H1735" i="31" s="1"/>
  <c r="B15" i="10" s="1"/>
  <c r="H1736" i="31" a="1"/>
  <c r="H1736" i="31" s="1"/>
  <c r="B16" i="10" s="1"/>
  <c r="H2813" i="31" a="1"/>
  <c r="H2813" i="31" s="1"/>
  <c r="H2824" i="31" a="1"/>
  <c r="H2824" i="31" s="1"/>
  <c r="H2799" i="31" a="1"/>
  <c r="H2799" i="31" s="1"/>
  <c r="H2801" i="31" a="1"/>
  <c r="H2801" i="31" s="1"/>
  <c r="H2803" i="31" a="1"/>
  <c r="H2803" i="31" s="1"/>
  <c r="H2805" i="31" a="1"/>
  <c r="H2805" i="31" s="1"/>
  <c r="H2807" i="31" a="1"/>
  <c r="H2807" i="31" s="1"/>
  <c r="H2809" i="31" a="1"/>
  <c r="H2809" i="31" s="1"/>
  <c r="H2811" i="31" a="1"/>
  <c r="H2811" i="31" s="1"/>
  <c r="H2800" i="31" a="1"/>
  <c r="H2800" i="31" s="1"/>
  <c r="H2802" i="31" a="1"/>
  <c r="H2802" i="31" s="1"/>
  <c r="H2804" i="31" a="1"/>
  <c r="H2804" i="31" s="1"/>
  <c r="H2806" i="31" a="1"/>
  <c r="H2806" i="31" s="1"/>
  <c r="H2808" i="31" a="1"/>
  <c r="H2808" i="31" s="1"/>
  <c r="H2810" i="31" a="1"/>
  <c r="H2810" i="31" s="1"/>
  <c r="H2812" i="31" a="1"/>
  <c r="H2812" i="31" s="1"/>
  <c r="H2776" i="31" a="1"/>
  <c r="H2776" i="31" s="1"/>
  <c r="H2778" i="31" a="1"/>
  <c r="H2778" i="31" s="1"/>
  <c r="H2780" i="31" a="1"/>
  <c r="H2780" i="31" s="1"/>
  <c r="H2782" i="31" a="1"/>
  <c r="H2782" i="31" s="1"/>
  <c r="H2784" i="31" a="1"/>
  <c r="H2784" i="31" s="1"/>
  <c r="H2786" i="31" a="1"/>
  <c r="H2786" i="31" s="1"/>
  <c r="H2790" i="31" a="1"/>
  <c r="H2790" i="31" s="1"/>
  <c r="H2794" i="31" a="1"/>
  <c r="H2794" i="31" s="1"/>
  <c r="H2777" i="31" a="1"/>
  <c r="H2777" i="31" s="1"/>
  <c r="H2779" i="31" a="1"/>
  <c r="H2779" i="31" s="1"/>
  <c r="H2781" i="31" a="1"/>
  <c r="H2781" i="31" s="1"/>
  <c r="H2783" i="31" a="1"/>
  <c r="H2783" i="31" s="1"/>
  <c r="H2785" i="31" a="1"/>
  <c r="H2785" i="31" s="1"/>
  <c r="H2787" i="31" a="1"/>
  <c r="H2787" i="31" s="1"/>
  <c r="H2789" i="31" a="1"/>
  <c r="H2789" i="31" s="1"/>
  <c r="H2791" i="31" a="1"/>
  <c r="H2791" i="31" s="1"/>
  <c r="H2793" i="31" a="1"/>
  <c r="H2793" i="31" s="1"/>
  <c r="H2795" i="31" a="1"/>
  <c r="H2795" i="31" s="1"/>
  <c r="H2797" i="31" a="1"/>
  <c r="H2797" i="31" s="1"/>
  <c r="H2788" i="31" a="1"/>
  <c r="H2788" i="31" s="1"/>
  <c r="H2792" i="31" a="1"/>
  <c r="H2792" i="31" s="1"/>
  <c r="H2796" i="31" a="1"/>
  <c r="H2796" i="31" s="1"/>
  <c r="H2798" i="31" a="1"/>
  <c r="H2798" i="31" s="1"/>
  <c r="H2747" i="31" a="1"/>
  <c r="H2747" i="31" s="1"/>
  <c r="B170" i="6" s="1"/>
  <c r="H2749" i="31" a="1"/>
  <c r="H2749" i="31" s="1"/>
  <c r="C172" i="6" s="1"/>
  <c r="H2751" i="31" a="1"/>
  <c r="H2751" i="31" s="1"/>
  <c r="H2753" i="31" a="1"/>
  <c r="H2753" i="31" s="1"/>
  <c r="G172" i="6" s="1"/>
  <c r="H2755" i="31" a="1"/>
  <c r="H2755" i="31" s="1"/>
  <c r="B219" i="6" s="1"/>
  <c r="H2757" i="31" a="1"/>
  <c r="H2757" i="31" s="1"/>
  <c r="B184" i="6" s="1"/>
  <c r="H2759" i="31" a="1"/>
  <c r="H2759" i="31" s="1"/>
  <c r="B187" i="6" s="1"/>
  <c r="H2761" i="31" a="1"/>
  <c r="H2761" i="31" s="1"/>
  <c r="C189" i="6" s="1"/>
  <c r="H2762" i="31" a="1"/>
  <c r="H2762" i="31" s="1"/>
  <c r="F189" i="6" s="1"/>
  <c r="H2764" i="31" a="1"/>
  <c r="H2764" i="31" s="1"/>
  <c r="B200" i="6" s="1"/>
  <c r="H2766" i="31" a="1"/>
  <c r="H2766" i="31" s="1"/>
  <c r="B203" i="6" s="1"/>
  <c r="H2768" i="31" a="1"/>
  <c r="H2768" i="31" s="1"/>
  <c r="F205" i="6" s="1"/>
  <c r="H2770" i="31" a="1"/>
  <c r="H2770" i="31" s="1"/>
  <c r="B224" i="6" s="1"/>
  <c r="H2772" i="31" a="1"/>
  <c r="H2772" i="31" s="1"/>
  <c r="C226" i="6" s="1"/>
  <c r="H2774" i="31" a="1"/>
  <c r="H2774" i="31" s="1"/>
  <c r="G226" i="6" s="1"/>
  <c r="H2748" i="31" a="1"/>
  <c r="H2748" i="31" s="1"/>
  <c r="B172" i="6" s="1"/>
  <c r="H2750" i="31" a="1"/>
  <c r="H2750" i="31" s="1"/>
  <c r="D172" i="6" s="1"/>
  <c r="H2752" i="31" a="1"/>
  <c r="H2752" i="31" s="1"/>
  <c r="F172" i="6" s="1"/>
  <c r="H2754" i="31" a="1"/>
  <c r="H2754" i="31" s="1"/>
  <c r="H172" i="6" s="1"/>
  <c r="H2756" i="31" a="1"/>
  <c r="H2756" i="31" s="1"/>
  <c r="B183" i="6" s="1"/>
  <c r="H2758" i="31" a="1"/>
  <c r="H2758" i="31" s="1"/>
  <c r="B185" i="6" s="1"/>
  <c r="H2760" i="31" a="1"/>
  <c r="H2760" i="31" s="1"/>
  <c r="H2763" i="31" a="1"/>
  <c r="H2763" i="31" s="1"/>
  <c r="G189" i="6" s="1"/>
  <c r="H2765" i="31" a="1"/>
  <c r="H2765" i="31" s="1"/>
  <c r="B201" i="6" s="1"/>
  <c r="H2767" i="31" a="1"/>
  <c r="H2767" i="31" s="1"/>
  <c r="B205" i="6" s="1"/>
  <c r="H2769" i="31" a="1"/>
  <c r="H2769" i="31" s="1"/>
  <c r="B220" i="6" s="1"/>
  <c r="H2771" i="31" a="1"/>
  <c r="H2771" i="31" s="1"/>
  <c r="B226" i="6" s="1"/>
  <c r="H2773" i="31" a="1"/>
  <c r="H2773" i="31" s="1"/>
  <c r="F226" i="6" s="1"/>
  <c r="H763" i="31" a="1"/>
  <c r="H763" i="31" s="1"/>
  <c r="B116" i="2" s="1"/>
  <c r="H2775" i="31" a="1"/>
  <c r="H2775" i="31" s="1"/>
  <c r="B238" i="6" s="1"/>
  <c r="H74" i="31" a="1"/>
  <c r="H74" i="31" s="1"/>
  <c r="J109" i="37" s="1"/>
  <c r="H271" i="31" a="1"/>
  <c r="H271" i="31" s="1"/>
  <c r="H72" i="31" a="1"/>
  <c r="H72" i="31" s="1"/>
  <c r="H73" i="31" a="1"/>
  <c r="H73" i="31" s="1"/>
  <c r="J107" i="37" s="1"/>
  <c r="H70" i="31" a="1"/>
  <c r="H70" i="31" s="1"/>
  <c r="H71" i="31" a="1"/>
  <c r="H71" i="31" s="1"/>
  <c r="A82" i="37" s="1"/>
  <c r="H68" i="31" a="1"/>
  <c r="H68" i="31" s="1"/>
  <c r="H69" i="31" a="1"/>
  <c r="H69" i="31" s="1"/>
  <c r="H66" i="31" a="1"/>
  <c r="H66" i="31" s="1"/>
  <c r="H67" i="31" a="1"/>
  <c r="H67" i="31" s="1"/>
  <c r="H229" i="31" a="1"/>
  <c r="H229" i="31" s="1"/>
  <c r="B45" i="1" s="1"/>
  <c r="H65" i="31" a="1"/>
  <c r="H65" i="31" s="1"/>
  <c r="H3176" i="31" a="1"/>
  <c r="H3176" i="31" s="1"/>
  <c r="E25" i="38" s="1"/>
  <c r="H33" i="31" a="1"/>
  <c r="H33" i="31" s="1"/>
  <c r="G6" i="34" s="1"/>
  <c r="H3101" i="31" a="1"/>
  <c r="H3101" i="31" s="1"/>
  <c r="C31" i="36" s="1"/>
  <c r="H3163" i="31" a="1"/>
  <c r="H3163" i="31" s="1"/>
  <c r="C8" i="38" s="1"/>
  <c r="H46" i="31" a="1"/>
  <c r="H46" i="31" s="1"/>
  <c r="G11" i="34" s="1"/>
  <c r="H47" i="31" a="1"/>
  <c r="H47" i="31" s="1"/>
  <c r="G12" i="34" s="1"/>
  <c r="H64" i="31" a="1"/>
  <c r="H64" i="31" s="1"/>
  <c r="A3" i="37" s="1"/>
  <c r="H3095" i="31" a="1"/>
  <c r="H3095" i="31" s="1"/>
  <c r="H85" i="31" a="1"/>
  <c r="H85" i="31" s="1"/>
  <c r="H63" i="31" a="1"/>
  <c r="H63" i="31" s="1"/>
  <c r="A1" i="37" s="1"/>
  <c r="H149" i="31" a="1"/>
  <c r="H149" i="31" s="1"/>
  <c r="A108" i="37" s="1"/>
  <c r="H828" i="31" a="1"/>
  <c r="H828" i="31" s="1"/>
  <c r="B167" i="2" s="1"/>
  <c r="B103" i="37" s="1"/>
  <c r="H867" i="31" a="1"/>
  <c r="H867" i="31" s="1"/>
  <c r="H868" i="31" a="1"/>
  <c r="H868" i="31" s="1"/>
  <c r="B195" i="2" s="1"/>
  <c r="H826" i="31" a="1"/>
  <c r="H826" i="31" s="1"/>
  <c r="B165" i="2" s="1"/>
  <c r="H827" i="31" a="1"/>
  <c r="H827" i="31" s="1"/>
  <c r="B166" i="2" s="1"/>
  <c r="H2912" i="31" a="1"/>
  <c r="H2912" i="31" s="1"/>
  <c r="H2915" i="31" a="1"/>
  <c r="H2915" i="31" s="1"/>
  <c r="H2917" i="31" a="1"/>
  <c r="H2917" i="31" s="1"/>
  <c r="H2919" i="31" a="1"/>
  <c r="H2919" i="31" s="1"/>
  <c r="H2921" i="31" a="1"/>
  <c r="H2921" i="31" s="1"/>
  <c r="H2923" i="31" a="1"/>
  <c r="H2923" i="31" s="1"/>
  <c r="H2925" i="31" a="1"/>
  <c r="H2925" i="31" s="1"/>
  <c r="H2927" i="31" a="1"/>
  <c r="H2927" i="31" s="1"/>
  <c r="H2929" i="31" a="1"/>
  <c r="H2929" i="31" s="1"/>
  <c r="H2931" i="31" a="1"/>
  <c r="H2931" i="31" s="1"/>
  <c r="H2913" i="31" a="1"/>
  <c r="H2913" i="31" s="1"/>
  <c r="H2916" i="31" a="1"/>
  <c r="H2916" i="31" s="1"/>
  <c r="H2918" i="31" a="1"/>
  <c r="H2918" i="31" s="1"/>
  <c r="H2920" i="31" a="1"/>
  <c r="H2920" i="31" s="1"/>
  <c r="H2922" i="31" a="1"/>
  <c r="H2922" i="31" s="1"/>
  <c r="H2924" i="31" a="1"/>
  <c r="H2924" i="31" s="1"/>
  <c r="H2926" i="31" a="1"/>
  <c r="H2926" i="31" s="1"/>
  <c r="H2928" i="31" a="1"/>
  <c r="H2928" i="31" s="1"/>
  <c r="H2930" i="31" a="1"/>
  <c r="H2930" i="31" s="1"/>
  <c r="G22" i="1"/>
  <c r="H3079" i="31" a="1"/>
  <c r="H3079" i="31" s="1"/>
  <c r="B9" i="36" s="1"/>
  <c r="H175" i="31" a="1"/>
  <c r="H175" i="31" s="1"/>
  <c r="K26" i="38" a="1"/>
  <c r="K26" i="38" s="1"/>
  <c r="AH26" i="38" s="1"/>
  <c r="K16" i="38" a="1"/>
  <c r="K16" i="38" s="1"/>
  <c r="H3173" i="31" a="1"/>
  <c r="H3173" i="31" s="1"/>
  <c r="H3175" i="31" a="1"/>
  <c r="H3175" i="31" s="1"/>
  <c r="H3178" i="31" a="1"/>
  <c r="H3178" i="31" s="1"/>
  <c r="D15" i="38" s="1"/>
  <c r="H3180" i="31" a="1"/>
  <c r="H3180" i="31" s="1"/>
  <c r="B23" i="38" s="1"/>
  <c r="H3182" i="31" a="1"/>
  <c r="H3182" i="31" s="1"/>
  <c r="H26" i="38" s="1"/>
  <c r="H3174" i="31" a="1"/>
  <c r="H3174" i="31" s="1"/>
  <c r="H3177" i="31" a="1"/>
  <c r="H3177" i="31" s="1"/>
  <c r="H3179" i="31" a="1"/>
  <c r="H3179" i="31" s="1"/>
  <c r="B20" i="38" s="1"/>
  <c r="H3181" i="31" a="1"/>
  <c r="H3181" i="31" s="1"/>
  <c r="G23" i="38" s="1"/>
  <c r="H3151" i="31" a="1"/>
  <c r="H3151" i="31" s="1"/>
  <c r="E3" i="38" s="1"/>
  <c r="H3153" i="31" a="1"/>
  <c r="H3153" i="31" s="1"/>
  <c r="B4" i="38" s="1"/>
  <c r="H3155" i="31" a="1"/>
  <c r="H3155" i="31" s="1"/>
  <c r="D4" i="38" s="1"/>
  <c r="H3157" i="31" a="1"/>
  <c r="H3157" i="31" s="1"/>
  <c r="F4" i="38" s="1"/>
  <c r="H3159" i="31" a="1"/>
  <c r="H3159" i="31" s="1"/>
  <c r="H4" i="38" s="1"/>
  <c r="H3161" i="31" a="1"/>
  <c r="H3161" i="31" s="1"/>
  <c r="B6" i="38" s="1"/>
  <c r="H3164" i="31" a="1"/>
  <c r="H3164" i="31" s="1"/>
  <c r="B10" i="38" s="1"/>
  <c r="H3166" i="31" a="1"/>
  <c r="H3166" i="31" s="1"/>
  <c r="H3168" i="31" a="1"/>
  <c r="H3168" i="31" s="1"/>
  <c r="H3170" i="31" a="1"/>
  <c r="H3170" i="31" s="1"/>
  <c r="H3172" i="31" a="1"/>
  <c r="H3172" i="31" s="1"/>
  <c r="H3152" i="31" a="1"/>
  <c r="H3152" i="31" s="1"/>
  <c r="I3" i="38" s="1"/>
  <c r="H3154" i="31" a="1"/>
  <c r="H3154" i="31" s="1"/>
  <c r="C4" i="38" s="1"/>
  <c r="H3156" i="31" a="1"/>
  <c r="H3156" i="31" s="1"/>
  <c r="E4" i="38" s="1"/>
  <c r="H3158" i="31" a="1"/>
  <c r="H3158" i="31" s="1"/>
  <c r="G4" i="38" s="1"/>
  <c r="H3160" i="31" a="1"/>
  <c r="H3160" i="31" s="1"/>
  <c r="B5" i="38" s="1"/>
  <c r="H3162" i="31" a="1"/>
  <c r="H3162" i="31" s="1"/>
  <c r="B7" i="38" s="1"/>
  <c r="H3165" i="31" a="1"/>
  <c r="H3165" i="31" s="1"/>
  <c r="B22" i="38" s="1"/>
  <c r="H3167" i="31" a="1"/>
  <c r="H3167" i="31" s="1"/>
  <c r="H3169" i="31" a="1"/>
  <c r="H3169" i="31" s="1"/>
  <c r="H3171" i="31" a="1"/>
  <c r="H3171" i="31" s="1"/>
  <c r="H3149" i="31" a="1"/>
  <c r="H3149" i="31" s="1"/>
  <c r="B1" i="38" s="1"/>
  <c r="H3150" i="31" a="1"/>
  <c r="H3150" i="31" s="1"/>
  <c r="B3" i="38" s="1"/>
  <c r="BY85" i="36" a="1"/>
  <c r="BY85" i="36" s="1"/>
  <c r="E85" i="36" s="1" a="1"/>
  <c r="E85" i="36" s="1"/>
  <c r="AC85" i="36" s="1"/>
  <c r="BY84" i="36" a="1"/>
  <c r="BY84" i="36" s="1"/>
  <c r="E84" i="36" s="1" a="1"/>
  <c r="E84" i="36" s="1"/>
  <c r="AC84" i="36" s="1"/>
  <c r="BY83" i="36" a="1"/>
  <c r="BY83" i="36" s="1"/>
  <c r="E83" i="36" s="1" a="1"/>
  <c r="E83" i="36" s="1"/>
  <c r="AC83" i="36" s="1"/>
  <c r="BY82" i="36" a="1"/>
  <c r="BY82" i="36" s="1"/>
  <c r="E82" i="36" s="1" a="1"/>
  <c r="E82" i="36" s="1"/>
  <c r="AC82" i="36" s="1"/>
  <c r="BY80" i="36" a="1"/>
  <c r="BY80" i="36" s="1"/>
  <c r="E80" i="36" s="1" a="1"/>
  <c r="E80" i="36" s="1"/>
  <c r="AC80" i="36" s="1"/>
  <c r="BY81" i="36" a="1"/>
  <c r="BY81" i="36" s="1"/>
  <c r="E81" i="36" s="1" a="1"/>
  <c r="E81" i="36" s="1"/>
  <c r="AC81" i="36" s="1"/>
  <c r="BY79" i="36" a="1"/>
  <c r="BY79" i="36" s="1"/>
  <c r="E79" i="36" s="1" a="1"/>
  <c r="E79" i="36" s="1"/>
  <c r="BY78" i="36" a="1"/>
  <c r="BY78" i="36" s="1"/>
  <c r="E78" i="36" s="1" a="1"/>
  <c r="E78" i="36" s="1"/>
  <c r="AC78" i="36" s="1"/>
  <c r="BY77" i="36" a="1"/>
  <c r="BY77" i="36" s="1"/>
  <c r="E77" i="36" s="1" a="1"/>
  <c r="E77" i="36" s="1"/>
  <c r="AC77" i="36" s="1"/>
  <c r="BY76" i="36" a="1"/>
  <c r="BY76" i="36" s="1"/>
  <c r="E76" i="36" s="1" a="1"/>
  <c r="E76" i="36" s="1"/>
  <c r="AC76" i="36" s="1"/>
  <c r="D77" i="36" a="1"/>
  <c r="D77" i="36" s="1"/>
  <c r="D81" i="36" a="1"/>
  <c r="D81" i="36" s="1"/>
  <c r="D82" i="36" a="1"/>
  <c r="D82" i="36" s="1"/>
  <c r="D83" i="36" a="1"/>
  <c r="D83" i="36" s="1"/>
  <c r="D84" i="36" a="1"/>
  <c r="D84" i="36" s="1"/>
  <c r="D85" i="36" a="1"/>
  <c r="D85" i="36" s="1"/>
  <c r="D76" i="36" a="1"/>
  <c r="D76" i="36" s="1"/>
  <c r="A85" i="36" a="1"/>
  <c r="A85" i="36" s="1"/>
  <c r="A84" i="36" a="1"/>
  <c r="A84" i="36" s="1"/>
  <c r="A83" i="36" a="1"/>
  <c r="A83" i="36" s="1"/>
  <c r="A82" i="36" a="1"/>
  <c r="A82" i="36" s="1"/>
  <c r="A81" i="36" a="1"/>
  <c r="A81" i="36" s="1"/>
  <c r="A80" i="36" a="1"/>
  <c r="A80" i="36" s="1"/>
  <c r="A79" i="36" a="1"/>
  <c r="A79" i="36" s="1"/>
  <c r="A78" i="36" a="1"/>
  <c r="A78" i="36" s="1"/>
  <c r="A77" i="36" a="1"/>
  <c r="A77" i="36" s="1"/>
  <c r="A76" i="36" a="1"/>
  <c r="A76" i="36" s="1"/>
  <c r="AI34" i="36" s="1"/>
  <c r="A61" i="36" a="1"/>
  <c r="A61" i="36" s="1"/>
  <c r="BM61" i="36" s="1"/>
  <c r="A60" i="36" a="1"/>
  <c r="A60" i="36" s="1"/>
  <c r="BM60" i="36" s="1"/>
  <c r="D61" i="36" a="1"/>
  <c r="D61" i="36" s="1"/>
  <c r="AD61" i="36" s="1"/>
  <c r="D60" i="36" a="1"/>
  <c r="D60" i="36" s="1"/>
  <c r="AD60" i="36" s="1"/>
  <c r="D59" i="36" a="1"/>
  <c r="D59" i="36" s="1"/>
  <c r="AD59" i="36" s="1"/>
  <c r="D58" i="36" a="1"/>
  <c r="D58" i="36" s="1"/>
  <c r="AD58" i="36" s="1"/>
  <c r="BY67" i="36" a="1"/>
  <c r="BY67" i="36" s="1"/>
  <c r="E67" i="36" s="1" a="1"/>
  <c r="E67" i="36" s="1"/>
  <c r="AC67" i="36" s="1"/>
  <c r="BY63" i="36" a="1"/>
  <c r="BY63" i="36" s="1"/>
  <c r="E63" i="36" s="1" a="1"/>
  <c r="E63" i="36" s="1"/>
  <c r="AC63" i="36" s="1"/>
  <c r="BY66" i="36" a="1"/>
  <c r="BY66" i="36" s="1"/>
  <c r="E66" i="36" s="1" a="1"/>
  <c r="E66" i="36" s="1"/>
  <c r="AC66" i="36" s="1"/>
  <c r="BY65" i="36" a="1"/>
  <c r="BY65" i="36" s="1"/>
  <c r="E65" i="36" s="1" a="1"/>
  <c r="E65" i="36" s="1"/>
  <c r="AC65" i="36" s="1"/>
  <c r="BY64" i="36" a="1"/>
  <c r="BY64" i="36" s="1"/>
  <c r="E64" i="36" s="1" a="1"/>
  <c r="E64" i="36" s="1"/>
  <c r="AC64" i="36" s="1"/>
  <c r="BY62" i="36" a="1"/>
  <c r="BY62" i="36" s="1"/>
  <c r="E62" i="36" s="1" a="1"/>
  <c r="E62" i="36" s="1"/>
  <c r="AC62" i="36" s="1"/>
  <c r="BY61" i="36" a="1"/>
  <c r="BY61" i="36" s="1"/>
  <c r="E61" i="36" s="1" a="1"/>
  <c r="E61" i="36" s="1"/>
  <c r="AC61" i="36" s="1"/>
  <c r="BY59" i="36" a="1"/>
  <c r="BY59" i="36" s="1"/>
  <c r="E59" i="36" s="1" a="1"/>
  <c r="E59" i="36" s="1"/>
  <c r="AC59" i="36" s="1"/>
  <c r="BY60" i="36" a="1"/>
  <c r="BY60" i="36" s="1"/>
  <c r="E60" i="36" s="1" a="1"/>
  <c r="E60" i="36" s="1"/>
  <c r="AC60" i="36" s="1"/>
  <c r="BY58" i="36" a="1"/>
  <c r="BY58" i="36" s="1"/>
  <c r="E58" i="36" s="1" a="1"/>
  <c r="E58" i="36" s="1"/>
  <c r="AC58" i="36" s="1"/>
  <c r="D50" i="36" a="1"/>
  <c r="D50" i="36" s="1"/>
  <c r="BY50" i="36" a="1"/>
  <c r="BY50" i="36" s="1"/>
  <c r="D49" i="36" a="1"/>
  <c r="D49" i="36" s="1"/>
  <c r="BY49" i="36" a="1"/>
  <c r="BY49" i="36" s="1"/>
  <c r="E49" i="36" s="1" a="1"/>
  <c r="E49" i="36" s="1"/>
  <c r="AC49" i="36" s="1"/>
  <c r="BY48" i="36" a="1"/>
  <c r="BY48" i="36" s="1"/>
  <c r="E48" i="36" s="1" a="1"/>
  <c r="E48" i="36" s="1"/>
  <c r="AC48" i="36" s="1"/>
  <c r="D47" i="36" a="1"/>
  <c r="D47" i="36" s="1"/>
  <c r="BY47" i="36" a="1"/>
  <c r="BY47" i="36" s="1"/>
  <c r="E47" i="36" s="1" a="1"/>
  <c r="E47" i="36" s="1"/>
  <c r="AC47" i="36" s="1"/>
  <c r="D46" i="36" a="1"/>
  <c r="D46" i="36" s="1"/>
  <c r="BY46" i="36" a="1"/>
  <c r="BY46" i="36" s="1"/>
  <c r="E46" i="36" s="1" a="1"/>
  <c r="E46" i="36" s="1"/>
  <c r="AC46" i="36" s="1"/>
  <c r="D45" i="36" a="1"/>
  <c r="D45" i="36" s="1"/>
  <c r="BY45" i="36" a="1"/>
  <c r="BY45" i="36" s="1"/>
  <c r="E45" i="36" s="1" a="1"/>
  <c r="E45" i="36" s="1"/>
  <c r="AC45" i="36" s="1"/>
  <c r="D44" i="36" a="1"/>
  <c r="D44" i="36" s="1"/>
  <c r="BY44" i="36" a="1"/>
  <c r="BY44" i="36" s="1"/>
  <c r="E44" i="36" s="1" a="1"/>
  <c r="E44" i="36" s="1"/>
  <c r="AC44" i="36" s="1"/>
  <c r="BY43" i="36" a="1"/>
  <c r="BY43" i="36" s="1"/>
  <c r="E43" i="36" s="1" a="1"/>
  <c r="E43" i="36" s="1"/>
  <c r="AC43" i="36" s="1"/>
  <c r="BY42" i="36" a="1"/>
  <c r="BY42" i="36" s="1"/>
  <c r="E42" i="36" s="1" a="1"/>
  <c r="E42" i="36" s="1"/>
  <c r="AC42" i="36" s="1"/>
  <c r="BY41" i="36" a="1"/>
  <c r="BY41" i="36" s="1"/>
  <c r="E41" i="36" s="1" a="1"/>
  <c r="E41" i="36" s="1"/>
  <c r="AC41" i="36" s="1"/>
  <c r="BY40" i="36" a="1"/>
  <c r="BY40" i="36" s="1"/>
  <c r="E40" i="36" s="1" a="1"/>
  <c r="E40" i="36" s="1"/>
  <c r="AC40" i="36" s="1"/>
  <c r="D43" i="36" a="1"/>
  <c r="D43" i="36" s="1"/>
  <c r="D42" i="36" a="1"/>
  <c r="D42" i="36" s="1"/>
  <c r="D41" i="36" a="1"/>
  <c r="D41" i="36" s="1"/>
  <c r="AB41" i="36" s="1"/>
  <c r="D40" i="36" a="1"/>
  <c r="D40" i="36" s="1"/>
  <c r="AB40" i="36" s="1"/>
  <c r="D48" i="36" a="1"/>
  <c r="D48" i="36" s="1"/>
  <c r="H3143" i="31" a="1"/>
  <c r="H3143" i="31" s="1"/>
  <c r="T56" i="36" s="1"/>
  <c r="H3145" i="31" a="1"/>
  <c r="H3145" i="31" s="1"/>
  <c r="H3147" i="31" a="1"/>
  <c r="H3147" i="31" s="1"/>
  <c r="Q73" i="36" s="1"/>
  <c r="H3144" i="31" a="1"/>
  <c r="H3144" i="31" s="1"/>
  <c r="H3146" i="31" a="1"/>
  <c r="H3146" i="31" s="1"/>
  <c r="Q72" i="36" s="1"/>
  <c r="H3120" i="31" a="1"/>
  <c r="H3120" i="31" s="1"/>
  <c r="H3129" i="31" a="1"/>
  <c r="H3129" i="31" s="1"/>
  <c r="H3131" i="31" a="1"/>
  <c r="H3131" i="31" s="1"/>
  <c r="Q54" i="36" s="1"/>
  <c r="H3133" i="31" a="1"/>
  <c r="H3133" i="31" s="1"/>
  <c r="H3135" i="31" a="1"/>
  <c r="H3135" i="31" s="1"/>
  <c r="H3137" i="31" a="1"/>
  <c r="H3137" i="31" s="1"/>
  <c r="H3139" i="31" a="1"/>
  <c r="H3139" i="31" s="1"/>
  <c r="Q55" i="36" s="1"/>
  <c r="H3141" i="31" a="1"/>
  <c r="H3141" i="31" s="1"/>
  <c r="V55" i="36" s="1"/>
  <c r="H3130" i="31" a="1"/>
  <c r="H3130" i="31" s="1"/>
  <c r="H3132" i="31" a="1"/>
  <c r="H3132" i="31" s="1"/>
  <c r="H3134" i="31" a="1"/>
  <c r="H3134" i="31" s="1"/>
  <c r="H3136" i="31" a="1"/>
  <c r="H3136" i="31" s="1"/>
  <c r="H3138" i="31" a="1"/>
  <c r="H3138" i="31" s="1"/>
  <c r="H3140" i="31" a="1"/>
  <c r="H3140" i="31" s="1"/>
  <c r="S55" i="36" s="1"/>
  <c r="H3142" i="31" a="1"/>
  <c r="H3142" i="31" s="1"/>
  <c r="H3122" i="31" a="1"/>
  <c r="H3122" i="31" s="1"/>
  <c r="L39" i="36" s="1"/>
  <c r="H3121" i="31" a="1"/>
  <c r="H3121" i="31" s="1"/>
  <c r="L38" i="36" s="1"/>
  <c r="H3124" i="31" a="1"/>
  <c r="H3124" i="31" s="1"/>
  <c r="N38" i="36" s="1"/>
  <c r="H3123" i="31" a="1"/>
  <c r="H3123" i="31" s="1"/>
  <c r="M39" i="36" s="1"/>
  <c r="H3119" i="31" a="1"/>
  <c r="H3119" i="31" s="1"/>
  <c r="H3125" i="31" a="1"/>
  <c r="H3125" i="31" s="1"/>
  <c r="N39" i="36" s="1"/>
  <c r="H3117" i="31" a="1"/>
  <c r="H3117" i="31" s="1"/>
  <c r="J37" i="36" s="1"/>
  <c r="H3118" i="31" a="1"/>
  <c r="H3118" i="31" s="1"/>
  <c r="H3113" i="31" a="1"/>
  <c r="H3113" i="31" s="1"/>
  <c r="H3114" i="31" a="1"/>
  <c r="H3114" i="31" s="1"/>
  <c r="H3111" i="31" a="1"/>
  <c r="H3111" i="31" s="1"/>
  <c r="H3112" i="31" a="1"/>
  <c r="H3112" i="31" s="1"/>
  <c r="H3105" i="31" a="1"/>
  <c r="H3105" i="31" s="1"/>
  <c r="H3110" i="31" a="1"/>
  <c r="H3110" i="31" s="1"/>
  <c r="H3100" i="31" a="1"/>
  <c r="H3100" i="31" s="1"/>
  <c r="H3102" i="31" a="1"/>
  <c r="H3102" i="31" s="1"/>
  <c r="A33" i="36" s="1"/>
  <c r="H3098" i="31" a="1"/>
  <c r="H3098" i="31" s="1"/>
  <c r="H3099" i="31" a="1"/>
  <c r="H3099" i="31" s="1"/>
  <c r="H3096" i="31" a="1"/>
  <c r="H3096" i="31" s="1"/>
  <c r="H3097" i="31" a="1"/>
  <c r="H3097" i="31" s="1"/>
  <c r="H3094" i="31" a="1"/>
  <c r="H3094" i="31" s="1"/>
  <c r="H3092" i="31" a="1"/>
  <c r="H3092" i="31" s="1"/>
  <c r="B22" i="36" s="1"/>
  <c r="H3093" i="31" a="1"/>
  <c r="H3093" i="31" s="1"/>
  <c r="H3090" i="31" a="1"/>
  <c r="H3090" i="31" s="1"/>
  <c r="B19" i="36" s="1"/>
  <c r="H3091" i="31" a="1"/>
  <c r="H3091" i="31" s="1"/>
  <c r="B21" i="36" s="1"/>
  <c r="H3088" i="31" a="1"/>
  <c r="H3088" i="31" s="1"/>
  <c r="B20" i="36" s="1"/>
  <c r="H3089" i="31" a="1"/>
  <c r="H3089" i="31" s="1"/>
  <c r="B18" i="36" s="1"/>
  <c r="H3087" i="31" a="1"/>
  <c r="H3087" i="31" s="1"/>
  <c r="B17" i="36" s="1"/>
  <c r="H3084" i="31" a="1"/>
  <c r="H3084" i="31" s="1"/>
  <c r="B14" i="36" s="1"/>
  <c r="H3085" i="31" a="1"/>
  <c r="H3085" i="31" s="1"/>
  <c r="B15" i="36" s="1"/>
  <c r="H3082" i="31" a="1"/>
  <c r="H3082" i="31" s="1"/>
  <c r="B12" i="36" s="1"/>
  <c r="H3083" i="31" a="1"/>
  <c r="H3083" i="31" s="1"/>
  <c r="B13" i="36" s="1"/>
  <c r="H3080" i="31" a="1"/>
  <c r="H3080" i="31" s="1"/>
  <c r="B10" i="36" s="1"/>
  <c r="H3081" i="31" a="1"/>
  <c r="H3081" i="31" s="1"/>
  <c r="B11" i="36" s="1"/>
  <c r="H3074" i="31" a="1"/>
  <c r="H3074" i="31" s="1"/>
  <c r="A14" i="36" s="1"/>
  <c r="H3078" i="31" a="1"/>
  <c r="H3078" i="31" s="1"/>
  <c r="B8" i="36" s="1"/>
  <c r="H3077" i="31" a="1"/>
  <c r="H3077" i="31" s="1"/>
  <c r="B7" i="36" s="1"/>
  <c r="H3086" i="31" a="1"/>
  <c r="H3086" i="31" s="1"/>
  <c r="B16" i="36" s="1"/>
  <c r="H3075" i="31" a="1"/>
  <c r="H3075" i="31" s="1"/>
  <c r="A24" i="36" s="1"/>
  <c r="H3076" i="31" a="1"/>
  <c r="H3076" i="31" s="1"/>
  <c r="B6" i="36" s="1"/>
  <c r="H3073" i="31" a="1"/>
  <c r="H3073" i="31" s="1"/>
  <c r="A6" i="36" s="1"/>
  <c r="H3072" i="31" a="1"/>
  <c r="H3072" i="31" s="1"/>
  <c r="H3" i="36" s="1"/>
  <c r="H3071" i="31" a="1"/>
  <c r="H3071" i="31" s="1"/>
  <c r="G4" i="36" s="1"/>
  <c r="H3069" i="31" a="1"/>
  <c r="H3069" i="31" s="1"/>
  <c r="E4" i="36" s="1"/>
  <c r="H3070" i="31" a="1"/>
  <c r="H3070" i="31" s="1"/>
  <c r="F4" i="36" s="1"/>
  <c r="H3067" i="31" a="1"/>
  <c r="H3067" i="31" s="1"/>
  <c r="D3" i="36" s="1"/>
  <c r="H3068" i="31" a="1"/>
  <c r="H3068" i="31" s="1"/>
  <c r="D4" i="36" s="1"/>
  <c r="H3066" i="31" a="1"/>
  <c r="H3066" i="31" s="1"/>
  <c r="C3" i="36" s="1"/>
  <c r="H3064" i="31" a="1"/>
  <c r="H3064" i="31" s="1"/>
  <c r="A4" i="36" s="1"/>
  <c r="H3065" i="31" a="1"/>
  <c r="H3065" i="31" s="1"/>
  <c r="B4" i="36" s="1"/>
  <c r="H216" i="31" a="1"/>
  <c r="H216" i="31" s="1"/>
  <c r="E34" i="1" s="1"/>
  <c r="H3063" i="31" a="1"/>
  <c r="H3063" i="31" s="1"/>
  <c r="A3" i="36" s="1"/>
  <c r="H3062" i="31" a="1"/>
  <c r="H3062" i="31" s="1"/>
  <c r="A1" i="36" s="1"/>
  <c r="J74" i="1"/>
  <c r="H41" i="31" a="1"/>
  <c r="H41" i="31" s="1"/>
  <c r="C12" i="34" s="1"/>
  <c r="H212" i="31" a="1"/>
  <c r="H212" i="31" s="1"/>
  <c r="B33" i="1" s="1"/>
  <c r="H2937" i="31" a="1"/>
  <c r="H2937" i="31" s="1"/>
  <c r="H40" i="31" a="1"/>
  <c r="H40" i="31" s="1"/>
  <c r="C11" i="34" s="1"/>
  <c r="AO89" i="28"/>
  <c r="I68" i="37" s="1"/>
  <c r="E68" i="37"/>
  <c r="I71" i="37"/>
  <c r="E71" i="37"/>
  <c r="AO82" i="28"/>
  <c r="I72" i="37" s="1"/>
  <c r="E72" i="37"/>
  <c r="AO90" i="28"/>
  <c r="I69" i="37" s="1"/>
  <c r="E69" i="37"/>
  <c r="AP83" i="28"/>
  <c r="J72" i="37"/>
  <c r="H2935" i="31" a="1"/>
  <c r="H2935" i="31" s="1"/>
  <c r="A80" i="7" s="1"/>
  <c r="H2936" i="31" a="1"/>
  <c r="H2936" i="31" s="1"/>
  <c r="H2933" i="31" a="1"/>
  <c r="H2933" i="31" s="1"/>
  <c r="H2934" i="31" a="1"/>
  <c r="H2934" i="31" s="1"/>
  <c r="H2911" i="31" a="1"/>
  <c r="H2911" i="31" s="1"/>
  <c r="A77" i="7" s="1"/>
  <c r="H2932" i="31" a="1"/>
  <c r="H2932" i="31" s="1"/>
  <c r="H2873" i="31" a="1"/>
  <c r="H2873" i="31" s="1"/>
  <c r="AB23" i="36" s="1"/>
  <c r="AN23" i="36" s="1"/>
  <c r="H2874" i="31" a="1"/>
  <c r="H2874" i="31" s="1"/>
  <c r="AB30" i="36" s="1"/>
  <c r="AN30" i="36" s="1"/>
  <c r="H2871" i="31" a="1"/>
  <c r="H2871" i="31" s="1"/>
  <c r="H2872" i="31" a="1"/>
  <c r="H2872" i="31" s="1"/>
  <c r="H3148" i="31" a="1"/>
  <c r="H3148" i="31" s="1"/>
  <c r="A70" i="36" s="1"/>
  <c r="H3104" i="31" a="1"/>
  <c r="H3104" i="31" s="1"/>
  <c r="A37" i="36" s="1"/>
  <c r="H3109" i="31" a="1"/>
  <c r="H3109" i="31" s="1"/>
  <c r="H3116" i="31" a="1"/>
  <c r="H3116" i="31" s="1"/>
  <c r="H3126" i="31" a="1"/>
  <c r="H3126" i="31" s="1"/>
  <c r="O39" i="36" s="1"/>
  <c r="H3106" i="31" a="1"/>
  <c r="H3106" i="31" s="1"/>
  <c r="H3107" i="31" a="1"/>
  <c r="H3107" i="31" s="1"/>
  <c r="H3108" i="31" a="1"/>
  <c r="H3108" i="31" s="1"/>
  <c r="H3115" i="31" a="1"/>
  <c r="H3115" i="31" s="1"/>
  <c r="H3127" i="31" a="1"/>
  <c r="H3127" i="31" s="1"/>
  <c r="P37" i="36" s="1"/>
  <c r="AL91" i="28"/>
  <c r="H3103" i="31" a="1"/>
  <c r="H3103" i="31" s="1"/>
  <c r="A35" i="36" s="1"/>
  <c r="H3128" i="31" a="1"/>
  <c r="H3128" i="31" s="1"/>
  <c r="H1889" i="31" a="1"/>
  <c r="H1889" i="31" s="1"/>
  <c r="B169" i="10" s="1"/>
  <c r="H1631" i="31" a="1"/>
  <c r="H1631" i="31" s="1"/>
  <c r="B269" i="5" s="1"/>
  <c r="A24" i="5"/>
  <c r="H1848" i="31" a="1"/>
  <c r="H1848" i="31" s="1"/>
  <c r="B128" i="10" s="1"/>
  <c r="H2538" i="31" a="1"/>
  <c r="H2538" i="31" s="1"/>
  <c r="B21" i="6" s="1"/>
  <c r="H2539" i="31" a="1"/>
  <c r="H2539" i="31" s="1"/>
  <c r="B22" i="6" s="1"/>
  <c r="H2533" i="31" a="1"/>
  <c r="H2533" i="31" s="1"/>
  <c r="B17" i="6" s="1"/>
  <c r="H2601" i="31" a="1"/>
  <c r="H2601" i="31" s="1"/>
  <c r="C19" i="6" s="1"/>
  <c r="AM83" i="28"/>
  <c r="AJ91" i="28"/>
  <c r="AN91" i="28"/>
  <c r="A234" i="5"/>
  <c r="A228" i="5"/>
  <c r="G57" i="1" a="1"/>
  <c r="G57" i="1" s="1"/>
  <c r="T86" i="2" s="1"/>
  <c r="G56" i="1" a="1"/>
  <c r="G56" i="1" s="1"/>
  <c r="R86" i="2" s="1"/>
  <c r="F57" i="1" a="1"/>
  <c r="F57" i="1" s="1"/>
  <c r="F56" i="1" a="1"/>
  <c r="F56" i="1" s="1"/>
  <c r="AN83" i="28"/>
  <c r="H1773" i="31" a="1"/>
  <c r="H1773" i="31" s="1"/>
  <c r="B53" i="10" s="1"/>
  <c r="H1774" i="31" a="1"/>
  <c r="H1774" i="31" s="1"/>
  <c r="B54" i="10" s="1"/>
  <c r="AM91" i="28"/>
  <c r="H2875" i="31" a="1"/>
  <c r="H2875" i="31" s="1"/>
  <c r="A26" i="28" s="1"/>
  <c r="H2876" i="31" a="1"/>
  <c r="H2876" i="31" s="1"/>
  <c r="A27" i="28" s="1"/>
  <c r="AP91" i="28"/>
  <c r="H228" i="31" a="1"/>
  <c r="H228" i="31" s="1"/>
  <c r="H2866" i="31" a="1"/>
  <c r="H2866" i="31" s="1"/>
  <c r="H222" i="31" a="1"/>
  <c r="H222" i="31" s="1"/>
  <c r="B38" i="1" s="1"/>
  <c r="B198" i="2" s="1"/>
  <c r="B109" i="37" s="1"/>
  <c r="H223" i="31" a="1"/>
  <c r="H223" i="31" s="1"/>
  <c r="B39" i="1" s="1"/>
  <c r="H267" i="31" a="1"/>
  <c r="H267" i="31" s="1"/>
  <c r="H221" i="31" a="1"/>
  <c r="H221" i="31" s="1"/>
  <c r="B37" i="1" s="1"/>
  <c r="B197" i="2" s="1"/>
  <c r="B108" i="37" s="1"/>
  <c r="AL83" i="28"/>
  <c r="AJ83" i="28"/>
  <c r="AK91" i="28"/>
  <c r="H36" i="31" a="1"/>
  <c r="H36" i="31" s="1"/>
  <c r="H38" i="31" a="1"/>
  <c r="H38" i="31" s="1"/>
  <c r="H42" i="31" a="1"/>
  <c r="H42" i="31" s="1"/>
  <c r="H44" i="31" a="1"/>
  <c r="H44" i="31" s="1"/>
  <c r="H48" i="31" a="1"/>
  <c r="H48" i="31" s="1"/>
  <c r="H50" i="31" a="1"/>
  <c r="H50" i="31" s="1"/>
  <c r="H52" i="31" a="1"/>
  <c r="H52" i="31" s="1"/>
  <c r="H54" i="31" a="1"/>
  <c r="H54" i="31" s="1"/>
  <c r="H56" i="31" a="1"/>
  <c r="H56" i="31" s="1"/>
  <c r="H58" i="31" a="1"/>
  <c r="H58" i="31" s="1"/>
  <c r="H60" i="31" a="1"/>
  <c r="H60" i="31" s="1"/>
  <c r="H62" i="31" a="1"/>
  <c r="H62" i="31" s="1"/>
  <c r="K15" i="33" s="1"/>
  <c r="H76" i="31" a="1"/>
  <c r="H76" i="31" s="1"/>
  <c r="H78" i="31" a="1"/>
  <c r="H78" i="31" s="1"/>
  <c r="H80" i="31" a="1"/>
  <c r="H80" i="31" s="1"/>
  <c r="H82" i="31" a="1"/>
  <c r="H82" i="31" s="1"/>
  <c r="H84" i="31" a="1"/>
  <c r="H84" i="31" s="1"/>
  <c r="H87" i="31" a="1"/>
  <c r="H87" i="31" s="1"/>
  <c r="H89" i="31" a="1"/>
  <c r="H89" i="31" s="1"/>
  <c r="H91" i="31" a="1"/>
  <c r="H91" i="31" s="1"/>
  <c r="H93" i="31" a="1"/>
  <c r="H93" i="31" s="1"/>
  <c r="H95" i="31" a="1"/>
  <c r="H95" i="31" s="1"/>
  <c r="H97" i="31" a="1"/>
  <c r="H97" i="31" s="1"/>
  <c r="H99" i="31" a="1"/>
  <c r="H99" i="31" s="1"/>
  <c r="H101" i="31" a="1"/>
  <c r="H101" i="31" s="1"/>
  <c r="A7" i="37" s="1"/>
  <c r="H103" i="31" a="1"/>
  <c r="H103" i="31" s="1"/>
  <c r="H105" i="31" a="1"/>
  <c r="H105" i="31" s="1"/>
  <c r="H107" i="31" a="1"/>
  <c r="H107" i="31" s="1"/>
  <c r="H111" i="31" a="1"/>
  <c r="H111" i="31" s="1"/>
  <c r="H112" i="31" a="1"/>
  <c r="H112" i="31" s="1"/>
  <c r="H114" i="31" a="1"/>
  <c r="H114" i="31" s="1"/>
  <c r="H115" i="31" a="1"/>
  <c r="H115" i="31" s="1"/>
  <c r="H117" i="31" a="1"/>
  <c r="H117" i="31" s="1"/>
  <c r="H118" i="31" a="1"/>
  <c r="H118" i="31" s="1"/>
  <c r="H120" i="31" a="1"/>
  <c r="H120" i="31" s="1"/>
  <c r="H123" i="31" a="1"/>
  <c r="H123" i="31" s="1"/>
  <c r="A8" i="37" s="1"/>
  <c r="H125" i="31" a="1"/>
  <c r="H125" i="31" s="1"/>
  <c r="A28" i="37" s="1"/>
  <c r="H127" i="31" a="1"/>
  <c r="H127" i="31" s="1"/>
  <c r="A65" i="37" s="1"/>
  <c r="H129" i="31" a="1"/>
  <c r="H129" i="31" s="1"/>
  <c r="A68" i="37" s="1"/>
  <c r="H131" i="31" a="1"/>
  <c r="H131" i="31" s="1"/>
  <c r="H134" i="31" a="1"/>
  <c r="H134" i="31" s="1"/>
  <c r="A89" i="37" s="1"/>
  <c r="H136" i="31" a="1"/>
  <c r="H136" i="31" s="1"/>
  <c r="A94" i="37" s="1"/>
  <c r="H138" i="31" a="1"/>
  <c r="H138" i="31" s="1"/>
  <c r="A96" i="37" s="1"/>
  <c r="H140" i="31" a="1"/>
  <c r="H140" i="31" s="1"/>
  <c r="A98" i="37" s="1"/>
  <c r="H142" i="31" a="1"/>
  <c r="H142" i="31" s="1"/>
  <c r="A100" i="37" s="1"/>
  <c r="H144" i="31" a="1"/>
  <c r="H144" i="31" s="1"/>
  <c r="A105" i="37" s="1"/>
  <c r="H146" i="31" a="1"/>
  <c r="H146" i="31" s="1"/>
  <c r="A107" i="37" s="1"/>
  <c r="H148" i="31" a="1"/>
  <c r="H148" i="31" s="1"/>
  <c r="H151" i="31" a="1"/>
  <c r="H151" i="31" s="1"/>
  <c r="H153" i="31" a="1"/>
  <c r="H153" i="31" s="1"/>
  <c r="H155" i="31" a="1"/>
  <c r="H155" i="31" s="1"/>
  <c r="H157" i="31" a="1"/>
  <c r="H157" i="31" s="1"/>
  <c r="H159" i="31" a="1"/>
  <c r="H159" i="31" s="1"/>
  <c r="H161" i="31" a="1"/>
  <c r="H161" i="31" s="1"/>
  <c r="H163" i="31" a="1"/>
  <c r="H163" i="31" s="1"/>
  <c r="H165" i="31" a="1"/>
  <c r="H165" i="31" s="1"/>
  <c r="H167" i="31" a="1"/>
  <c r="H167" i="31" s="1"/>
  <c r="H169" i="31" a="1"/>
  <c r="H169" i="31" s="1"/>
  <c r="H171" i="31" a="1"/>
  <c r="H171" i="31" s="1"/>
  <c r="H173" i="31" a="1"/>
  <c r="H173" i="31" s="1"/>
  <c r="H176" i="31" a="1"/>
  <c r="H176" i="31" s="1"/>
  <c r="H178" i="31" a="1"/>
  <c r="H178" i="31" s="1"/>
  <c r="H180" i="31" a="1"/>
  <c r="H180" i="31" s="1"/>
  <c r="H182" i="31" a="1"/>
  <c r="H182" i="31" s="1"/>
  <c r="H184" i="31" a="1"/>
  <c r="H184" i="31" s="1"/>
  <c r="H37" i="31" a="1"/>
  <c r="H37" i="31" s="1"/>
  <c r="H39" i="31" a="1"/>
  <c r="H39" i="31" s="1"/>
  <c r="H43" i="31" a="1"/>
  <c r="H43" i="31" s="1"/>
  <c r="H45" i="31" a="1"/>
  <c r="H45" i="31" s="1"/>
  <c r="G10" i="34" s="1"/>
  <c r="H49" i="31" a="1"/>
  <c r="H49" i="31" s="1"/>
  <c r="H51" i="31" a="1"/>
  <c r="H51" i="31" s="1"/>
  <c r="H53" i="31" a="1"/>
  <c r="H53" i="31" s="1"/>
  <c r="H55" i="31" a="1"/>
  <c r="H55" i="31" s="1"/>
  <c r="H57" i="31" a="1"/>
  <c r="H57" i="31" s="1"/>
  <c r="H59" i="31" a="1"/>
  <c r="H59" i="31" s="1"/>
  <c r="H61" i="31" a="1"/>
  <c r="H61" i="31" s="1"/>
  <c r="H75" i="31" a="1"/>
  <c r="H75" i="31" s="1"/>
  <c r="H77" i="31" a="1"/>
  <c r="H77" i="31" s="1"/>
  <c r="H79" i="31" a="1"/>
  <c r="H79" i="31" s="1"/>
  <c r="H81" i="31" a="1"/>
  <c r="H81" i="31" s="1"/>
  <c r="H83" i="31" a="1"/>
  <c r="H83" i="31" s="1"/>
  <c r="H86" i="31" a="1"/>
  <c r="H86" i="31" s="1"/>
  <c r="A84" i="37" s="1"/>
  <c r="H88" i="31" a="1"/>
  <c r="H88" i="31" s="1"/>
  <c r="H90" i="31" a="1"/>
  <c r="H90" i="31" s="1"/>
  <c r="H92" i="31" a="1"/>
  <c r="H92" i="31" s="1"/>
  <c r="H94" i="31" a="1"/>
  <c r="H94" i="31" s="1"/>
  <c r="H96" i="31" a="1"/>
  <c r="H96" i="31" s="1"/>
  <c r="H98" i="31" a="1"/>
  <c r="H98" i="31" s="1"/>
  <c r="H100" i="31" a="1"/>
  <c r="H100" i="31" s="1"/>
  <c r="H102" i="31" a="1"/>
  <c r="H102" i="31" s="1"/>
  <c r="H104" i="31" a="1"/>
  <c r="H104" i="31" s="1"/>
  <c r="H106" i="31" a="1"/>
  <c r="H106" i="31" s="1"/>
  <c r="H109" i="31" a="1"/>
  <c r="H109" i="31" s="1"/>
  <c r="H110" i="31" a="1"/>
  <c r="H110" i="31" s="1"/>
  <c r="H113" i="31" a="1"/>
  <c r="H113" i="31" s="1"/>
  <c r="B98" i="37"/>
  <c r="H116" i="31" a="1"/>
  <c r="H116" i="31" s="1"/>
  <c r="B105" i="37"/>
  <c r="H119" i="31" a="1"/>
  <c r="H119" i="31" s="1"/>
  <c r="H121" i="31" a="1"/>
  <c r="H121" i="31" s="1"/>
  <c r="H122" i="31" a="1"/>
  <c r="H122" i="31" s="1"/>
  <c r="H124" i="31" a="1"/>
  <c r="H124" i="31" s="1"/>
  <c r="A17" i="37" s="1"/>
  <c r="H126" i="31" a="1"/>
  <c r="H126" i="31" s="1"/>
  <c r="A64" i="37" s="1"/>
  <c r="H128" i="31" a="1"/>
  <c r="H128" i="31" s="1"/>
  <c r="A66" i="37" s="1"/>
  <c r="H130" i="31" a="1"/>
  <c r="H130" i="31" s="1"/>
  <c r="A71" i="37" s="1"/>
  <c r="H133" i="31" a="1"/>
  <c r="H133" i="31" s="1"/>
  <c r="A88" i="37" s="1"/>
  <c r="H135" i="31" a="1"/>
  <c r="H135" i="31" s="1"/>
  <c r="H137" i="31" a="1"/>
  <c r="H137" i="31" s="1"/>
  <c r="A95" i="37" s="1"/>
  <c r="H139" i="31" a="1"/>
  <c r="H139" i="31" s="1"/>
  <c r="A97" i="37" s="1"/>
  <c r="H141" i="31" a="1"/>
  <c r="H141" i="31" s="1"/>
  <c r="A99" i="37" s="1"/>
  <c r="H143" i="31" a="1"/>
  <c r="H143" i="31" s="1"/>
  <c r="A101" i="37" s="1"/>
  <c r="H145" i="31" a="1"/>
  <c r="H145" i="31" s="1"/>
  <c r="A106" i="37" s="1"/>
  <c r="H147" i="31" a="1"/>
  <c r="H147" i="31" s="1"/>
  <c r="H150" i="31" a="1"/>
  <c r="H150" i="31" s="1"/>
  <c r="H152" i="31" a="1"/>
  <c r="H152" i="31" s="1"/>
  <c r="H154" i="31" a="1"/>
  <c r="H154" i="31" s="1"/>
  <c r="H156" i="31" a="1"/>
  <c r="H156" i="31" s="1"/>
  <c r="H158" i="31" a="1"/>
  <c r="H158" i="31" s="1"/>
  <c r="H160" i="31" a="1"/>
  <c r="H160" i="31" s="1"/>
  <c r="H162" i="31" a="1"/>
  <c r="H162" i="31" s="1"/>
  <c r="H164" i="31" a="1"/>
  <c r="H164" i="31" s="1"/>
  <c r="H166" i="31" a="1"/>
  <c r="H166" i="31" s="1"/>
  <c r="H168" i="31" a="1"/>
  <c r="H168" i="31" s="1"/>
  <c r="B15" i="1" s="1"/>
  <c r="H170" i="31" a="1"/>
  <c r="H170" i="31" s="1"/>
  <c r="H172" i="31" a="1"/>
  <c r="H172" i="31" s="1"/>
  <c r="H174" i="31" a="1"/>
  <c r="H174" i="31" s="1"/>
  <c r="H177" i="31" a="1"/>
  <c r="H177" i="31" s="1"/>
  <c r="H179" i="31" a="1"/>
  <c r="H179" i="31" s="1"/>
  <c r="H181" i="31" a="1"/>
  <c r="H181" i="31" s="1"/>
  <c r="H183" i="31" a="1"/>
  <c r="H183" i="31" s="1"/>
  <c r="H186" i="31" a="1"/>
  <c r="H186" i="31" s="1"/>
  <c r="H189" i="31" a="1"/>
  <c r="H189" i="31" s="1"/>
  <c r="H194" i="31" a="1"/>
  <c r="H194" i="31" s="1"/>
  <c r="H197" i="31" a="1"/>
  <c r="H197" i="31" s="1"/>
  <c r="H202" i="31" a="1"/>
  <c r="H202" i="31" s="1"/>
  <c r="H205" i="31" a="1"/>
  <c r="H205" i="31" s="1"/>
  <c r="H210" i="31" a="1"/>
  <c r="H210" i="31" s="1"/>
  <c r="H213" i="31" a="1"/>
  <c r="H213" i="31" s="1"/>
  <c r="B34" i="1" s="1"/>
  <c r="H219" i="31" a="1"/>
  <c r="H219" i="31" s="1"/>
  <c r="B35" i="1" s="1"/>
  <c r="H226" i="31" a="1"/>
  <c r="H226" i="31" s="1"/>
  <c r="H231" i="31" a="1"/>
  <c r="H231" i="31" s="1"/>
  <c r="H233" i="31" a="1"/>
  <c r="H233" i="31" s="1"/>
  <c r="H235" i="31" a="1"/>
  <c r="H235" i="31" s="1"/>
  <c r="H237" i="31" a="1"/>
  <c r="H237" i="31" s="1"/>
  <c r="H239" i="31" a="1"/>
  <c r="H239" i="31" s="1"/>
  <c r="H241" i="31" a="1"/>
  <c r="H241" i="31" s="1"/>
  <c r="H243" i="31" a="1"/>
  <c r="H243" i="31" s="1"/>
  <c r="H245" i="31" a="1"/>
  <c r="H245" i="31" s="1"/>
  <c r="H247" i="31" a="1"/>
  <c r="H247" i="31" s="1"/>
  <c r="H249" i="31" a="1"/>
  <c r="H249" i="31" s="1"/>
  <c r="H251" i="31" a="1"/>
  <c r="H251" i="31" s="1"/>
  <c r="H253" i="31" a="1"/>
  <c r="H253" i="31" s="1"/>
  <c r="H255" i="31" a="1"/>
  <c r="H255" i="31" s="1"/>
  <c r="H257" i="31" a="1"/>
  <c r="H257" i="31" s="1"/>
  <c r="H259" i="31" a="1"/>
  <c r="H259" i="31" s="1"/>
  <c r="H261" i="31" a="1"/>
  <c r="H261" i="31" s="1"/>
  <c r="H263" i="31" a="1"/>
  <c r="H263" i="31" s="1"/>
  <c r="H265" i="31" a="1"/>
  <c r="H265" i="31" s="1"/>
  <c r="H268" i="31" a="1"/>
  <c r="H268" i="31" s="1"/>
  <c r="H270" i="31" a="1"/>
  <c r="H270" i="31" s="1"/>
  <c r="D3" i="28" s="1"/>
  <c r="H273" i="31" a="1"/>
  <c r="H273" i="31" s="1"/>
  <c r="H275" i="31" a="1"/>
  <c r="H275" i="31" s="1"/>
  <c r="H277" i="31" a="1"/>
  <c r="H277" i="31" s="1"/>
  <c r="H279" i="31" a="1"/>
  <c r="H279" i="31" s="1"/>
  <c r="H281" i="31" a="1"/>
  <c r="H281" i="31" s="1"/>
  <c r="H283" i="31" a="1"/>
  <c r="H283" i="31" s="1"/>
  <c r="H285" i="31" a="1"/>
  <c r="H285" i="31" s="1"/>
  <c r="H287" i="31" a="1"/>
  <c r="H287" i="31" s="1"/>
  <c r="H289" i="31" a="1"/>
  <c r="H289" i="31" s="1"/>
  <c r="H291" i="31" a="1"/>
  <c r="H291" i="31" s="1"/>
  <c r="H293" i="31" a="1"/>
  <c r="H293" i="31" s="1"/>
  <c r="H295" i="31" a="1"/>
  <c r="H295" i="31" s="1"/>
  <c r="H297" i="31" a="1"/>
  <c r="H297" i="31" s="1"/>
  <c r="H299" i="31" a="1"/>
  <c r="H299" i="31" s="1"/>
  <c r="H301" i="31" a="1"/>
  <c r="H301" i="31" s="1"/>
  <c r="H303" i="31" a="1"/>
  <c r="H303" i="31" s="1"/>
  <c r="AL72" i="28" s="1"/>
  <c r="B64" i="37" s="1"/>
  <c r="H305" i="31" a="1"/>
  <c r="H305" i="31" s="1"/>
  <c r="AL74" i="28" s="1"/>
  <c r="B66" i="37" s="1"/>
  <c r="H307" i="31" a="1"/>
  <c r="H307" i="31" s="1"/>
  <c r="H309" i="31" a="1"/>
  <c r="H309" i="31" s="1"/>
  <c r="H311" i="31" a="1"/>
  <c r="H311" i="31" s="1"/>
  <c r="H313" i="31" a="1"/>
  <c r="H313" i="31" s="1"/>
  <c r="H315" i="31" a="1"/>
  <c r="H315" i="31" s="1"/>
  <c r="B7" i="28" s="1"/>
  <c r="B9" i="37" s="1"/>
  <c r="H317" i="31" a="1"/>
  <c r="H317" i="31" s="1"/>
  <c r="B9" i="28" s="1"/>
  <c r="B11" i="37" s="1"/>
  <c r="H319" i="31" a="1"/>
  <c r="H319" i="31" s="1"/>
  <c r="B11" i="28" s="1"/>
  <c r="B13" i="37" s="1"/>
  <c r="H321" i="31" a="1"/>
  <c r="H321" i="31" s="1"/>
  <c r="B13" i="28" s="1"/>
  <c r="B15" i="37" s="1"/>
  <c r="H323" i="31" a="1"/>
  <c r="H323" i="31" s="1"/>
  <c r="H325" i="31" a="1"/>
  <c r="H325" i="31" s="1"/>
  <c r="H327" i="31" a="1"/>
  <c r="H327" i="31" s="1"/>
  <c r="H329" i="31" a="1"/>
  <c r="H329" i="31" s="1"/>
  <c r="H331" i="31" a="1"/>
  <c r="H331" i="31" s="1"/>
  <c r="H333" i="31" a="1"/>
  <c r="H333" i="31" s="1"/>
  <c r="H335" i="31" a="1"/>
  <c r="H335" i="31" s="1"/>
  <c r="H337" i="31" a="1"/>
  <c r="H337" i="31" s="1"/>
  <c r="H187" i="31" a="1"/>
  <c r="H187" i="31" s="1"/>
  <c r="H192" i="31" a="1"/>
  <c r="H192" i="31" s="1"/>
  <c r="H195" i="31" a="1"/>
  <c r="H195" i="31" s="1"/>
  <c r="H200" i="31" a="1"/>
  <c r="H200" i="31" s="1"/>
  <c r="H203" i="31" a="1"/>
  <c r="H203" i="31" s="1"/>
  <c r="H208" i="31" a="1"/>
  <c r="H208" i="31" s="1"/>
  <c r="H211" i="31" a="1"/>
  <c r="H211" i="31" s="1"/>
  <c r="H217" i="31" a="1"/>
  <c r="H217" i="31" s="1"/>
  <c r="F34" i="1" s="1"/>
  <c r="H224" i="31" a="1"/>
  <c r="H224" i="31" s="1"/>
  <c r="H185" i="31" a="1"/>
  <c r="H185" i="31" s="1"/>
  <c r="H190" i="31" a="1"/>
  <c r="H190" i="31" s="1"/>
  <c r="H193" i="31" a="1"/>
  <c r="H193" i="31" s="1"/>
  <c r="H198" i="31" a="1"/>
  <c r="H198" i="31" s="1"/>
  <c r="H201" i="31" a="1"/>
  <c r="H201" i="31" s="1"/>
  <c r="H206" i="31" a="1"/>
  <c r="H206" i="31" s="1"/>
  <c r="H209" i="31" a="1"/>
  <c r="H209" i="31" s="1"/>
  <c r="H214" i="31" a="1"/>
  <c r="H214" i="31" s="1"/>
  <c r="C34" i="1" s="1"/>
  <c r="H218" i="31" a="1"/>
  <c r="H218" i="31" s="1"/>
  <c r="H227" i="31" a="1"/>
  <c r="H227" i="31" s="1"/>
  <c r="B43" i="1" s="1"/>
  <c r="H230" i="31" a="1"/>
  <c r="H230" i="31" s="1"/>
  <c r="B46" i="1" s="1"/>
  <c r="H232" i="31" a="1"/>
  <c r="H232" i="31" s="1"/>
  <c r="H234" i="31" a="1"/>
  <c r="H234" i="31" s="1"/>
  <c r="H236" i="31" a="1"/>
  <c r="H236" i="31" s="1"/>
  <c r="H238" i="31" a="1"/>
  <c r="H238" i="31" s="1"/>
  <c r="H240" i="31" a="1"/>
  <c r="H240" i="31" s="1"/>
  <c r="H242" i="31" a="1"/>
  <c r="H242" i="31" s="1"/>
  <c r="H244" i="31" a="1"/>
  <c r="H244" i="31" s="1"/>
  <c r="H246" i="31" a="1"/>
  <c r="H246" i="31" s="1"/>
  <c r="H248" i="31" a="1"/>
  <c r="H248" i="31" s="1"/>
  <c r="H250" i="31" a="1"/>
  <c r="H250" i="31" s="1"/>
  <c r="H252" i="31" a="1"/>
  <c r="H252" i="31" s="1"/>
  <c r="H254" i="31" a="1"/>
  <c r="H254" i="31" s="1"/>
  <c r="AC24" i="36" s="1"/>
  <c r="H256" i="31" a="1"/>
  <c r="H256" i="31" s="1"/>
  <c r="H258" i="31" a="1"/>
  <c r="H258" i="31" s="1"/>
  <c r="H260" i="31" a="1"/>
  <c r="H260" i="31" s="1"/>
  <c r="H262" i="31" a="1"/>
  <c r="H262" i="31" s="1"/>
  <c r="H264" i="31" a="1"/>
  <c r="H264" i="31" s="1"/>
  <c r="H266" i="31" a="1"/>
  <c r="H266" i="31" s="1"/>
  <c r="H269" i="31" a="1"/>
  <c r="H269" i="31" s="1"/>
  <c r="H272" i="31" a="1"/>
  <c r="H272" i="31" s="1"/>
  <c r="H274" i="31" a="1"/>
  <c r="H274" i="31" s="1"/>
  <c r="H276" i="31" a="1"/>
  <c r="H276" i="31" s="1"/>
  <c r="H278" i="31" a="1"/>
  <c r="H278" i="31" s="1"/>
  <c r="H280" i="31" a="1"/>
  <c r="H280" i="31" s="1"/>
  <c r="H282" i="31" a="1"/>
  <c r="H282" i="31" s="1"/>
  <c r="H284" i="31" a="1"/>
  <c r="H284" i="31" s="1"/>
  <c r="H286" i="31" a="1"/>
  <c r="H286" i="31" s="1"/>
  <c r="H288" i="31" a="1"/>
  <c r="H288" i="31" s="1"/>
  <c r="H290" i="31" a="1"/>
  <c r="H290" i="31" s="1"/>
  <c r="H292" i="31" a="1"/>
  <c r="H292" i="31" s="1"/>
  <c r="U4" i="28" s="1"/>
  <c r="H294" i="31" a="1"/>
  <c r="H294" i="31" s="1"/>
  <c r="H296" i="31" a="1"/>
  <c r="H296" i="31" s="1"/>
  <c r="H298" i="31" a="1"/>
  <c r="H298" i="31" s="1"/>
  <c r="H300" i="31" a="1"/>
  <c r="H300" i="31" s="1"/>
  <c r="H302" i="31" a="1"/>
  <c r="H302" i="31" s="1"/>
  <c r="H304" i="31" a="1"/>
  <c r="H304" i="31" s="1"/>
  <c r="AL73" i="28" s="1"/>
  <c r="B65" i="37" s="1"/>
  <c r="H306" i="31" a="1"/>
  <c r="H306" i="31" s="1"/>
  <c r="AL75" i="28" s="1"/>
  <c r="H308" i="31" a="1"/>
  <c r="H308" i="31" s="1"/>
  <c r="H310" i="31" a="1"/>
  <c r="H310" i="31" s="1"/>
  <c r="H312" i="31" a="1"/>
  <c r="H312" i="31" s="1"/>
  <c r="H314" i="31" a="1"/>
  <c r="H314" i="31" s="1"/>
  <c r="B6" i="28" s="1"/>
  <c r="H316" i="31" a="1"/>
  <c r="H316" i="31" s="1"/>
  <c r="B8" i="28" s="1"/>
  <c r="B10" i="37" s="1"/>
  <c r="H318" i="31" a="1"/>
  <c r="H318" i="31" s="1"/>
  <c r="B10" i="28" s="1"/>
  <c r="B12" i="37" s="1"/>
  <c r="H320" i="31" a="1"/>
  <c r="H320" i="31" s="1"/>
  <c r="B12" i="28" s="1"/>
  <c r="B14" i="37" s="1"/>
  <c r="H322" i="31" a="1"/>
  <c r="H322" i="31" s="1"/>
  <c r="H324" i="31" a="1"/>
  <c r="H324" i="31" s="1"/>
  <c r="H326" i="31" a="1"/>
  <c r="H326" i="31" s="1"/>
  <c r="H328" i="31" a="1"/>
  <c r="H328" i="31" s="1"/>
  <c r="H330" i="31" a="1"/>
  <c r="H330" i="31" s="1"/>
  <c r="H332" i="31" a="1"/>
  <c r="H332" i="31" s="1"/>
  <c r="H334" i="31" a="1"/>
  <c r="H334" i="31" s="1"/>
  <c r="H336" i="31" a="1"/>
  <c r="H336" i="31" s="1"/>
  <c r="H338" i="31" a="1"/>
  <c r="H338" i="31" s="1"/>
  <c r="H196" i="31" a="1"/>
  <c r="H196" i="31" s="1"/>
  <c r="H207" i="31" a="1"/>
  <c r="H207" i="31" s="1"/>
  <c r="H341" i="31" a="1"/>
  <c r="H341" i="31" s="1"/>
  <c r="H344" i="31" a="1"/>
  <c r="H344" i="31" s="1"/>
  <c r="H349" i="31" a="1"/>
  <c r="H349" i="31" s="1"/>
  <c r="B21" i="28" s="1"/>
  <c r="B18" i="37" s="1"/>
  <c r="H352" i="31" a="1"/>
  <c r="H352" i="31" s="1"/>
  <c r="B23" i="28" s="1"/>
  <c r="B20" i="37" s="1"/>
  <c r="H357" i="31" a="1"/>
  <c r="H357" i="31" s="1"/>
  <c r="B28" i="28" s="1"/>
  <c r="B25" i="37" s="1"/>
  <c r="H360" i="31" a="1"/>
  <c r="H360" i="31" s="1"/>
  <c r="H365" i="31" a="1"/>
  <c r="H365" i="31" s="1"/>
  <c r="H368" i="31" a="1"/>
  <c r="H368" i="31" s="1"/>
  <c r="H373" i="31" a="1"/>
  <c r="H373" i="31" s="1"/>
  <c r="H376" i="31" a="1"/>
  <c r="H376" i="31" s="1"/>
  <c r="H381" i="31" a="1"/>
  <c r="H381" i="31" s="1"/>
  <c r="H384" i="31" a="1"/>
  <c r="H384" i="31" s="1"/>
  <c r="H386" i="31" a="1"/>
  <c r="H386" i="31" s="1"/>
  <c r="H388" i="31" a="1"/>
  <c r="H388" i="31" s="1"/>
  <c r="H390" i="31" a="1"/>
  <c r="H390" i="31" s="1"/>
  <c r="H392" i="31" a="1"/>
  <c r="H392" i="31" s="1"/>
  <c r="H394" i="31" a="1"/>
  <c r="H394" i="31" s="1"/>
  <c r="H396" i="31" a="1"/>
  <c r="H396" i="31" s="1"/>
  <c r="H398" i="31" a="1"/>
  <c r="H398" i="31" s="1"/>
  <c r="H400" i="31" a="1"/>
  <c r="H400" i="31" s="1"/>
  <c r="H402" i="31" a="1"/>
  <c r="H402" i="31" s="1"/>
  <c r="H404" i="31" a="1"/>
  <c r="H404" i="31" s="1"/>
  <c r="H406" i="31" a="1"/>
  <c r="H406" i="31" s="1"/>
  <c r="H408" i="31" a="1"/>
  <c r="H408" i="31" s="1"/>
  <c r="H410" i="31" a="1"/>
  <c r="H410" i="31" s="1"/>
  <c r="H412" i="31" a="1"/>
  <c r="H412" i="31" s="1"/>
  <c r="H414" i="31" a="1"/>
  <c r="H414" i="31" s="1"/>
  <c r="H416" i="31" a="1"/>
  <c r="H416" i="31" s="1"/>
  <c r="H418" i="31" a="1"/>
  <c r="H418" i="31" s="1"/>
  <c r="H420" i="31" a="1"/>
  <c r="H420" i="31" s="1"/>
  <c r="H422" i="31" a="1"/>
  <c r="H422" i="31" s="1"/>
  <c r="H424" i="31" a="1"/>
  <c r="H424" i="31" s="1"/>
  <c r="H426" i="31" a="1"/>
  <c r="H426" i="31" s="1"/>
  <c r="H428" i="31" a="1"/>
  <c r="H428" i="31" s="1"/>
  <c r="H430" i="31" a="1"/>
  <c r="H430" i="31" s="1"/>
  <c r="H432" i="31" a="1"/>
  <c r="H432" i="31" s="1"/>
  <c r="H434" i="31" a="1"/>
  <c r="H434" i="31" s="1"/>
  <c r="H436" i="31" a="1"/>
  <c r="H436" i="31" s="1"/>
  <c r="H438" i="31" a="1"/>
  <c r="H438" i="31" s="1"/>
  <c r="H440" i="31" a="1"/>
  <c r="H440" i="31" s="1"/>
  <c r="H442" i="31" a="1"/>
  <c r="H442" i="31" s="1"/>
  <c r="H444" i="31" a="1"/>
  <c r="H444" i="31" s="1"/>
  <c r="H446" i="31" a="1"/>
  <c r="H446" i="31" s="1"/>
  <c r="H448" i="31" a="1"/>
  <c r="H448" i="31" s="1"/>
  <c r="H450" i="31" a="1"/>
  <c r="H450" i="31" s="1"/>
  <c r="H452" i="31" a="1"/>
  <c r="H452" i="31" s="1"/>
  <c r="H454" i="31" a="1"/>
  <c r="H454" i="31" s="1"/>
  <c r="H456" i="31" a="1"/>
  <c r="H456" i="31" s="1"/>
  <c r="H458" i="31" a="1"/>
  <c r="H458" i="31" s="1"/>
  <c r="H460" i="31" a="1"/>
  <c r="H460" i="31" s="1"/>
  <c r="H462" i="31" a="1"/>
  <c r="H462" i="31" s="1"/>
  <c r="H464" i="31" a="1"/>
  <c r="H464" i="31" s="1"/>
  <c r="H466" i="31" a="1"/>
  <c r="H466" i="31" s="1"/>
  <c r="H468" i="31" a="1"/>
  <c r="H468" i="31" s="1"/>
  <c r="H470" i="31" a="1"/>
  <c r="H470" i="31" s="1"/>
  <c r="H472" i="31" a="1"/>
  <c r="H472" i="31" s="1"/>
  <c r="H474" i="31" a="1"/>
  <c r="H474" i="31" s="1"/>
  <c r="H476" i="31" a="1"/>
  <c r="H476" i="31" s="1"/>
  <c r="H478" i="31" a="1"/>
  <c r="H478" i="31" s="1"/>
  <c r="H480" i="31" a="1"/>
  <c r="H480" i="31" s="1"/>
  <c r="H482" i="31" a="1"/>
  <c r="H482" i="31" s="1"/>
  <c r="H484" i="31" a="1"/>
  <c r="H484" i="31" s="1"/>
  <c r="H486" i="31" a="1"/>
  <c r="H486" i="31" s="1"/>
  <c r="H488" i="31" a="1"/>
  <c r="H488" i="31" s="1"/>
  <c r="H490" i="31" a="1"/>
  <c r="H490" i="31" s="1"/>
  <c r="H492" i="31" a="1"/>
  <c r="H492" i="31" s="1"/>
  <c r="H494" i="31" a="1"/>
  <c r="H494" i="31" s="1"/>
  <c r="H496" i="31" a="1"/>
  <c r="H496" i="31" s="1"/>
  <c r="H498" i="31" a="1"/>
  <c r="H498" i="31" s="1"/>
  <c r="H500" i="31" a="1"/>
  <c r="H500" i="31" s="1"/>
  <c r="H502" i="31" a="1"/>
  <c r="H502" i="31" s="1"/>
  <c r="H504" i="31" a="1"/>
  <c r="H504" i="31" s="1"/>
  <c r="H506" i="31" a="1"/>
  <c r="H506" i="31" s="1"/>
  <c r="H508" i="31" a="1"/>
  <c r="H508" i="31" s="1"/>
  <c r="H510" i="31" a="1"/>
  <c r="H510" i="31" s="1"/>
  <c r="H512" i="31" a="1"/>
  <c r="H512" i="31" s="1"/>
  <c r="H514" i="31" a="1"/>
  <c r="H514" i="31" s="1"/>
  <c r="H516" i="31" a="1"/>
  <c r="H516" i="31" s="1"/>
  <c r="H518" i="31" a="1"/>
  <c r="H518" i="31" s="1"/>
  <c r="H520" i="31" a="1"/>
  <c r="H520" i="31" s="1"/>
  <c r="H522" i="31" a="1"/>
  <c r="H522" i="31" s="1"/>
  <c r="H524" i="31" a="1"/>
  <c r="H524" i="31" s="1"/>
  <c r="H526" i="31" a="1"/>
  <c r="H526" i="31" s="1"/>
  <c r="H528" i="31" a="1"/>
  <c r="H528" i="31" s="1"/>
  <c r="H530" i="31" a="1"/>
  <c r="H530" i="31" s="1"/>
  <c r="H532" i="31" a="1"/>
  <c r="H532" i="31" s="1"/>
  <c r="H534" i="31" a="1"/>
  <c r="H534" i="31" s="1"/>
  <c r="H536" i="31" a="1"/>
  <c r="H536" i="31" s="1"/>
  <c r="H538" i="31" a="1"/>
  <c r="H538" i="31" s="1"/>
  <c r="H540" i="31" a="1"/>
  <c r="H540" i="31" s="1"/>
  <c r="H542" i="31" a="1"/>
  <c r="H542" i="31" s="1"/>
  <c r="H544" i="31" a="1"/>
  <c r="H544" i="31" s="1"/>
  <c r="H546" i="31" a="1"/>
  <c r="H546" i="31" s="1"/>
  <c r="H548" i="31" a="1"/>
  <c r="H548" i="31" s="1"/>
  <c r="H550" i="31" a="1"/>
  <c r="H550" i="31" s="1"/>
  <c r="H552" i="31" a="1"/>
  <c r="H552" i="31" s="1"/>
  <c r="B22" i="2" s="1"/>
  <c r="H554" i="31" a="1"/>
  <c r="H554" i="31" s="1"/>
  <c r="B23" i="2" s="1"/>
  <c r="H556" i="31" a="1"/>
  <c r="H556" i="31" s="1"/>
  <c r="B24" i="2" s="1"/>
  <c r="H558" i="31" a="1"/>
  <c r="H558" i="31" s="1"/>
  <c r="B25" i="2" s="1"/>
  <c r="H560" i="31" a="1"/>
  <c r="H560" i="31" s="1"/>
  <c r="B26" i="2" s="1"/>
  <c r="H566" i="31" a="1"/>
  <c r="H566" i="31" s="1"/>
  <c r="H568" i="31" a="1"/>
  <c r="H568" i="31" s="1"/>
  <c r="H570" i="31" a="1"/>
  <c r="H570" i="31" s="1"/>
  <c r="H572" i="31" a="1"/>
  <c r="H572" i="31" s="1"/>
  <c r="H574" i="31" a="1"/>
  <c r="H574" i="31" s="1"/>
  <c r="H576" i="31" a="1"/>
  <c r="H576" i="31" s="1"/>
  <c r="H578" i="31" a="1"/>
  <c r="H578" i="31" s="1"/>
  <c r="H580" i="31" a="1"/>
  <c r="H580" i="31" s="1"/>
  <c r="H582" i="31" a="1"/>
  <c r="H582" i="31" s="1"/>
  <c r="H188" i="31" a="1"/>
  <c r="H188" i="31" s="1"/>
  <c r="H199" i="31" a="1"/>
  <c r="H199" i="31" s="1"/>
  <c r="H225" i="31" a="1"/>
  <c r="H225" i="31" s="1"/>
  <c r="H339" i="31" a="1"/>
  <c r="H339" i="31" s="1"/>
  <c r="H342" i="31" a="1"/>
  <c r="H342" i="31" s="1"/>
  <c r="H347" i="31" a="1"/>
  <c r="H347" i="31" s="1"/>
  <c r="H350" i="31" a="1"/>
  <c r="H350" i="31" s="1"/>
  <c r="B22" i="28" s="1"/>
  <c r="B19" i="37" s="1"/>
  <c r="H355" i="31" a="1"/>
  <c r="H355" i="31" s="1"/>
  <c r="B26" i="28" s="1"/>
  <c r="B23" i="37" s="1"/>
  <c r="H358" i="31" a="1"/>
  <c r="H358" i="31" s="1"/>
  <c r="B23" i="36" s="1"/>
  <c r="H363" i="31" a="1"/>
  <c r="H363" i="31" s="1"/>
  <c r="H366" i="31" a="1"/>
  <c r="H366" i="31" s="1"/>
  <c r="H371" i="31" a="1"/>
  <c r="H371" i="31" s="1"/>
  <c r="H374" i="31" a="1"/>
  <c r="H374" i="31" s="1"/>
  <c r="H379" i="31" a="1"/>
  <c r="H379" i="31" s="1"/>
  <c r="H382" i="31" a="1"/>
  <c r="H382" i="31" s="1"/>
  <c r="H191" i="31" a="1"/>
  <c r="H191" i="31" s="1"/>
  <c r="H340" i="31" a="1"/>
  <c r="H340" i="31" s="1"/>
  <c r="H345" i="31" a="1"/>
  <c r="H345" i="31" s="1"/>
  <c r="H348" i="31" a="1"/>
  <c r="H348" i="31" s="1"/>
  <c r="B20" i="28" s="1"/>
  <c r="H353" i="31" a="1"/>
  <c r="H353" i="31" s="1"/>
  <c r="B24" i="28" s="1"/>
  <c r="B21" i="37" s="1"/>
  <c r="H356" i="31" a="1"/>
  <c r="H356" i="31" s="1"/>
  <c r="B27" i="28" s="1"/>
  <c r="B24" i="37" s="1"/>
  <c r="H361" i="31" a="1"/>
  <c r="H361" i="31" s="1"/>
  <c r="H364" i="31" a="1"/>
  <c r="H364" i="31" s="1"/>
  <c r="H369" i="31" a="1"/>
  <c r="H369" i="31" s="1"/>
  <c r="H372" i="31" a="1"/>
  <c r="H372" i="31" s="1"/>
  <c r="H377" i="31" a="1"/>
  <c r="H377" i="31" s="1"/>
  <c r="H380" i="31" a="1"/>
  <c r="H380" i="31" s="1"/>
  <c r="H385" i="31" a="1"/>
  <c r="H385" i="31" s="1"/>
  <c r="H387" i="31" a="1"/>
  <c r="H387" i="31" s="1"/>
  <c r="H389" i="31" a="1"/>
  <c r="H389" i="31" s="1"/>
  <c r="H391" i="31" a="1"/>
  <c r="H391" i="31" s="1"/>
  <c r="H393" i="31" a="1"/>
  <c r="H393" i="31" s="1"/>
  <c r="H395" i="31" a="1"/>
  <c r="H395" i="31" s="1"/>
  <c r="H397" i="31" a="1"/>
  <c r="H397" i="31" s="1"/>
  <c r="H399" i="31" a="1"/>
  <c r="H399" i="31" s="1"/>
  <c r="H401" i="31" a="1"/>
  <c r="H401" i="31" s="1"/>
  <c r="H403" i="31" a="1"/>
  <c r="H403" i="31" s="1"/>
  <c r="H405" i="31" a="1"/>
  <c r="H405" i="31" s="1"/>
  <c r="H407" i="31" a="1"/>
  <c r="H407" i="31" s="1"/>
  <c r="H409" i="31" a="1"/>
  <c r="H409" i="31" s="1"/>
  <c r="H411" i="31" a="1"/>
  <c r="H411" i="31" s="1"/>
  <c r="H413" i="31" a="1"/>
  <c r="H413" i="31" s="1"/>
  <c r="H415" i="31" a="1"/>
  <c r="H415" i="31" s="1"/>
  <c r="H417" i="31" a="1"/>
  <c r="H417" i="31" s="1"/>
  <c r="H419" i="31" a="1"/>
  <c r="H419" i="31" s="1"/>
  <c r="H421" i="31" a="1"/>
  <c r="H421" i="31" s="1"/>
  <c r="H423" i="31" a="1"/>
  <c r="H423" i="31" s="1"/>
  <c r="H425" i="31" a="1"/>
  <c r="H425" i="31" s="1"/>
  <c r="H427" i="31" a="1"/>
  <c r="H427" i="31" s="1"/>
  <c r="H429" i="31" a="1"/>
  <c r="H429" i="31" s="1"/>
  <c r="H431" i="31" a="1"/>
  <c r="H431" i="31" s="1"/>
  <c r="H433" i="31" a="1"/>
  <c r="H433" i="31" s="1"/>
  <c r="H435" i="31" a="1"/>
  <c r="H435" i="31" s="1"/>
  <c r="H437" i="31" a="1"/>
  <c r="H437" i="31" s="1"/>
  <c r="H439" i="31" a="1"/>
  <c r="H439" i="31" s="1"/>
  <c r="H441" i="31" a="1"/>
  <c r="H441" i="31" s="1"/>
  <c r="H443" i="31" a="1"/>
  <c r="H443" i="31" s="1"/>
  <c r="H445" i="31" a="1"/>
  <c r="H445" i="31" s="1"/>
  <c r="H447" i="31" a="1"/>
  <c r="H447" i="31" s="1"/>
  <c r="H449" i="31" a="1"/>
  <c r="H449" i="31" s="1"/>
  <c r="H451" i="31" a="1"/>
  <c r="H451" i="31" s="1"/>
  <c r="H453" i="31" a="1"/>
  <c r="H453" i="31" s="1"/>
  <c r="H455" i="31" a="1"/>
  <c r="H455" i="31" s="1"/>
  <c r="AR30" i="28" s="1"/>
  <c r="H457" i="31" a="1"/>
  <c r="H457" i="31" s="1"/>
  <c r="H459" i="31" a="1"/>
  <c r="H459" i="31" s="1"/>
  <c r="H461" i="31" a="1"/>
  <c r="H461" i="31" s="1"/>
  <c r="H463" i="31" a="1"/>
  <c r="H463" i="31" s="1"/>
  <c r="H465" i="31" a="1"/>
  <c r="H465" i="31" s="1"/>
  <c r="H467" i="31" a="1"/>
  <c r="H467" i="31" s="1"/>
  <c r="H469" i="31" a="1"/>
  <c r="H469" i="31" s="1"/>
  <c r="H471" i="31" a="1"/>
  <c r="H471" i="31" s="1"/>
  <c r="H473" i="31" a="1"/>
  <c r="H473" i="31" s="1"/>
  <c r="H475" i="31" a="1"/>
  <c r="H475" i="31" s="1"/>
  <c r="H477" i="31" a="1"/>
  <c r="H477" i="31" s="1"/>
  <c r="H479" i="31" a="1"/>
  <c r="H479" i="31" s="1"/>
  <c r="H481" i="31" a="1"/>
  <c r="H481" i="31" s="1"/>
  <c r="H483" i="31" a="1"/>
  <c r="H483" i="31" s="1"/>
  <c r="H485" i="31" a="1"/>
  <c r="H485" i="31" s="1"/>
  <c r="H487" i="31" a="1"/>
  <c r="H487" i="31" s="1"/>
  <c r="H489" i="31" a="1"/>
  <c r="H489" i="31" s="1"/>
  <c r="H491" i="31" a="1"/>
  <c r="H491" i="31" s="1"/>
  <c r="H493" i="31" a="1"/>
  <c r="H493" i="31" s="1"/>
  <c r="H495" i="31" a="1"/>
  <c r="H495" i="31" s="1"/>
  <c r="H497" i="31" a="1"/>
  <c r="H497" i="31" s="1"/>
  <c r="H499" i="31" a="1"/>
  <c r="H499" i="31" s="1"/>
  <c r="H501" i="31" a="1"/>
  <c r="H501" i="31" s="1"/>
  <c r="H503" i="31" a="1"/>
  <c r="H503" i="31" s="1"/>
  <c r="H505" i="31" a="1"/>
  <c r="H505" i="31" s="1"/>
  <c r="H507" i="31" a="1"/>
  <c r="H507" i="31" s="1"/>
  <c r="H509" i="31" a="1"/>
  <c r="H509" i="31" s="1"/>
  <c r="H511" i="31" a="1"/>
  <c r="H511" i="31" s="1"/>
  <c r="H513" i="31" a="1"/>
  <c r="H513" i="31" s="1"/>
  <c r="H515" i="31" a="1"/>
  <c r="H515" i="31" s="1"/>
  <c r="H517" i="31" a="1"/>
  <c r="H517" i="31" s="1"/>
  <c r="H519" i="31" a="1"/>
  <c r="H519" i="31" s="1"/>
  <c r="H521" i="31" a="1"/>
  <c r="H521" i="31" s="1"/>
  <c r="H523" i="31" a="1"/>
  <c r="H523" i="31" s="1"/>
  <c r="H525" i="31" a="1"/>
  <c r="H525" i="31" s="1"/>
  <c r="H527" i="31" a="1"/>
  <c r="H527" i="31" s="1"/>
  <c r="H529" i="31" a="1"/>
  <c r="H529" i="31" s="1"/>
  <c r="H531" i="31" a="1"/>
  <c r="H531" i="31" s="1"/>
  <c r="H533" i="31" a="1"/>
  <c r="H533" i="31" s="1"/>
  <c r="H535" i="31" a="1"/>
  <c r="H535" i="31" s="1"/>
  <c r="H537" i="31" a="1"/>
  <c r="H537" i="31" s="1"/>
  <c r="H539" i="31" a="1"/>
  <c r="H539" i="31" s="1"/>
  <c r="H541" i="31" a="1"/>
  <c r="H541" i="31" s="1"/>
  <c r="H543" i="31" a="1"/>
  <c r="H543" i="31" s="1"/>
  <c r="H545" i="31" a="1"/>
  <c r="H545" i="31" s="1"/>
  <c r="H547" i="31" a="1"/>
  <c r="H547" i="31" s="1"/>
  <c r="H549" i="31" a="1"/>
  <c r="H549" i="31" s="1"/>
  <c r="H551" i="31" a="1"/>
  <c r="H551" i="31" s="1"/>
  <c r="H553" i="31" a="1"/>
  <c r="H553" i="31" s="1"/>
  <c r="H555" i="31" a="1"/>
  <c r="H555" i="31" s="1"/>
  <c r="H557" i="31" a="1"/>
  <c r="H557" i="31" s="1"/>
  <c r="H559" i="31" a="1"/>
  <c r="H559" i="31" s="1"/>
  <c r="C25" i="2" s="1"/>
  <c r="H567" i="31" a="1"/>
  <c r="H567" i="31" s="1"/>
  <c r="H569" i="31" a="1"/>
  <c r="H569" i="31" s="1"/>
  <c r="H571" i="31" a="1"/>
  <c r="H571" i="31" s="1"/>
  <c r="H573" i="31" a="1"/>
  <c r="H573" i="31" s="1"/>
  <c r="H359" i="31" a="1"/>
  <c r="H359" i="31" s="1"/>
  <c r="H370" i="31" a="1"/>
  <c r="H370" i="31" s="1"/>
  <c r="H586" i="31" a="1"/>
  <c r="H586" i="31" s="1"/>
  <c r="H589" i="31" a="1"/>
  <c r="H589" i="31" s="1"/>
  <c r="H594" i="31" a="1"/>
  <c r="H594" i="31" s="1"/>
  <c r="H597" i="31" a="1"/>
  <c r="H597" i="31" s="1"/>
  <c r="H616" i="31" a="1"/>
  <c r="H616" i="31" s="1"/>
  <c r="H619" i="31" a="1"/>
  <c r="H619" i="31" s="1"/>
  <c r="H624" i="31" a="1"/>
  <c r="H624" i="31" s="1"/>
  <c r="H627" i="31" a="1"/>
  <c r="H627" i="31" s="1"/>
  <c r="H632" i="31" a="1"/>
  <c r="H632" i="31" s="1"/>
  <c r="H635" i="31" a="1"/>
  <c r="H635" i="31" s="1"/>
  <c r="H640" i="31" a="1"/>
  <c r="H640" i="31" s="1"/>
  <c r="H643" i="31" a="1"/>
  <c r="H643" i="31" s="1"/>
  <c r="H648" i="31" a="1"/>
  <c r="H648" i="31" s="1"/>
  <c r="H651" i="31" a="1"/>
  <c r="H651" i="31" s="1"/>
  <c r="H656" i="31" a="1"/>
  <c r="H656" i="31" s="1"/>
  <c r="H659" i="31" a="1"/>
  <c r="H659" i="31" s="1"/>
  <c r="H664" i="31" a="1"/>
  <c r="H664" i="31" s="1"/>
  <c r="H204" i="31" a="1"/>
  <c r="H204" i="31" s="1"/>
  <c r="H351" i="31" a="1"/>
  <c r="H351" i="31" s="1"/>
  <c r="H362" i="31" a="1"/>
  <c r="H362" i="31" s="1"/>
  <c r="H383" i="31" a="1"/>
  <c r="H383" i="31" s="1"/>
  <c r="H577" i="31" a="1"/>
  <c r="H577" i="31" s="1"/>
  <c r="H581" i="31" a="1"/>
  <c r="H581" i="31" s="1"/>
  <c r="H584" i="31" a="1"/>
  <c r="H584" i="31" s="1"/>
  <c r="H587" i="31" a="1"/>
  <c r="H587" i="31" s="1"/>
  <c r="H592" i="31" a="1"/>
  <c r="H592" i="31" s="1"/>
  <c r="H595" i="31" a="1"/>
  <c r="H595" i="31" s="1"/>
  <c r="H614" i="31" a="1"/>
  <c r="H614" i="31" s="1"/>
  <c r="H617" i="31" a="1"/>
  <c r="H617" i="31" s="1"/>
  <c r="H622" i="31" a="1"/>
  <c r="H622" i="31" s="1"/>
  <c r="H625" i="31" a="1"/>
  <c r="H625" i="31" s="1"/>
  <c r="H630" i="31" a="1"/>
  <c r="H630" i="31" s="1"/>
  <c r="H633" i="31" a="1"/>
  <c r="H633" i="31" s="1"/>
  <c r="G73" i="2" s="1"/>
  <c r="H638" i="31" a="1"/>
  <c r="H638" i="31" s="1"/>
  <c r="H641" i="31" a="1"/>
  <c r="H641" i="31" s="1"/>
  <c r="H646" i="31" a="1"/>
  <c r="H646" i="31" s="1"/>
  <c r="H649" i="31" a="1"/>
  <c r="H649" i="31" s="1"/>
  <c r="H654" i="31" a="1"/>
  <c r="H654" i="31" s="1"/>
  <c r="H657" i="31" a="1"/>
  <c r="H657" i="31" s="1"/>
  <c r="H662" i="31" a="1"/>
  <c r="H662" i="31" s="1"/>
  <c r="H665" i="31" a="1"/>
  <c r="H665" i="31" s="1"/>
  <c r="H667" i="31" a="1"/>
  <c r="H667" i="31" s="1"/>
  <c r="H669" i="31" a="1"/>
  <c r="H669" i="31" s="1"/>
  <c r="H671" i="31" a="1"/>
  <c r="H671" i="31" s="1"/>
  <c r="H673" i="31" a="1"/>
  <c r="H673" i="31" s="1"/>
  <c r="H675" i="31" a="1"/>
  <c r="H675" i="31" s="1"/>
  <c r="H677" i="31" a="1"/>
  <c r="H677" i="31" s="1"/>
  <c r="H679" i="31" a="1"/>
  <c r="H679" i="31" s="1"/>
  <c r="H681" i="31" a="1"/>
  <c r="H681" i="31" s="1"/>
  <c r="H683" i="31" a="1"/>
  <c r="H683" i="31" s="1"/>
  <c r="H685" i="31" a="1"/>
  <c r="H685" i="31" s="1"/>
  <c r="H687" i="31" a="1"/>
  <c r="H687" i="31" s="1"/>
  <c r="H689" i="31" a="1"/>
  <c r="H689" i="31" s="1"/>
  <c r="H691" i="31" a="1"/>
  <c r="H691" i="31" s="1"/>
  <c r="H693" i="31" a="1"/>
  <c r="H693" i="31" s="1"/>
  <c r="H695" i="31" a="1"/>
  <c r="H695" i="31" s="1"/>
  <c r="H697" i="31" a="1"/>
  <c r="H697" i="31" s="1"/>
  <c r="H699" i="31" a="1"/>
  <c r="H699" i="31" s="1"/>
  <c r="H701" i="31" a="1"/>
  <c r="H701" i="31" s="1"/>
  <c r="H703" i="31" a="1"/>
  <c r="H703" i="31" s="1"/>
  <c r="H705" i="31" a="1"/>
  <c r="H705" i="31" s="1"/>
  <c r="H707" i="31" a="1"/>
  <c r="H707" i="31" s="1"/>
  <c r="H709" i="31" a="1"/>
  <c r="H709" i="31" s="1"/>
  <c r="H711" i="31" a="1"/>
  <c r="H711" i="31" s="1"/>
  <c r="H713" i="31" a="1"/>
  <c r="H713" i="31" s="1"/>
  <c r="H715" i="31" a="1"/>
  <c r="H715" i="31" s="1"/>
  <c r="H717" i="31" a="1"/>
  <c r="H717" i="31" s="1"/>
  <c r="H719" i="31" a="1"/>
  <c r="H719" i="31" s="1"/>
  <c r="H721" i="31" a="1"/>
  <c r="H721" i="31" s="1"/>
  <c r="H723" i="31" a="1"/>
  <c r="H723" i="31" s="1"/>
  <c r="H725" i="31" a="1"/>
  <c r="H725" i="31" s="1"/>
  <c r="H727" i="31" a="1"/>
  <c r="H727" i="31" s="1"/>
  <c r="H729" i="31" a="1"/>
  <c r="H729" i="31" s="1"/>
  <c r="H731" i="31" a="1"/>
  <c r="H731" i="31" s="1"/>
  <c r="H733" i="31" a="1"/>
  <c r="H733" i="31" s="1"/>
  <c r="H735" i="31" a="1"/>
  <c r="H735" i="31" s="1"/>
  <c r="H737" i="31" a="1"/>
  <c r="H737" i="31" s="1"/>
  <c r="H739" i="31" a="1"/>
  <c r="H739" i="31" s="1"/>
  <c r="H741" i="31" a="1"/>
  <c r="H741" i="31" s="1"/>
  <c r="H743" i="31" a="1"/>
  <c r="H743" i="31" s="1"/>
  <c r="H745" i="31" a="1"/>
  <c r="H745" i="31" s="1"/>
  <c r="H747" i="31" a="1"/>
  <c r="H747" i="31" s="1"/>
  <c r="H749" i="31" a="1"/>
  <c r="H749" i="31" s="1"/>
  <c r="H751" i="31" a="1"/>
  <c r="H751" i="31" s="1"/>
  <c r="H753" i="31" a="1"/>
  <c r="H753" i="31" s="1"/>
  <c r="H755" i="31" a="1"/>
  <c r="H755" i="31" s="1"/>
  <c r="H757" i="31" a="1"/>
  <c r="H757" i="31" s="1"/>
  <c r="H759" i="31" a="1"/>
  <c r="H759" i="31" s="1"/>
  <c r="H761" i="31" a="1"/>
  <c r="H761" i="31" s="1"/>
  <c r="H764" i="31" a="1"/>
  <c r="H764" i="31" s="1"/>
  <c r="B118" i="2" s="1"/>
  <c r="H766" i="31" a="1"/>
  <c r="H766" i="31" s="1"/>
  <c r="H768" i="31" a="1"/>
  <c r="H768" i="31" s="1"/>
  <c r="H770" i="31" a="1"/>
  <c r="H770" i="31" s="1"/>
  <c r="H772" i="31" a="1"/>
  <c r="H772" i="31" s="1"/>
  <c r="H774" i="31" a="1"/>
  <c r="H774" i="31" s="1"/>
  <c r="H776" i="31" a="1"/>
  <c r="H776" i="31" s="1"/>
  <c r="H778" i="31" a="1"/>
  <c r="H778" i="31" s="1"/>
  <c r="H780" i="31" a="1"/>
  <c r="H780" i="31" s="1"/>
  <c r="H782" i="31" a="1"/>
  <c r="H782" i="31" s="1"/>
  <c r="H784" i="31" a="1"/>
  <c r="H784" i="31" s="1"/>
  <c r="H786" i="31" a="1"/>
  <c r="H786" i="31" s="1"/>
  <c r="H788" i="31" a="1"/>
  <c r="H788" i="31" s="1"/>
  <c r="H790" i="31" a="1"/>
  <c r="H790" i="31" s="1"/>
  <c r="H792" i="31" a="1"/>
  <c r="H792" i="31" s="1"/>
  <c r="H794" i="31" a="1"/>
  <c r="H794" i="31" s="1"/>
  <c r="H796" i="31" a="1"/>
  <c r="H796" i="31" s="1"/>
  <c r="H798" i="31" a="1"/>
  <c r="H798" i="31" s="1"/>
  <c r="H800" i="31" a="1"/>
  <c r="H800" i="31" s="1"/>
  <c r="H802" i="31" a="1"/>
  <c r="H802" i="31" s="1"/>
  <c r="H804" i="31" a="1"/>
  <c r="H804" i="31" s="1"/>
  <c r="H806" i="31" a="1"/>
  <c r="H806" i="31" s="1"/>
  <c r="H808" i="31" a="1"/>
  <c r="H808" i="31" s="1"/>
  <c r="H810" i="31" a="1"/>
  <c r="H810" i="31" s="1"/>
  <c r="H812" i="31" a="1"/>
  <c r="H812" i="31" s="1"/>
  <c r="H814" i="31" a="1"/>
  <c r="H814" i="31" s="1"/>
  <c r="H816" i="31" a="1"/>
  <c r="H816" i="31" s="1"/>
  <c r="H818" i="31" a="1"/>
  <c r="H818" i="31" s="1"/>
  <c r="H820" i="31" a="1"/>
  <c r="H820" i="31" s="1"/>
  <c r="H822" i="31" a="1"/>
  <c r="H822" i="31" s="1"/>
  <c r="H824" i="31" a="1"/>
  <c r="H824" i="31" s="1"/>
  <c r="B161" i="2" s="1"/>
  <c r="H829" i="31" a="1"/>
  <c r="H829" i="31" s="1"/>
  <c r="H215" i="31" a="1"/>
  <c r="H215" i="31" s="1"/>
  <c r="D34" i="1" s="1"/>
  <c r="H343" i="31" a="1"/>
  <c r="H343" i="31" s="1"/>
  <c r="H354" i="31" a="1"/>
  <c r="H354" i="31" s="1"/>
  <c r="B25" i="28" s="1"/>
  <c r="B22" i="37" s="1"/>
  <c r="H375" i="31" a="1"/>
  <c r="H375" i="31" s="1"/>
  <c r="H585" i="31" a="1"/>
  <c r="H585" i="31" s="1"/>
  <c r="H590" i="31" a="1"/>
  <c r="H590" i="31" s="1"/>
  <c r="H593" i="31" a="1"/>
  <c r="H593" i="31" s="1"/>
  <c r="H598" i="31" a="1"/>
  <c r="H598" i="31" s="1"/>
  <c r="B45" i="2" s="1"/>
  <c r="H615" i="31" a="1"/>
  <c r="H615" i="31" s="1"/>
  <c r="H620" i="31" a="1"/>
  <c r="H620" i="31" s="1"/>
  <c r="H623" i="31" a="1"/>
  <c r="H623" i="31" s="1"/>
  <c r="H628" i="31" a="1"/>
  <c r="H628" i="31" s="1"/>
  <c r="H631" i="31" a="1"/>
  <c r="H631" i="31" s="1"/>
  <c r="H636" i="31" a="1"/>
  <c r="H636" i="31" s="1"/>
  <c r="H639" i="31" a="1"/>
  <c r="H639" i="31" s="1"/>
  <c r="H644" i="31" a="1"/>
  <c r="H644" i="31" s="1"/>
  <c r="H647" i="31" a="1"/>
  <c r="H647" i="31" s="1"/>
  <c r="H652" i="31" a="1"/>
  <c r="H652" i="31" s="1"/>
  <c r="H655" i="31" a="1"/>
  <c r="H655" i="31" s="1"/>
  <c r="H660" i="31" a="1"/>
  <c r="H660" i="31" s="1"/>
  <c r="H663" i="31" a="1"/>
  <c r="H663" i="31" s="1"/>
  <c r="H378" i="31" a="1"/>
  <c r="H378" i="31" s="1"/>
  <c r="H575" i="31" a="1"/>
  <c r="H575" i="31" s="1"/>
  <c r="H588" i="31" a="1"/>
  <c r="H588" i="31" s="1"/>
  <c r="H613" i="31" a="1"/>
  <c r="H613" i="31" s="1"/>
  <c r="H634" i="31" a="1"/>
  <c r="H634" i="31" s="1"/>
  <c r="H645" i="31" a="1"/>
  <c r="H645" i="31" s="1"/>
  <c r="H666" i="31" a="1"/>
  <c r="H666" i="31" s="1"/>
  <c r="H674" i="31" a="1"/>
  <c r="H674" i="31" s="1"/>
  <c r="H682" i="31" a="1"/>
  <c r="H682" i="31" s="1"/>
  <c r="H690" i="31" a="1"/>
  <c r="H690" i="31" s="1"/>
  <c r="H698" i="31" a="1"/>
  <c r="H698" i="31" s="1"/>
  <c r="H706" i="31" a="1"/>
  <c r="H706" i="31" s="1"/>
  <c r="H714" i="31" a="1"/>
  <c r="H714" i="31" s="1"/>
  <c r="H722" i="31" a="1"/>
  <c r="H722" i="31" s="1"/>
  <c r="H730" i="31" a="1"/>
  <c r="H730" i="31" s="1"/>
  <c r="H738" i="31" a="1"/>
  <c r="H738" i="31" s="1"/>
  <c r="H746" i="31" a="1"/>
  <c r="H746" i="31" s="1"/>
  <c r="H754" i="31" a="1"/>
  <c r="H754" i="31" s="1"/>
  <c r="H762" i="31" a="1"/>
  <c r="H762" i="31" s="1"/>
  <c r="H771" i="31" a="1"/>
  <c r="H771" i="31" s="1"/>
  <c r="H779" i="31" a="1"/>
  <c r="H779" i="31" s="1"/>
  <c r="H787" i="31" a="1"/>
  <c r="H787" i="31" s="1"/>
  <c r="H795" i="31" a="1"/>
  <c r="H795" i="31" s="1"/>
  <c r="H803" i="31" a="1"/>
  <c r="H803" i="31" s="1"/>
  <c r="H811" i="31" a="1"/>
  <c r="H811" i="31" s="1"/>
  <c r="H819" i="31" a="1"/>
  <c r="H819" i="31" s="1"/>
  <c r="H830" i="31" a="1"/>
  <c r="H830" i="31" s="1"/>
  <c r="H834" i="31" a="1"/>
  <c r="H834" i="31" s="1"/>
  <c r="H838" i="31" a="1"/>
  <c r="H838" i="31" s="1"/>
  <c r="H842" i="31" a="1"/>
  <c r="H842" i="31" s="1"/>
  <c r="H846" i="31" a="1"/>
  <c r="H846" i="31" s="1"/>
  <c r="H850" i="31" a="1"/>
  <c r="H850" i="31" s="1"/>
  <c r="H854" i="31" a="1"/>
  <c r="H854" i="31" s="1"/>
  <c r="H858" i="31" a="1"/>
  <c r="H858" i="31" s="1"/>
  <c r="D184" i="2" s="1"/>
  <c r="H862" i="31" a="1"/>
  <c r="H862" i="31" s="1"/>
  <c r="H866" i="31" a="1"/>
  <c r="H866" i="31" s="1"/>
  <c r="H872" i="31" a="1"/>
  <c r="H872" i="31" s="1"/>
  <c r="H876" i="31" a="1"/>
  <c r="H876" i="31" s="1"/>
  <c r="H880" i="31" a="1"/>
  <c r="H880" i="31" s="1"/>
  <c r="H884" i="31" a="1"/>
  <c r="H884" i="31" s="1"/>
  <c r="H888" i="31" a="1"/>
  <c r="H888" i="31" s="1"/>
  <c r="H891" i="31" a="1"/>
  <c r="H891" i="31" s="1"/>
  <c r="H893" i="31" a="1"/>
  <c r="H893" i="31" s="1"/>
  <c r="H895" i="31" a="1"/>
  <c r="H895" i="31" s="1"/>
  <c r="H897" i="31" a="1"/>
  <c r="H897" i="31" s="1"/>
  <c r="H899" i="31" a="1"/>
  <c r="H899" i="31" s="1"/>
  <c r="H901" i="31" a="1"/>
  <c r="H901" i="31" s="1"/>
  <c r="H903" i="31" a="1"/>
  <c r="H903" i="31" s="1"/>
  <c r="H905" i="31" a="1"/>
  <c r="H905" i="31" s="1"/>
  <c r="H907" i="31" a="1"/>
  <c r="H907" i="31" s="1"/>
  <c r="H909" i="31" a="1"/>
  <c r="H909" i="31" s="1"/>
  <c r="H911" i="31" a="1"/>
  <c r="H911" i="31" s="1"/>
  <c r="H913" i="31" a="1"/>
  <c r="H913" i="31" s="1"/>
  <c r="H915" i="31" a="1"/>
  <c r="H915" i="31" s="1"/>
  <c r="H917" i="31" a="1"/>
  <c r="H917" i="31" s="1"/>
  <c r="H919" i="31" a="1"/>
  <c r="H919" i="31" s="1"/>
  <c r="H921" i="31" a="1"/>
  <c r="H921" i="31" s="1"/>
  <c r="H923" i="31" a="1"/>
  <c r="H923" i="31" s="1"/>
  <c r="H925" i="31" a="1"/>
  <c r="H925" i="31" s="1"/>
  <c r="H927" i="31" a="1"/>
  <c r="H927" i="31" s="1"/>
  <c r="H929" i="31" a="1"/>
  <c r="H929" i="31" s="1"/>
  <c r="H930" i="31" a="1"/>
  <c r="H930" i="31" s="1"/>
  <c r="H931" i="31" a="1"/>
  <c r="H931" i="31" s="1"/>
  <c r="H933" i="31" a="1"/>
  <c r="H933" i="31" s="1"/>
  <c r="H935" i="31" a="1"/>
  <c r="H935" i="31" s="1"/>
  <c r="H937" i="31" a="1"/>
  <c r="H937" i="31" s="1"/>
  <c r="H938" i="31" a="1"/>
  <c r="H938" i="31" s="1"/>
  <c r="H940" i="31" a="1"/>
  <c r="H940" i="31" s="1"/>
  <c r="H942" i="31" a="1"/>
  <c r="H942" i="31" s="1"/>
  <c r="H944" i="31" a="1"/>
  <c r="H944" i="31" s="1"/>
  <c r="H946" i="31" a="1"/>
  <c r="H946" i="31" s="1"/>
  <c r="B19" i="9" s="1"/>
  <c r="H948" i="31" a="1"/>
  <c r="H948" i="31" s="1"/>
  <c r="B21" i="9" s="1"/>
  <c r="H950" i="31" a="1"/>
  <c r="H950" i="31" s="1"/>
  <c r="B23" i="9" s="1"/>
  <c r="H952" i="31" a="1"/>
  <c r="H952" i="31" s="1"/>
  <c r="H954" i="31" a="1"/>
  <c r="H954" i="31" s="1"/>
  <c r="H956" i="31" a="1"/>
  <c r="H956" i="31" s="1"/>
  <c r="H958" i="31" a="1"/>
  <c r="H958" i="31" s="1"/>
  <c r="H959" i="31" a="1"/>
  <c r="H959" i="31" s="1"/>
  <c r="H960" i="31" a="1"/>
  <c r="H960" i="31" s="1"/>
  <c r="H962" i="31" a="1"/>
  <c r="H962" i="31" s="1"/>
  <c r="H963" i="31" a="1"/>
  <c r="H963" i="31" s="1"/>
  <c r="H964" i="31" a="1"/>
  <c r="H964" i="31" s="1"/>
  <c r="H966" i="31" a="1"/>
  <c r="H966" i="31" s="1"/>
  <c r="H968" i="31" a="1"/>
  <c r="H968" i="31" s="1"/>
  <c r="H970" i="31" a="1"/>
  <c r="H970" i="31" s="1"/>
  <c r="H972" i="31" a="1"/>
  <c r="H972" i="31" s="1"/>
  <c r="H974" i="31" a="1"/>
  <c r="H974" i="31" s="1"/>
  <c r="H976" i="31" a="1"/>
  <c r="H976" i="31" s="1"/>
  <c r="H978" i="31" a="1"/>
  <c r="H978" i="31" s="1"/>
  <c r="H980" i="31" a="1"/>
  <c r="H980" i="31" s="1"/>
  <c r="H982" i="31" a="1"/>
  <c r="H982" i="31" s="1"/>
  <c r="H984" i="31" a="1"/>
  <c r="H984" i="31" s="1"/>
  <c r="H986" i="31" a="1"/>
  <c r="H986" i="31" s="1"/>
  <c r="H988" i="31" a="1"/>
  <c r="H988" i="31" s="1"/>
  <c r="H990" i="31" a="1"/>
  <c r="H990" i="31" s="1"/>
  <c r="H992" i="31" a="1"/>
  <c r="H992" i="31" s="1"/>
  <c r="H994" i="31" a="1"/>
  <c r="H994" i="31" s="1"/>
  <c r="H996" i="31" a="1"/>
  <c r="H996" i="31" s="1"/>
  <c r="H998" i="31" a="1"/>
  <c r="H998" i="31" s="1"/>
  <c r="H1000" i="31" a="1"/>
  <c r="H1000" i="31" s="1"/>
  <c r="H1002" i="31" a="1"/>
  <c r="H1002" i="31" s="1"/>
  <c r="H1004" i="31" a="1"/>
  <c r="H1004" i="31" s="1"/>
  <c r="H1006" i="31" a="1"/>
  <c r="H1006" i="31" s="1"/>
  <c r="H1008" i="31" a="1"/>
  <c r="H1008" i="31" s="1"/>
  <c r="H1010" i="31" a="1"/>
  <c r="H1010" i="31" s="1"/>
  <c r="H1012" i="31" a="1"/>
  <c r="H1012" i="31" s="1"/>
  <c r="H1014" i="31" a="1"/>
  <c r="H1014" i="31" s="1"/>
  <c r="H1016" i="31" a="1"/>
  <c r="H1016" i="31" s="1"/>
  <c r="H1018" i="31" a="1"/>
  <c r="H1018" i="31" s="1"/>
  <c r="H1020" i="31" a="1"/>
  <c r="H1020" i="31" s="1"/>
  <c r="H1022" i="31" a="1"/>
  <c r="H1022" i="31" s="1"/>
  <c r="H1024" i="31" a="1"/>
  <c r="H1024" i="31" s="1"/>
  <c r="H1026" i="31" a="1"/>
  <c r="H1026" i="31" s="1"/>
  <c r="H1030" i="31" a="1"/>
  <c r="H1030" i="31" s="1"/>
  <c r="H1032" i="31" a="1"/>
  <c r="H1032" i="31" s="1"/>
  <c r="H1034" i="31" a="1"/>
  <c r="H1034" i="31" s="1"/>
  <c r="H1037" i="31" a="1"/>
  <c r="H1037" i="31" s="1"/>
  <c r="H1039" i="31" a="1"/>
  <c r="H1039" i="31" s="1"/>
  <c r="H1041" i="31" a="1"/>
  <c r="H1041" i="31" s="1"/>
  <c r="H1043" i="31" a="1"/>
  <c r="H1043" i="31" s="1"/>
  <c r="H1045" i="31" a="1"/>
  <c r="H1045" i="31" s="1"/>
  <c r="H1047" i="31" a="1"/>
  <c r="H1047" i="31" s="1"/>
  <c r="H1052" i="31" a="1"/>
  <c r="H1052" i="31" s="1"/>
  <c r="H1054" i="31" a="1"/>
  <c r="H1054" i="31" s="1"/>
  <c r="H1056" i="31" a="1"/>
  <c r="H1056" i="31" s="1"/>
  <c r="H1058" i="31" a="1"/>
  <c r="H1058" i="31" s="1"/>
  <c r="H1062" i="31" a="1"/>
  <c r="H1062" i="31" s="1"/>
  <c r="H1066" i="31" a="1"/>
  <c r="H1066" i="31" s="1"/>
  <c r="H1068" i="31" a="1"/>
  <c r="H1068" i="31" s="1"/>
  <c r="H1070" i="31" a="1"/>
  <c r="H1070" i="31" s="1"/>
  <c r="H1072" i="31" a="1"/>
  <c r="H1072" i="31" s="1"/>
  <c r="H1074" i="31" a="1"/>
  <c r="H1074" i="31" s="1"/>
  <c r="H1076" i="31" a="1"/>
  <c r="H1076" i="31" s="1"/>
  <c r="H1078" i="31" a="1"/>
  <c r="H1078" i="31" s="1"/>
  <c r="H1080" i="31" a="1"/>
  <c r="H1080" i="31" s="1"/>
  <c r="H1082" i="31" a="1"/>
  <c r="H1082" i="31" s="1"/>
  <c r="H1084" i="31" a="1"/>
  <c r="H1084" i="31" s="1"/>
  <c r="H1086" i="31" a="1"/>
  <c r="H1086" i="31" s="1"/>
  <c r="H1088" i="31" a="1"/>
  <c r="H1088" i="31" s="1"/>
  <c r="H1090" i="31" a="1"/>
  <c r="H1090" i="31" s="1"/>
  <c r="H1092" i="31" a="1"/>
  <c r="H1092" i="31" s="1"/>
  <c r="H1094" i="31" a="1"/>
  <c r="H1094" i="31" s="1"/>
  <c r="H1096" i="31" a="1"/>
  <c r="H1096" i="31" s="1"/>
  <c r="H1098" i="31" a="1"/>
  <c r="H1098" i="31" s="1"/>
  <c r="H1100" i="31" a="1"/>
  <c r="H1100" i="31" s="1"/>
  <c r="H1102" i="31" a="1"/>
  <c r="H1102" i="31" s="1"/>
  <c r="H1104" i="31" a="1"/>
  <c r="H1104" i="31" s="1"/>
  <c r="H1106" i="31" a="1"/>
  <c r="H1106" i="31" s="1"/>
  <c r="H1108" i="31" a="1"/>
  <c r="H1108" i="31" s="1"/>
  <c r="H1110" i="31" a="1"/>
  <c r="H1110" i="31" s="1"/>
  <c r="H1112" i="31" a="1"/>
  <c r="H1112" i="31" s="1"/>
  <c r="H1114" i="31" a="1"/>
  <c r="H1114" i="31" s="1"/>
  <c r="H1116" i="31" a="1"/>
  <c r="H1116" i="31" s="1"/>
  <c r="H1118" i="31" a="1"/>
  <c r="H1118" i="31" s="1"/>
  <c r="H1120" i="31" a="1"/>
  <c r="H1120" i="31" s="1"/>
  <c r="H1122" i="31" a="1"/>
  <c r="H1122" i="31" s="1"/>
  <c r="H1124" i="31" a="1"/>
  <c r="H1124" i="31" s="1"/>
  <c r="H1126" i="31" a="1"/>
  <c r="H1126" i="31" s="1"/>
  <c r="H1128" i="31" a="1"/>
  <c r="H1128" i="31" s="1"/>
  <c r="H1129" i="31" a="1"/>
  <c r="H1129" i="31" s="1"/>
  <c r="H1130" i="31" a="1"/>
  <c r="H1130" i="31" s="1"/>
  <c r="H1132" i="31" a="1"/>
  <c r="H1132" i="31" s="1"/>
  <c r="H1134" i="31" a="1"/>
  <c r="H1134" i="31" s="1"/>
  <c r="H1136" i="31" a="1"/>
  <c r="H1136" i="31" s="1"/>
  <c r="H1137" i="31" a="1"/>
  <c r="H1137" i="31" s="1"/>
  <c r="H1139" i="31" a="1"/>
  <c r="H1139" i="31" s="1"/>
  <c r="H1141" i="31" a="1"/>
  <c r="H1141" i="31" s="1"/>
  <c r="H1143" i="31" a="1"/>
  <c r="H1143" i="31" s="1"/>
  <c r="H1145" i="31" a="1"/>
  <c r="H1145" i="31" s="1"/>
  <c r="B103" i="9" s="1"/>
  <c r="H1147" i="31" a="1"/>
  <c r="H1147" i="31" s="1"/>
  <c r="B105" i="9" s="1"/>
  <c r="H1149" i="31" a="1"/>
  <c r="H1149" i="31" s="1"/>
  <c r="B107" i="9" s="1"/>
  <c r="H1151" i="31" a="1"/>
  <c r="H1151" i="31" s="1"/>
  <c r="H1153" i="31" a="1"/>
  <c r="H1153" i="31" s="1"/>
  <c r="H1155" i="31" a="1"/>
  <c r="H1155" i="31" s="1"/>
  <c r="H1157" i="31" a="1"/>
  <c r="H1157" i="31" s="1"/>
  <c r="H1158" i="31" a="1"/>
  <c r="H1158" i="31" s="1"/>
  <c r="H1159" i="31" a="1"/>
  <c r="H1159" i="31" s="1"/>
  <c r="H1161" i="31" a="1"/>
  <c r="H1161" i="31" s="1"/>
  <c r="H1162" i="31" a="1"/>
  <c r="H1162" i="31" s="1"/>
  <c r="H1163" i="31" a="1"/>
  <c r="H1163" i="31" s="1"/>
  <c r="H1165" i="31" a="1"/>
  <c r="H1165" i="31" s="1"/>
  <c r="H1167" i="31" a="1"/>
  <c r="H1167" i="31" s="1"/>
  <c r="H1169" i="31" a="1"/>
  <c r="H1169" i="31" s="1"/>
  <c r="H1171" i="31" a="1"/>
  <c r="H1171" i="31" s="1"/>
  <c r="H1173" i="31" a="1"/>
  <c r="H1173" i="31" s="1"/>
  <c r="H1175" i="31" a="1"/>
  <c r="H1175" i="31" s="1"/>
  <c r="H1177" i="31" a="1"/>
  <c r="H1177" i="31" s="1"/>
  <c r="H1179" i="31" a="1"/>
  <c r="H1179" i="31" s="1"/>
  <c r="H1181" i="31" a="1"/>
  <c r="H1181" i="31" s="1"/>
  <c r="H1183" i="31" a="1"/>
  <c r="H1183" i="31" s="1"/>
  <c r="H1185" i="31" a="1"/>
  <c r="H1185" i="31" s="1"/>
  <c r="H1187" i="31" a="1"/>
  <c r="H1187" i="31" s="1"/>
  <c r="H1189" i="31" a="1"/>
  <c r="H1189" i="31" s="1"/>
  <c r="H1191" i="31" a="1"/>
  <c r="H1191" i="31" s="1"/>
  <c r="H1193" i="31" a="1"/>
  <c r="H1193" i="31" s="1"/>
  <c r="H1195" i="31" a="1"/>
  <c r="H1195" i="31" s="1"/>
  <c r="H1197" i="31" a="1"/>
  <c r="H1197" i="31" s="1"/>
  <c r="H1199" i="31" a="1"/>
  <c r="H1199" i="31" s="1"/>
  <c r="H1201" i="31" a="1"/>
  <c r="H1201" i="31" s="1"/>
  <c r="H1203" i="31" a="1"/>
  <c r="H1203" i="31" s="1"/>
  <c r="H1205" i="31" a="1"/>
  <c r="H1205" i="31" s="1"/>
  <c r="H1207" i="31" a="1"/>
  <c r="H1207" i="31" s="1"/>
  <c r="H1209" i="31" a="1"/>
  <c r="H1209" i="31" s="1"/>
  <c r="H1211" i="31" a="1"/>
  <c r="H1211" i="31" s="1"/>
  <c r="H1213" i="31" a="1"/>
  <c r="H1213" i="31" s="1"/>
  <c r="H1215" i="31" a="1"/>
  <c r="H1215" i="31" s="1"/>
  <c r="H1217" i="31" a="1"/>
  <c r="H1217" i="31" s="1"/>
  <c r="H1219" i="31" a="1"/>
  <c r="H1219" i="31" s="1"/>
  <c r="H1221" i="31" a="1"/>
  <c r="H1221" i="31" s="1"/>
  <c r="H1223" i="31" a="1"/>
  <c r="H1223" i="31" s="1"/>
  <c r="H1225" i="31" a="1"/>
  <c r="H1225" i="31" s="1"/>
  <c r="H346" i="31" a="1"/>
  <c r="H346" i="31" s="1"/>
  <c r="H579" i="31" a="1"/>
  <c r="H579" i="31" s="1"/>
  <c r="H591" i="31" a="1"/>
  <c r="H591" i="31" s="1"/>
  <c r="H626" i="31" a="1"/>
  <c r="H626" i="31" s="1"/>
  <c r="H637" i="31" a="1"/>
  <c r="H637" i="31" s="1"/>
  <c r="H658" i="31" a="1"/>
  <c r="H658" i="31" s="1"/>
  <c r="H668" i="31" a="1"/>
  <c r="H668" i="31" s="1"/>
  <c r="H676" i="31" a="1"/>
  <c r="H676" i="31" s="1"/>
  <c r="H684" i="31" a="1"/>
  <c r="H684" i="31" s="1"/>
  <c r="H692" i="31" a="1"/>
  <c r="H692" i="31" s="1"/>
  <c r="H700" i="31" a="1"/>
  <c r="H700" i="31" s="1"/>
  <c r="H708" i="31" a="1"/>
  <c r="H708" i="31" s="1"/>
  <c r="H716" i="31" a="1"/>
  <c r="H716" i="31" s="1"/>
  <c r="H724" i="31" a="1"/>
  <c r="H724" i="31" s="1"/>
  <c r="H732" i="31" a="1"/>
  <c r="H732" i="31" s="1"/>
  <c r="H740" i="31" a="1"/>
  <c r="H740" i="31" s="1"/>
  <c r="H748" i="31" a="1"/>
  <c r="H748" i="31" s="1"/>
  <c r="H756" i="31" a="1"/>
  <c r="H756" i="31" s="1"/>
  <c r="H765" i="31" a="1"/>
  <c r="H765" i="31" s="1"/>
  <c r="H773" i="31" a="1"/>
  <c r="H773" i="31" s="1"/>
  <c r="H781" i="31" a="1"/>
  <c r="H781" i="31" s="1"/>
  <c r="H789" i="31" a="1"/>
  <c r="H789" i="31" s="1"/>
  <c r="H797" i="31" a="1"/>
  <c r="H797" i="31" s="1"/>
  <c r="H805" i="31" a="1"/>
  <c r="H805" i="31" s="1"/>
  <c r="H813" i="31" a="1"/>
  <c r="H813" i="31" s="1"/>
  <c r="H821" i="31" a="1"/>
  <c r="H821" i="31" s="1"/>
  <c r="H831" i="31" a="1"/>
  <c r="H831" i="31" s="1"/>
  <c r="H835" i="31" a="1"/>
  <c r="H835" i="31" s="1"/>
  <c r="H839" i="31" a="1"/>
  <c r="H839" i="31" s="1"/>
  <c r="H843" i="31" a="1"/>
  <c r="H843" i="31" s="1"/>
  <c r="H847" i="31" a="1"/>
  <c r="H847" i="31" s="1"/>
  <c r="H851" i="31" a="1"/>
  <c r="H851" i="31" s="1"/>
  <c r="H855" i="31" a="1"/>
  <c r="H855" i="31" s="1"/>
  <c r="H859" i="31" a="1"/>
  <c r="H859" i="31" s="1"/>
  <c r="H863" i="31" a="1"/>
  <c r="H863" i="31" s="1"/>
  <c r="H869" i="31" a="1"/>
  <c r="H869" i="31" s="1"/>
  <c r="H873" i="31" a="1"/>
  <c r="H873" i="31" s="1"/>
  <c r="H877" i="31" a="1"/>
  <c r="H877" i="31" s="1"/>
  <c r="H881" i="31" a="1"/>
  <c r="H881" i="31" s="1"/>
  <c r="H885" i="31" a="1"/>
  <c r="H885" i="31" s="1"/>
  <c r="H889" i="31" a="1"/>
  <c r="H889" i="31" s="1"/>
  <c r="H583" i="31" a="1"/>
  <c r="H583" i="31" s="1"/>
  <c r="H618" i="31" a="1"/>
  <c r="H618" i="31" s="1"/>
  <c r="H629" i="31" a="1"/>
  <c r="H629" i="31" s="1"/>
  <c r="H650" i="31" a="1"/>
  <c r="H650" i="31" s="1"/>
  <c r="H661" i="31" a="1"/>
  <c r="H661" i="31" s="1"/>
  <c r="H670" i="31" a="1"/>
  <c r="H670" i="31" s="1"/>
  <c r="H678" i="31" a="1"/>
  <c r="H678" i="31" s="1"/>
  <c r="H686" i="31" a="1"/>
  <c r="H686" i="31" s="1"/>
  <c r="H694" i="31" a="1"/>
  <c r="H694" i="31" s="1"/>
  <c r="H702" i="31" a="1"/>
  <c r="H702" i="31" s="1"/>
  <c r="H710" i="31" a="1"/>
  <c r="H710" i="31" s="1"/>
  <c r="H718" i="31" a="1"/>
  <c r="H718" i="31" s="1"/>
  <c r="H726" i="31" a="1"/>
  <c r="H726" i="31" s="1"/>
  <c r="H734" i="31" a="1"/>
  <c r="H734" i="31" s="1"/>
  <c r="H742" i="31" a="1"/>
  <c r="H742" i="31" s="1"/>
  <c r="H750" i="31" a="1"/>
  <c r="H750" i="31" s="1"/>
  <c r="H758" i="31" a="1"/>
  <c r="H758" i="31" s="1"/>
  <c r="H767" i="31" a="1"/>
  <c r="H767" i="31" s="1"/>
  <c r="H775" i="31" a="1"/>
  <c r="H775" i="31" s="1"/>
  <c r="H783" i="31" a="1"/>
  <c r="H783" i="31" s="1"/>
  <c r="H791" i="31" a="1"/>
  <c r="H791" i="31" s="1"/>
  <c r="H799" i="31" a="1"/>
  <c r="H799" i="31" s="1"/>
  <c r="H807" i="31" a="1"/>
  <c r="H807" i="31" s="1"/>
  <c r="H815" i="31" a="1"/>
  <c r="H815" i="31" s="1"/>
  <c r="H823" i="31" a="1"/>
  <c r="H823" i="31" s="1"/>
  <c r="H832" i="31" a="1"/>
  <c r="H832" i="31" s="1"/>
  <c r="H836" i="31" a="1"/>
  <c r="H836" i="31" s="1"/>
  <c r="H840" i="31" a="1"/>
  <c r="H840" i="31" s="1"/>
  <c r="H844" i="31" a="1"/>
  <c r="H844" i="31" s="1"/>
  <c r="H848" i="31" a="1"/>
  <c r="H848" i="31" s="1"/>
  <c r="H852" i="31" a="1"/>
  <c r="H852" i="31" s="1"/>
  <c r="H856" i="31" a="1"/>
  <c r="H856" i="31" s="1"/>
  <c r="B184" i="2" s="1"/>
  <c r="H860" i="31" a="1"/>
  <c r="H860" i="31" s="1"/>
  <c r="B186" i="2"/>
  <c r="H870" i="31" a="1"/>
  <c r="H870" i="31" s="1"/>
  <c r="H874" i="31" a="1"/>
  <c r="H874" i="31" s="1"/>
  <c r="H878" i="31" a="1"/>
  <c r="H878" i="31" s="1"/>
  <c r="H882" i="31" a="1"/>
  <c r="H882" i="31" s="1"/>
  <c r="H886" i="31" a="1"/>
  <c r="H886" i="31" s="1"/>
  <c r="H890" i="31" a="1"/>
  <c r="H890" i="31" s="1"/>
  <c r="H892" i="31" a="1"/>
  <c r="H892" i="31" s="1"/>
  <c r="H894" i="31" a="1"/>
  <c r="H894" i="31" s="1"/>
  <c r="H896" i="31" a="1"/>
  <c r="H896" i="31" s="1"/>
  <c r="H898" i="31" a="1"/>
  <c r="H898" i="31" s="1"/>
  <c r="H900" i="31" a="1"/>
  <c r="H900" i="31" s="1"/>
  <c r="H902" i="31" a="1"/>
  <c r="H902" i="31" s="1"/>
  <c r="H904" i="31" a="1"/>
  <c r="H904" i="31" s="1"/>
  <c r="H906" i="31" a="1"/>
  <c r="H906" i="31" s="1"/>
  <c r="H908" i="31" a="1"/>
  <c r="H908" i="31" s="1"/>
  <c r="H910" i="31" a="1"/>
  <c r="H910" i="31" s="1"/>
  <c r="H912" i="31" a="1"/>
  <c r="H912" i="31" s="1"/>
  <c r="H914" i="31" a="1"/>
  <c r="H914" i="31" s="1"/>
  <c r="H916" i="31" a="1"/>
  <c r="H916" i="31" s="1"/>
  <c r="H918" i="31" a="1"/>
  <c r="H918" i="31" s="1"/>
  <c r="H920" i="31" a="1"/>
  <c r="H920" i="31" s="1"/>
  <c r="H922" i="31" a="1"/>
  <c r="H922" i="31" s="1"/>
  <c r="H924" i="31" a="1"/>
  <c r="H924" i="31" s="1"/>
  <c r="H926" i="31" a="1"/>
  <c r="H926" i="31" s="1"/>
  <c r="H928" i="31" a="1"/>
  <c r="H928" i="31" s="1"/>
  <c r="H932" i="31" a="1"/>
  <c r="H932" i="31" s="1"/>
  <c r="H934" i="31" a="1"/>
  <c r="H934" i="31" s="1"/>
  <c r="H936" i="31" a="1"/>
  <c r="H936" i="31" s="1"/>
  <c r="H939" i="31" a="1"/>
  <c r="H939" i="31" s="1"/>
  <c r="H941" i="31" a="1"/>
  <c r="H941" i="31" s="1"/>
  <c r="H943" i="31" a="1"/>
  <c r="H943" i="31" s="1"/>
  <c r="H945" i="31" a="1"/>
  <c r="H945" i="31" s="1"/>
  <c r="B18" i="9" s="1"/>
  <c r="H947" i="31" a="1"/>
  <c r="H947" i="31" s="1"/>
  <c r="B20" i="9" s="1"/>
  <c r="H949" i="31" a="1"/>
  <c r="H949" i="31" s="1"/>
  <c r="B22" i="9" s="1"/>
  <c r="H951" i="31" a="1"/>
  <c r="H951" i="31" s="1"/>
  <c r="H953" i="31" a="1"/>
  <c r="H953" i="31" s="1"/>
  <c r="H955" i="31" a="1"/>
  <c r="H955" i="31" s="1"/>
  <c r="H957" i="31" a="1"/>
  <c r="H957" i="31" s="1"/>
  <c r="H961" i="31" a="1"/>
  <c r="H961" i="31" s="1"/>
  <c r="H965" i="31" a="1"/>
  <c r="H965" i="31" s="1"/>
  <c r="H967" i="31" a="1"/>
  <c r="H967" i="31" s="1"/>
  <c r="H969" i="31" a="1"/>
  <c r="H969" i="31" s="1"/>
  <c r="H971" i="31" a="1"/>
  <c r="H971" i="31" s="1"/>
  <c r="H973" i="31" a="1"/>
  <c r="H973" i="31" s="1"/>
  <c r="H975" i="31" a="1"/>
  <c r="H975" i="31" s="1"/>
  <c r="H977" i="31" a="1"/>
  <c r="H977" i="31" s="1"/>
  <c r="H979" i="31" a="1"/>
  <c r="H979" i="31" s="1"/>
  <c r="H981" i="31" a="1"/>
  <c r="H981" i="31" s="1"/>
  <c r="H983" i="31" a="1"/>
  <c r="H983" i="31" s="1"/>
  <c r="H985" i="31" a="1"/>
  <c r="H985" i="31" s="1"/>
  <c r="H987" i="31" a="1"/>
  <c r="H987" i="31" s="1"/>
  <c r="H989" i="31" a="1"/>
  <c r="H989" i="31" s="1"/>
  <c r="H991" i="31" a="1"/>
  <c r="H991" i="31" s="1"/>
  <c r="H993" i="31" a="1"/>
  <c r="H993" i="31" s="1"/>
  <c r="H995" i="31" a="1"/>
  <c r="H995" i="31" s="1"/>
  <c r="H997" i="31" a="1"/>
  <c r="H997" i="31" s="1"/>
  <c r="H999" i="31" a="1"/>
  <c r="H999" i="31" s="1"/>
  <c r="H1001" i="31" a="1"/>
  <c r="H1001" i="31" s="1"/>
  <c r="H1003" i="31" a="1"/>
  <c r="H1003" i="31" s="1"/>
  <c r="H1005" i="31" a="1"/>
  <c r="H1005" i="31" s="1"/>
  <c r="H1007" i="31" a="1"/>
  <c r="H1007" i="31" s="1"/>
  <c r="H1009" i="31" a="1"/>
  <c r="H1009" i="31" s="1"/>
  <c r="H1011" i="31" a="1"/>
  <c r="H1011" i="31" s="1"/>
  <c r="H1013" i="31" a="1"/>
  <c r="H1013" i="31" s="1"/>
  <c r="H1015" i="31" a="1"/>
  <c r="H1015" i="31" s="1"/>
  <c r="H1017" i="31" a="1"/>
  <c r="H1017" i="31" s="1"/>
  <c r="H1019" i="31" a="1"/>
  <c r="H1019" i="31" s="1"/>
  <c r="H1021" i="31" a="1"/>
  <c r="H1021" i="31" s="1"/>
  <c r="H1023" i="31" a="1"/>
  <c r="H1023" i="31" s="1"/>
  <c r="H1025" i="31" a="1"/>
  <c r="H1025" i="31" s="1"/>
  <c r="H1027" i="31" a="1"/>
  <c r="H1027" i="31" s="1"/>
  <c r="H1028" i="31" a="1"/>
  <c r="H1028" i="31" s="1"/>
  <c r="H1029" i="31" a="1"/>
  <c r="H1029" i="31" s="1"/>
  <c r="H1031" i="31" a="1"/>
  <c r="H1031" i="31" s="1"/>
  <c r="H1033" i="31" a="1"/>
  <c r="H1033" i="31" s="1"/>
  <c r="H1035" i="31" a="1"/>
  <c r="H1035" i="31" s="1"/>
  <c r="H1036" i="31" a="1"/>
  <c r="H1036" i="31" s="1"/>
  <c r="H1038" i="31" a="1"/>
  <c r="H1038" i="31" s="1"/>
  <c r="H1040" i="31" a="1"/>
  <c r="H1040" i="31" s="1"/>
  <c r="H1042" i="31" a="1"/>
  <c r="H1042" i="31" s="1"/>
  <c r="H1044" i="31" a="1"/>
  <c r="H1044" i="31" s="1"/>
  <c r="H1046" i="31" a="1"/>
  <c r="H1046" i="31" s="1"/>
  <c r="H1051" i="31" a="1"/>
  <c r="H1051" i="31" s="1"/>
  <c r="H1053" i="31" a="1"/>
  <c r="H1053" i="31" s="1"/>
  <c r="H1055" i="31" a="1"/>
  <c r="H1055" i="31" s="1"/>
  <c r="H1057" i="31" a="1"/>
  <c r="H1057" i="31" s="1"/>
  <c r="H1059" i="31" a="1"/>
  <c r="H1059" i="31" s="1"/>
  <c r="H1060" i="31" a="1"/>
  <c r="H1060" i="31" s="1"/>
  <c r="H1061" i="31" a="1"/>
  <c r="H1061" i="31" s="1"/>
  <c r="H1063" i="31" a="1"/>
  <c r="H1063" i="31" s="1"/>
  <c r="H1064" i="31" a="1"/>
  <c r="H1064" i="31" s="1"/>
  <c r="H1065" i="31" a="1"/>
  <c r="H1065" i="31" s="1"/>
  <c r="H1067" i="31" a="1"/>
  <c r="H1067" i="31" s="1"/>
  <c r="H1069" i="31" a="1"/>
  <c r="H1069" i="31" s="1"/>
  <c r="H1071" i="31" a="1"/>
  <c r="H1071" i="31" s="1"/>
  <c r="H1073" i="31" a="1"/>
  <c r="H1073" i="31" s="1"/>
  <c r="H1075" i="31" a="1"/>
  <c r="H1075" i="31" s="1"/>
  <c r="H1077" i="31" a="1"/>
  <c r="H1077" i="31" s="1"/>
  <c r="H1079" i="31" a="1"/>
  <c r="H1079" i="31" s="1"/>
  <c r="H1081" i="31" a="1"/>
  <c r="H1081" i="31" s="1"/>
  <c r="H1083" i="31" a="1"/>
  <c r="H1083" i="31" s="1"/>
  <c r="H1085" i="31" a="1"/>
  <c r="H1085" i="31" s="1"/>
  <c r="H1087" i="31" a="1"/>
  <c r="H1087" i="31" s="1"/>
  <c r="H1089" i="31" a="1"/>
  <c r="H1089" i="31" s="1"/>
  <c r="H1091" i="31" a="1"/>
  <c r="H1091" i="31" s="1"/>
  <c r="H1093" i="31" a="1"/>
  <c r="H1093" i="31" s="1"/>
  <c r="H1095" i="31" a="1"/>
  <c r="H1095" i="31" s="1"/>
  <c r="H1097" i="31" a="1"/>
  <c r="H1097" i="31" s="1"/>
  <c r="H1099" i="31" a="1"/>
  <c r="H1099" i="31" s="1"/>
  <c r="H1101" i="31" a="1"/>
  <c r="H1101" i="31" s="1"/>
  <c r="H1103" i="31" a="1"/>
  <c r="H1103" i="31" s="1"/>
  <c r="H1105" i="31" a="1"/>
  <c r="H1105" i="31" s="1"/>
  <c r="H1107" i="31" a="1"/>
  <c r="H1107" i="31" s="1"/>
  <c r="H1109" i="31" a="1"/>
  <c r="H1109" i="31" s="1"/>
  <c r="H1111" i="31" a="1"/>
  <c r="H1111" i="31" s="1"/>
  <c r="H1113" i="31" a="1"/>
  <c r="H1113" i="31" s="1"/>
  <c r="H1115" i="31" a="1"/>
  <c r="H1115" i="31" s="1"/>
  <c r="H1117" i="31" a="1"/>
  <c r="H1117" i="31" s="1"/>
  <c r="H1119" i="31" a="1"/>
  <c r="H1119" i="31" s="1"/>
  <c r="H1121" i="31" a="1"/>
  <c r="H1121" i="31" s="1"/>
  <c r="H1123" i="31" a="1"/>
  <c r="H1123" i="31" s="1"/>
  <c r="H1125" i="31" a="1"/>
  <c r="H1125" i="31" s="1"/>
  <c r="H1127" i="31" a="1"/>
  <c r="H1127" i="31" s="1"/>
  <c r="H1131" i="31" a="1"/>
  <c r="H1131" i="31" s="1"/>
  <c r="H1133" i="31" a="1"/>
  <c r="H1133" i="31" s="1"/>
  <c r="H1135" i="31" a="1"/>
  <c r="H1135" i="31" s="1"/>
  <c r="H1138" i="31" a="1"/>
  <c r="H1138" i="31" s="1"/>
  <c r="H1140" i="31" a="1"/>
  <c r="H1140" i="31" s="1"/>
  <c r="H1142" i="31" a="1"/>
  <c r="H1142" i="31" s="1"/>
  <c r="B101" i="9" s="1"/>
  <c r="H1144" i="31" a="1"/>
  <c r="H1144" i="31" s="1"/>
  <c r="B102" i="9" s="1"/>
  <c r="H1146" i="31" a="1"/>
  <c r="H1146" i="31" s="1"/>
  <c r="B104" i="9" s="1"/>
  <c r="H1148" i="31" a="1"/>
  <c r="H1148" i="31" s="1"/>
  <c r="B106" i="9" s="1"/>
  <c r="H1150" i="31" a="1"/>
  <c r="H1150" i="31" s="1"/>
  <c r="H1152" i="31" a="1"/>
  <c r="H1152" i="31" s="1"/>
  <c r="H1154" i="31" a="1"/>
  <c r="H1154" i="31" s="1"/>
  <c r="H1156" i="31" a="1"/>
  <c r="H1156" i="31" s="1"/>
  <c r="H1160" i="31" a="1"/>
  <c r="H1160" i="31" s="1"/>
  <c r="H1164" i="31" a="1"/>
  <c r="H1164" i="31" s="1"/>
  <c r="H1166" i="31" a="1"/>
  <c r="H1166" i="31" s="1"/>
  <c r="H1168" i="31" a="1"/>
  <c r="H1168" i="31" s="1"/>
  <c r="H1170" i="31" a="1"/>
  <c r="H1170" i="31" s="1"/>
  <c r="H1172" i="31" a="1"/>
  <c r="H1172" i="31" s="1"/>
  <c r="H1174" i="31" a="1"/>
  <c r="H1174" i="31" s="1"/>
  <c r="H1176" i="31" a="1"/>
  <c r="H1176" i="31" s="1"/>
  <c r="H1178" i="31" a="1"/>
  <c r="H1178" i="31" s="1"/>
  <c r="H1180" i="31" a="1"/>
  <c r="H1180" i="31" s="1"/>
  <c r="H1182" i="31" a="1"/>
  <c r="H1182" i="31" s="1"/>
  <c r="H1184" i="31" a="1"/>
  <c r="H1184" i="31" s="1"/>
  <c r="H1186" i="31" a="1"/>
  <c r="H1186" i="31" s="1"/>
  <c r="H1188" i="31" a="1"/>
  <c r="H1188" i="31" s="1"/>
  <c r="H1190" i="31" a="1"/>
  <c r="H1190" i="31" s="1"/>
  <c r="H1192" i="31" a="1"/>
  <c r="H1192" i="31" s="1"/>
  <c r="H1194" i="31" a="1"/>
  <c r="H1194" i="31" s="1"/>
  <c r="H1196" i="31" a="1"/>
  <c r="H1196" i="31" s="1"/>
  <c r="H1198" i="31" a="1"/>
  <c r="H1198" i="31" s="1"/>
  <c r="H1200" i="31" a="1"/>
  <c r="H1200" i="31" s="1"/>
  <c r="H1202" i="31" a="1"/>
  <c r="H1202" i="31" s="1"/>
  <c r="H1204" i="31" a="1"/>
  <c r="H1204" i="31" s="1"/>
  <c r="H1206" i="31" a="1"/>
  <c r="H1206" i="31" s="1"/>
  <c r="H1208" i="31" a="1"/>
  <c r="H1208" i="31" s="1"/>
  <c r="H1210" i="31" a="1"/>
  <c r="H1210" i="31" s="1"/>
  <c r="H1212" i="31" a="1"/>
  <c r="H1212" i="31" s="1"/>
  <c r="H1214" i="31" a="1"/>
  <c r="H1214" i="31" s="1"/>
  <c r="H1216" i="31" a="1"/>
  <c r="H1216" i="31" s="1"/>
  <c r="H1218" i="31" a="1"/>
  <c r="H1218" i="31" s="1"/>
  <c r="H642" i="31" a="1"/>
  <c r="H642" i="31" s="1"/>
  <c r="H680" i="31" a="1"/>
  <c r="H680" i="31" s="1"/>
  <c r="H712" i="31" a="1"/>
  <c r="H712" i="31" s="1"/>
  <c r="H744" i="31" a="1"/>
  <c r="H744" i="31" s="1"/>
  <c r="H777" i="31" a="1"/>
  <c r="H777" i="31" s="1"/>
  <c r="H809" i="31" a="1"/>
  <c r="H809" i="31" s="1"/>
  <c r="H837" i="31" a="1"/>
  <c r="H837" i="31" s="1"/>
  <c r="H853" i="31" a="1"/>
  <c r="H853" i="31" s="1"/>
  <c r="H871" i="31" a="1"/>
  <c r="H871" i="31" s="1"/>
  <c r="H887" i="31" a="1"/>
  <c r="H887" i="31" s="1"/>
  <c r="H1222" i="31" a="1"/>
  <c r="H1222" i="31" s="1"/>
  <c r="H1226" i="31" a="1"/>
  <c r="H1226" i="31" s="1"/>
  <c r="H1229" i="31" a="1"/>
  <c r="H1229" i="31" s="1"/>
  <c r="H1232" i="31" a="1"/>
  <c r="H1232" i="31" s="1"/>
  <c r="H1236" i="31" a="1"/>
  <c r="H1236" i="31" s="1"/>
  <c r="H1239" i="31" a="1"/>
  <c r="H1239" i="31" s="1"/>
  <c r="H1244" i="31" a="1"/>
  <c r="H1244" i="31" s="1"/>
  <c r="B147" i="9" s="1"/>
  <c r="H1249" i="31" a="1"/>
  <c r="H1249" i="31" s="1"/>
  <c r="H1252" i="31" a="1"/>
  <c r="H1252" i="31" s="1"/>
  <c r="H1258" i="31" a="1"/>
  <c r="H1258" i="31" s="1"/>
  <c r="H1261" i="31" a="1"/>
  <c r="H1261" i="31" s="1"/>
  <c r="H1264" i="31" a="1"/>
  <c r="H1264" i="31" s="1"/>
  <c r="H1269" i="31" a="1"/>
  <c r="H1269" i="31" s="1"/>
  <c r="H1272" i="31" a="1"/>
  <c r="H1272" i="31" s="1"/>
  <c r="H1277" i="31" a="1"/>
  <c r="H1277" i="31" s="1"/>
  <c r="H1280" i="31" a="1"/>
  <c r="H1280" i="31" s="1"/>
  <c r="H1285" i="31" a="1"/>
  <c r="H1285" i="31" s="1"/>
  <c r="H1288" i="31" a="1"/>
  <c r="H1288" i="31" s="1"/>
  <c r="H1293" i="31" a="1"/>
  <c r="H1293" i="31" s="1"/>
  <c r="H1296" i="31" a="1"/>
  <c r="H1296" i="31" s="1"/>
  <c r="H1301" i="31" a="1"/>
  <c r="H1301" i="31" s="1"/>
  <c r="H1304" i="31" a="1"/>
  <c r="H1304" i="31" s="1"/>
  <c r="H1309" i="31" a="1"/>
  <c r="H1309" i="31" s="1"/>
  <c r="H1312" i="31" a="1"/>
  <c r="H1312" i="31" s="1"/>
  <c r="H1317" i="31" a="1"/>
  <c r="H1317" i="31" s="1"/>
  <c r="H1320" i="31" a="1"/>
  <c r="H1320" i="31" s="1"/>
  <c r="H1324" i="31" a="1"/>
  <c r="H1324" i="31" s="1"/>
  <c r="H1326" i="31" a="1"/>
  <c r="H1326" i="31" s="1"/>
  <c r="H1331" i="31" a="1"/>
  <c r="H1331" i="31" s="1"/>
  <c r="H1333" i="31" a="1"/>
  <c r="H1333" i="31" s="1"/>
  <c r="H1338" i="31" a="1"/>
  <c r="H1338" i="31" s="1"/>
  <c r="B186" i="9" s="1"/>
  <c r="H1341" i="31" a="1"/>
  <c r="H1341" i="31" s="1"/>
  <c r="B189" i="9" s="1"/>
  <c r="H1346" i="31" a="1"/>
  <c r="H1346" i="31" s="1"/>
  <c r="H1351" i="31" a="1"/>
  <c r="H1351" i="31" s="1"/>
  <c r="H1356" i="31" a="1"/>
  <c r="H1356" i="31" s="1"/>
  <c r="H1358" i="31" a="1"/>
  <c r="H1358" i="31" s="1"/>
  <c r="H1363" i="31" a="1"/>
  <c r="H1363" i="31" s="1"/>
  <c r="H1366" i="31" a="1"/>
  <c r="H1366" i="31" s="1"/>
  <c r="H1371" i="31" a="1"/>
  <c r="H1371" i="31" s="1"/>
  <c r="H1374" i="31" a="1"/>
  <c r="H1374" i="31" s="1"/>
  <c r="H1379" i="31" a="1"/>
  <c r="H1379" i="31" s="1"/>
  <c r="H1382" i="31" a="1"/>
  <c r="H1382" i="31" s="1"/>
  <c r="H1387" i="31" a="1"/>
  <c r="H1387" i="31" s="1"/>
  <c r="B18" i="5" s="1"/>
  <c r="H1390" i="31" a="1"/>
  <c r="H1390" i="31" s="1"/>
  <c r="H1395" i="31" a="1"/>
  <c r="H1395" i="31" s="1"/>
  <c r="H1398" i="31" a="1"/>
  <c r="H1398" i="31" s="1"/>
  <c r="H1403" i="31" a="1"/>
  <c r="H1403" i="31" s="1"/>
  <c r="H1406" i="31" a="1"/>
  <c r="H1406" i="31" s="1"/>
  <c r="H1411" i="31" a="1"/>
  <c r="H1411" i="31" s="1"/>
  <c r="B53" i="5" s="1"/>
  <c r="H1414" i="31" a="1"/>
  <c r="H1414" i="31" s="1"/>
  <c r="H1419" i="31" a="1"/>
  <c r="H1419" i="31" s="1"/>
  <c r="H1422" i="31" a="1"/>
  <c r="H1422" i="31" s="1"/>
  <c r="H1427" i="31" a="1"/>
  <c r="H1427" i="31" s="1"/>
  <c r="H367" i="31" a="1"/>
  <c r="H367" i="31" s="1"/>
  <c r="H596" i="31" a="1"/>
  <c r="H596" i="31" s="1"/>
  <c r="H653" i="31" a="1"/>
  <c r="H653" i="31" s="1"/>
  <c r="H688" i="31" a="1"/>
  <c r="H688" i="31" s="1"/>
  <c r="H720" i="31" a="1"/>
  <c r="H720" i="31" s="1"/>
  <c r="H752" i="31" a="1"/>
  <c r="H752" i="31" s="1"/>
  <c r="H785" i="31" a="1"/>
  <c r="H785" i="31" s="1"/>
  <c r="H817" i="31" a="1"/>
  <c r="H817" i="31" s="1"/>
  <c r="H841" i="31" a="1"/>
  <c r="H841" i="31" s="1"/>
  <c r="H857" i="31" a="1"/>
  <c r="H857" i="31" s="1"/>
  <c r="C184" i="2" s="1"/>
  <c r="H875" i="31" a="1"/>
  <c r="H875" i="31" s="1"/>
  <c r="H1230" i="31" a="1"/>
  <c r="H1230" i="31" s="1"/>
  <c r="H1237" i="31" a="1"/>
  <c r="H1237" i="31" s="1"/>
  <c r="H1242" i="31" a="1"/>
  <c r="H1242" i="31" s="1"/>
  <c r="B145" i="9" s="1"/>
  <c r="H1245" i="31" a="1"/>
  <c r="H1245" i="31" s="1"/>
  <c r="B148" i="9" s="1"/>
  <c r="H1247" i="31" a="1"/>
  <c r="H1247" i="31" s="1"/>
  <c r="H1250" i="31" a="1"/>
  <c r="H1250" i="31" s="1"/>
  <c r="H1256" i="31" a="1"/>
  <c r="H1256" i="31" s="1"/>
  <c r="H1262" i="31" a="1"/>
  <c r="H1262" i="31" s="1"/>
  <c r="H1267" i="31" a="1"/>
  <c r="H1267" i="31" s="1"/>
  <c r="H1270" i="31" a="1"/>
  <c r="H1270" i="31" s="1"/>
  <c r="H1275" i="31" a="1"/>
  <c r="H1275" i="31" s="1"/>
  <c r="H1278" i="31" a="1"/>
  <c r="H1278" i="31" s="1"/>
  <c r="H1283" i="31" a="1"/>
  <c r="H1283" i="31" s="1"/>
  <c r="H1286" i="31" a="1"/>
  <c r="H1286" i="31" s="1"/>
  <c r="H1291" i="31" a="1"/>
  <c r="H1291" i="31" s="1"/>
  <c r="H1294" i="31" a="1"/>
  <c r="H1294" i="31" s="1"/>
  <c r="H1299" i="31" a="1"/>
  <c r="H1299" i="31" s="1"/>
  <c r="H1302" i="31" a="1"/>
  <c r="H1302" i="31" s="1"/>
  <c r="H1307" i="31" a="1"/>
  <c r="H1307" i="31" s="1"/>
  <c r="H1310" i="31" a="1"/>
  <c r="H1310" i="31" s="1"/>
  <c r="H1315" i="31" a="1"/>
  <c r="H1315" i="31" s="1"/>
  <c r="H1318" i="31" a="1"/>
  <c r="H1318" i="31" s="1"/>
  <c r="H1323" i="31" a="1"/>
  <c r="H1323" i="31" s="1"/>
  <c r="H1329" i="31" a="1"/>
  <c r="H1329" i="31" s="1"/>
  <c r="H1336" i="31" a="1"/>
  <c r="H1336" i="31" s="1"/>
  <c r="H1339" i="31" a="1"/>
  <c r="H1339" i="31" s="1"/>
  <c r="B187" i="9" s="1"/>
  <c r="H1344" i="31" a="1"/>
  <c r="H1344" i="31" s="1"/>
  <c r="H1349" i="31" a="1"/>
  <c r="H1349" i="31" s="1"/>
  <c r="H1355" i="31" a="1"/>
  <c r="H1355" i="31" s="1"/>
  <c r="H1361" i="31" a="1"/>
  <c r="H1361" i="31" s="1"/>
  <c r="H1364" i="31" a="1"/>
  <c r="H1364" i="31" s="1"/>
  <c r="H1369" i="31" a="1"/>
  <c r="H1369" i="31" s="1"/>
  <c r="H1372" i="31" a="1"/>
  <c r="H1372" i="31" s="1"/>
  <c r="H1377" i="31" a="1"/>
  <c r="H1377" i="31" s="1"/>
  <c r="H1380" i="31" a="1"/>
  <c r="H1380" i="31" s="1"/>
  <c r="H1385" i="31" a="1"/>
  <c r="H1385" i="31" s="1"/>
  <c r="H1388" i="31" a="1"/>
  <c r="H1388" i="31" s="1"/>
  <c r="H1393" i="31" a="1"/>
  <c r="H1393" i="31" s="1"/>
  <c r="H1396" i="31" a="1"/>
  <c r="H1396" i="31" s="1"/>
  <c r="H1401" i="31" a="1"/>
  <c r="H1401" i="31" s="1"/>
  <c r="H1404" i="31" a="1"/>
  <c r="H1404" i="31" s="1"/>
  <c r="H1409" i="31" a="1"/>
  <c r="H1409" i="31" s="1"/>
  <c r="B51" i="5" s="1"/>
  <c r="H1412" i="31" a="1"/>
  <c r="H1412" i="31" s="1"/>
  <c r="H1417" i="31" a="1"/>
  <c r="H1417" i="31" s="1"/>
  <c r="H1420" i="31" a="1"/>
  <c r="H1420" i="31" s="1"/>
  <c r="H1425" i="31" a="1"/>
  <c r="H1425" i="31" s="1"/>
  <c r="H1428" i="31" a="1"/>
  <c r="H1428" i="31" s="1"/>
  <c r="H1430" i="31" a="1"/>
  <c r="H1430" i="31" s="1"/>
  <c r="H1432" i="31" a="1"/>
  <c r="H1432" i="31" s="1"/>
  <c r="B86" i="5" s="1"/>
  <c r="H1434" i="31" a="1"/>
  <c r="H1434" i="31" s="1"/>
  <c r="H1436" i="31" a="1"/>
  <c r="H1436" i="31" s="1"/>
  <c r="H1438" i="31" a="1"/>
  <c r="H1438" i="31" s="1"/>
  <c r="H1440" i="31" a="1"/>
  <c r="H1440" i="31" s="1"/>
  <c r="H1442" i="31" a="1"/>
  <c r="H1442" i="31" s="1"/>
  <c r="H1444" i="31" a="1"/>
  <c r="H1444" i="31" s="1"/>
  <c r="H1446" i="31" a="1"/>
  <c r="H1446" i="31" s="1"/>
  <c r="H1448" i="31" a="1"/>
  <c r="H1448" i="31" s="1"/>
  <c r="H1450" i="31" a="1"/>
  <c r="H1450" i="31" s="1"/>
  <c r="H1452" i="31" a="1"/>
  <c r="H1452" i="31" s="1"/>
  <c r="H1454" i="31" a="1"/>
  <c r="H1454" i="31" s="1"/>
  <c r="H1456" i="31" a="1"/>
  <c r="H1456" i="31" s="1"/>
  <c r="H1458" i="31" a="1"/>
  <c r="H1458" i="31" s="1"/>
  <c r="H1460" i="31" a="1"/>
  <c r="H1460" i="31" s="1"/>
  <c r="H1462" i="31" a="1"/>
  <c r="H1462" i="31" s="1"/>
  <c r="H1464" i="31" a="1"/>
  <c r="H1464" i="31" s="1"/>
  <c r="H1466" i="31" a="1"/>
  <c r="H1466" i="31" s="1"/>
  <c r="H1468" i="31" a="1"/>
  <c r="H1468" i="31" s="1"/>
  <c r="H1470" i="31" a="1"/>
  <c r="H1470" i="31" s="1"/>
  <c r="H1472" i="31" a="1"/>
  <c r="H1472" i="31" s="1"/>
  <c r="H1474" i="31" a="1"/>
  <c r="H1474" i="31" s="1"/>
  <c r="H1476" i="31" a="1"/>
  <c r="H1476" i="31" s="1"/>
  <c r="H1478" i="31" a="1"/>
  <c r="H1478" i="31" s="1"/>
  <c r="H1480" i="31" a="1"/>
  <c r="H1480" i="31" s="1"/>
  <c r="H1482" i="31" a="1"/>
  <c r="H1482" i="31" s="1"/>
  <c r="H1484" i="31" a="1"/>
  <c r="H1484" i="31" s="1"/>
  <c r="H1486" i="31" a="1"/>
  <c r="H1486" i="31" s="1"/>
  <c r="H1488" i="31" a="1"/>
  <c r="H1488" i="31" s="1"/>
  <c r="H1490" i="31" a="1"/>
  <c r="H1490" i="31" s="1"/>
  <c r="H1492" i="31" a="1"/>
  <c r="H1492" i="31" s="1"/>
  <c r="H1494" i="31" a="1"/>
  <c r="H1494" i="31" s="1"/>
  <c r="H1496" i="31" a="1"/>
  <c r="H1496" i="31" s="1"/>
  <c r="H1498" i="31" a="1"/>
  <c r="H1498" i="31" s="1"/>
  <c r="H1500" i="31" a="1"/>
  <c r="H1500" i="31" s="1"/>
  <c r="B170" i="5" s="1"/>
  <c r="H1502" i="31" a="1"/>
  <c r="H1502" i="31" s="1"/>
  <c r="B172" i="5" s="1"/>
  <c r="H1504" i="31" a="1"/>
  <c r="H1504" i="31" s="1"/>
  <c r="B174" i="5" s="1"/>
  <c r="H1506" i="31" a="1"/>
  <c r="H1506" i="31" s="1"/>
  <c r="B176" i="5" s="1"/>
  <c r="H1508" i="31" a="1"/>
  <c r="H1508" i="31" s="1"/>
  <c r="B178" i="5" s="1"/>
  <c r="H1510" i="31" a="1"/>
  <c r="H1510" i="31" s="1"/>
  <c r="B180" i="5" s="1"/>
  <c r="H1512" i="31" a="1"/>
  <c r="H1512" i="31" s="1"/>
  <c r="B182" i="5" s="1"/>
  <c r="H1514" i="31" a="1"/>
  <c r="H1514" i="31" s="1"/>
  <c r="H1516" i="31" a="1"/>
  <c r="H1516" i="31" s="1"/>
  <c r="H1518" i="31" a="1"/>
  <c r="H1518" i="31" s="1"/>
  <c r="H1520" i="31" a="1"/>
  <c r="H1520" i="31" s="1"/>
  <c r="H1522" i="31" a="1"/>
  <c r="H1522" i="31" s="1"/>
  <c r="B194" i="5" s="1"/>
  <c r="H1524" i="31" a="1"/>
  <c r="H1524" i="31" s="1"/>
  <c r="D194" i="5" s="1"/>
  <c r="H1526" i="31" a="1"/>
  <c r="H1526" i="31" s="1"/>
  <c r="H1528" i="31" a="1"/>
  <c r="H1528" i="31" s="1"/>
  <c r="H1530" i="31" a="1"/>
  <c r="H1530" i="31" s="1"/>
  <c r="H1532" i="31" a="1"/>
  <c r="H1532" i="31" s="1"/>
  <c r="H1534" i="31" a="1"/>
  <c r="H1534" i="31" s="1"/>
  <c r="H1536" i="31" a="1"/>
  <c r="H1536" i="31" s="1"/>
  <c r="H1538" i="31" a="1"/>
  <c r="H1538" i="31" s="1"/>
  <c r="H1540" i="31" a="1"/>
  <c r="H1540" i="31" s="1"/>
  <c r="H1542" i="31" a="1"/>
  <c r="H1542" i="31" s="1"/>
  <c r="H1544" i="31" a="1"/>
  <c r="H1544" i="31" s="1"/>
  <c r="H1546" i="31" a="1"/>
  <c r="H1546" i="31" s="1"/>
  <c r="H1548" i="31" a="1"/>
  <c r="H1548" i="31" s="1"/>
  <c r="H1550" i="31" a="1"/>
  <c r="H1550" i="31" s="1"/>
  <c r="H1552" i="31" a="1"/>
  <c r="H1552" i="31" s="1"/>
  <c r="H1554" i="31" a="1"/>
  <c r="H1554" i="31" s="1"/>
  <c r="H1556" i="31" a="1"/>
  <c r="H1556" i="31" s="1"/>
  <c r="H1558" i="31" a="1"/>
  <c r="H1558" i="31" s="1"/>
  <c r="H1560" i="31" a="1"/>
  <c r="H1560" i="31" s="1"/>
  <c r="H1562" i="31" a="1"/>
  <c r="H1562" i="31" s="1"/>
  <c r="H1564" i="31" a="1"/>
  <c r="H1564" i="31" s="1"/>
  <c r="H1566" i="31" a="1"/>
  <c r="H1566" i="31" s="1"/>
  <c r="H1568" i="31" a="1"/>
  <c r="H1568" i="31" s="1"/>
  <c r="H1570" i="31" a="1"/>
  <c r="H1570" i="31" s="1"/>
  <c r="H1572" i="31" a="1"/>
  <c r="H1572" i="31" s="1"/>
  <c r="H1574" i="31" a="1"/>
  <c r="H1574" i="31" s="1"/>
  <c r="H1576" i="31" a="1"/>
  <c r="H1576" i="31" s="1"/>
  <c r="H1578" i="31" a="1"/>
  <c r="H1578" i="31" s="1"/>
  <c r="H1580" i="31" a="1"/>
  <c r="H1580" i="31" s="1"/>
  <c r="H1582" i="31" a="1"/>
  <c r="H1582" i="31" s="1"/>
  <c r="H1584" i="31" a="1"/>
  <c r="H1584" i="31" s="1"/>
  <c r="H1586" i="31" a="1"/>
  <c r="H1586" i="31" s="1"/>
  <c r="H1588" i="31" a="1"/>
  <c r="H1588" i="31" s="1"/>
  <c r="H1590" i="31" a="1"/>
  <c r="H1590" i="31" s="1"/>
  <c r="H1592" i="31" a="1"/>
  <c r="H1592" i="31" s="1"/>
  <c r="H1594" i="31" a="1"/>
  <c r="H1594" i="31" s="1"/>
  <c r="H1596" i="31" a="1"/>
  <c r="H1596" i="31" s="1"/>
  <c r="H1598" i="31" a="1"/>
  <c r="H1598" i="31" s="1"/>
  <c r="H1600" i="31" a="1"/>
  <c r="H1600" i="31" s="1"/>
  <c r="H1602" i="31" a="1"/>
  <c r="H1602" i="31" s="1"/>
  <c r="H1604" i="31" a="1"/>
  <c r="H1604" i="31" s="1"/>
  <c r="H1606" i="31" a="1"/>
  <c r="H1606" i="31" s="1"/>
  <c r="H1608" i="31" a="1"/>
  <c r="H1608" i="31" s="1"/>
  <c r="H1610" i="31" a="1"/>
  <c r="H1610" i="31" s="1"/>
  <c r="H1612" i="31" a="1"/>
  <c r="H1612" i="31" s="1"/>
  <c r="H1614" i="31" a="1"/>
  <c r="H1614" i="31" s="1"/>
  <c r="H1616" i="31" a="1"/>
  <c r="H1616" i="31" s="1"/>
  <c r="H1618" i="31" a="1"/>
  <c r="H1618" i="31" s="1"/>
  <c r="H1620" i="31" a="1"/>
  <c r="H1620" i="31" s="1"/>
  <c r="H1622" i="31" a="1"/>
  <c r="H1622" i="31" s="1"/>
  <c r="H1624" i="31" a="1"/>
  <c r="H1624" i="31" s="1"/>
  <c r="H1626" i="31" a="1"/>
  <c r="H1626" i="31" s="1"/>
  <c r="B293" i="5" s="1"/>
  <c r="H1628" i="31" a="1"/>
  <c r="H1628" i="31" s="1"/>
  <c r="H1630" i="31" a="1"/>
  <c r="H1630" i="31" s="1"/>
  <c r="H1633" i="31" a="1"/>
  <c r="H1633" i="31" s="1"/>
  <c r="H1635" i="31" a="1"/>
  <c r="H1635" i="31" s="1"/>
  <c r="H621" i="31" a="1"/>
  <c r="H621" i="31" s="1"/>
  <c r="H696" i="31" a="1"/>
  <c r="H696" i="31" s="1"/>
  <c r="H728" i="31" a="1"/>
  <c r="H728" i="31" s="1"/>
  <c r="H760" i="31" a="1"/>
  <c r="H760" i="31" s="1"/>
  <c r="H793" i="31" a="1"/>
  <c r="H793" i="31" s="1"/>
  <c r="H825" i="31" a="1"/>
  <c r="H825" i="31" s="1"/>
  <c r="B163" i="2" s="1"/>
  <c r="H845" i="31" a="1"/>
  <c r="H845" i="31" s="1"/>
  <c r="H861" i="31" a="1"/>
  <c r="H861" i="31" s="1"/>
  <c r="D185" i="2" s="1"/>
  <c r="H879" i="31" a="1"/>
  <c r="H879" i="31" s="1"/>
  <c r="H1220" i="31" a="1"/>
  <c r="H1220" i="31" s="1"/>
  <c r="H1224" i="31" a="1"/>
  <c r="H1224" i="31" s="1"/>
  <c r="H1228" i="31" a="1"/>
  <c r="H1228" i="31" s="1"/>
  <c r="H1233" i="31" a="1"/>
  <c r="H1233" i="31" s="1"/>
  <c r="H1235" i="31" a="1"/>
  <c r="H1235" i="31" s="1"/>
  <c r="H1240" i="31" a="1"/>
  <c r="H1240" i="31" s="1"/>
  <c r="H1243" i="31" a="1"/>
  <c r="H1243" i="31" s="1"/>
  <c r="B146" i="9" s="1"/>
  <c r="H1248" i="31" a="1"/>
  <c r="H1248" i="31" s="1"/>
  <c r="H1253" i="31" a="1"/>
  <c r="H1253" i="31" s="1"/>
  <c r="H1255" i="31" a="1"/>
  <c r="H1255" i="31" s="1"/>
  <c r="H1260" i="31" a="1"/>
  <c r="H1260" i="31" s="1"/>
  <c r="H1265" i="31" a="1"/>
  <c r="H1265" i="31" s="1"/>
  <c r="H1268" i="31" a="1"/>
  <c r="H1268" i="31" s="1"/>
  <c r="H1273" i="31" a="1"/>
  <c r="H1273" i="31" s="1"/>
  <c r="H1276" i="31" a="1"/>
  <c r="H1276" i="31" s="1"/>
  <c r="H1281" i="31" a="1"/>
  <c r="H1281" i="31" s="1"/>
  <c r="H1284" i="31" a="1"/>
  <c r="H1284" i="31" s="1"/>
  <c r="H1289" i="31" a="1"/>
  <c r="H1289" i="31" s="1"/>
  <c r="H1292" i="31" a="1"/>
  <c r="H1292" i="31" s="1"/>
  <c r="H1297" i="31" a="1"/>
  <c r="H1297" i="31" s="1"/>
  <c r="H1300" i="31" a="1"/>
  <c r="H1300" i="31" s="1"/>
  <c r="H1305" i="31" a="1"/>
  <c r="H1305" i="31" s="1"/>
  <c r="H1308" i="31" a="1"/>
  <c r="H1308" i="31" s="1"/>
  <c r="H1313" i="31" a="1"/>
  <c r="H1313" i="31" s="1"/>
  <c r="H1316" i="31" a="1"/>
  <c r="H1316" i="31" s="1"/>
  <c r="H1321" i="31" a="1"/>
  <c r="H1321" i="31" s="1"/>
  <c r="H1327" i="31" a="1"/>
  <c r="H1327" i="31" s="1"/>
  <c r="H1330" i="31" a="1"/>
  <c r="H1330" i="31" s="1"/>
  <c r="H1334" i="31" a="1"/>
  <c r="H1334" i="31" s="1"/>
  <c r="H1337" i="31" a="1"/>
  <c r="H1337" i="31" s="1"/>
  <c r="H1342" i="31" a="1"/>
  <c r="H1342" i="31" s="1"/>
  <c r="B190" i="9" s="1"/>
  <c r="H1347" i="31" a="1"/>
  <c r="H1347" i="31" s="1"/>
  <c r="H1350" i="31" a="1"/>
  <c r="H1350" i="31" s="1"/>
  <c r="H1353" i="31" a="1"/>
  <c r="H1353" i="31" s="1"/>
  <c r="H1359" i="31" a="1"/>
  <c r="H1359" i="31" s="1"/>
  <c r="H1362" i="31" a="1"/>
  <c r="H1362" i="31" s="1"/>
  <c r="H1367" i="31" a="1"/>
  <c r="H1367" i="31" s="1"/>
  <c r="H1370" i="31" a="1"/>
  <c r="H1370" i="31" s="1"/>
  <c r="H1375" i="31" a="1"/>
  <c r="H1375" i="31" s="1"/>
  <c r="H1378" i="31" a="1"/>
  <c r="H1378" i="31" s="1"/>
  <c r="H1383" i="31" a="1"/>
  <c r="H1383" i="31" s="1"/>
  <c r="H1386" i="31" a="1"/>
  <c r="H1386" i="31" s="1"/>
  <c r="H1391" i="31" a="1"/>
  <c r="H1391" i="31" s="1"/>
  <c r="H1394" i="31" a="1"/>
  <c r="H1394" i="31" s="1"/>
  <c r="H1399" i="31" a="1"/>
  <c r="H1399" i="31" s="1"/>
  <c r="H1402" i="31" a="1"/>
  <c r="H1402" i="31" s="1"/>
  <c r="H1407" i="31" a="1"/>
  <c r="H1407" i="31" s="1"/>
  <c r="H1410" i="31" a="1"/>
  <c r="H1410" i="31" s="1"/>
  <c r="B52" i="5" s="1"/>
  <c r="H1415" i="31" a="1"/>
  <c r="H1415" i="31" s="1"/>
  <c r="H1418" i="31" a="1"/>
  <c r="H1418" i="31" s="1"/>
  <c r="H1423" i="31" a="1"/>
  <c r="H1423" i="31" s="1"/>
  <c r="H1426" i="31" a="1"/>
  <c r="H1426" i="31" s="1"/>
  <c r="H704" i="31" a="1"/>
  <c r="H704" i="31" s="1"/>
  <c r="H833" i="31" a="1"/>
  <c r="H833" i="31" s="1"/>
  <c r="H1231" i="31" a="1"/>
  <c r="H1231" i="31" s="1"/>
  <c r="H1241" i="31" a="1"/>
  <c r="H1241" i="31" s="1"/>
  <c r="B144" i="9" s="1"/>
  <c r="H1257" i="31" a="1"/>
  <c r="H1257" i="31" s="1"/>
  <c r="H1266" i="31" a="1"/>
  <c r="H1266" i="31" s="1"/>
  <c r="H1287" i="31" a="1"/>
  <c r="H1287" i="31" s="1"/>
  <c r="H1298" i="31" a="1"/>
  <c r="H1298" i="31" s="1"/>
  <c r="H1319" i="31" a="1"/>
  <c r="H1319" i="31" s="1"/>
  <c r="H1328" i="31" a="1"/>
  <c r="H1328" i="31" s="1"/>
  <c r="H1345" i="31" a="1"/>
  <c r="H1345" i="31" s="1"/>
  <c r="H1354" i="31" a="1"/>
  <c r="H1354" i="31" s="1"/>
  <c r="H1373" i="31" a="1"/>
  <c r="H1373" i="31" s="1"/>
  <c r="H1384" i="31" a="1"/>
  <c r="H1384" i="31" s="1"/>
  <c r="H1405" i="31" a="1"/>
  <c r="H1405" i="31" s="1"/>
  <c r="H1416" i="31" a="1"/>
  <c r="H1416" i="31" s="1"/>
  <c r="H1435" i="31" a="1"/>
  <c r="H1435" i="31" s="1"/>
  <c r="B88" i="5" s="1"/>
  <c r="H1443" i="31" a="1"/>
  <c r="H1443" i="31" s="1"/>
  <c r="H1451" i="31" a="1"/>
  <c r="H1451" i="31" s="1"/>
  <c r="H1459" i="31" a="1"/>
  <c r="H1459" i="31" s="1"/>
  <c r="H1467" i="31" a="1"/>
  <c r="H1467" i="31" s="1"/>
  <c r="H1475" i="31" a="1"/>
  <c r="H1475" i="31" s="1"/>
  <c r="H1483" i="31" a="1"/>
  <c r="H1483" i="31" s="1"/>
  <c r="H1491" i="31" a="1"/>
  <c r="H1491" i="31" s="1"/>
  <c r="H1499" i="31" a="1"/>
  <c r="H1499" i="31" s="1"/>
  <c r="H1507" i="31" a="1"/>
  <c r="H1507" i="31" s="1"/>
  <c r="B177" i="5" s="1"/>
  <c r="H1515" i="31" a="1"/>
  <c r="H1515" i="31" s="1"/>
  <c r="H1523" i="31" a="1"/>
  <c r="H1523" i="31" s="1"/>
  <c r="H1531" i="31" a="1"/>
  <c r="H1531" i="31" s="1"/>
  <c r="H1539" i="31" a="1"/>
  <c r="H1539" i="31" s="1"/>
  <c r="H1547" i="31" a="1"/>
  <c r="H1547" i="31" s="1"/>
  <c r="H1555" i="31" a="1"/>
  <c r="H1555" i="31" s="1"/>
  <c r="H1563" i="31" a="1"/>
  <c r="H1563" i="31" s="1"/>
  <c r="H1571" i="31" a="1"/>
  <c r="H1571" i="31" s="1"/>
  <c r="H1579" i="31" a="1"/>
  <c r="H1579" i="31" s="1"/>
  <c r="H1587" i="31" a="1"/>
  <c r="H1587" i="31" s="1"/>
  <c r="H1595" i="31" a="1"/>
  <c r="H1595" i="31" s="1"/>
  <c r="H1603" i="31" a="1"/>
  <c r="H1603" i="31" s="1"/>
  <c r="H1611" i="31" a="1"/>
  <c r="H1611" i="31" s="1"/>
  <c r="H1619" i="31" a="1"/>
  <c r="H1619" i="31" s="1"/>
  <c r="H1627" i="31" a="1"/>
  <c r="H1627" i="31" s="1"/>
  <c r="B294" i="5" s="1"/>
  <c r="H1636" i="31" a="1"/>
  <c r="H1636" i="31" s="1"/>
  <c r="H1640" i="31" a="1"/>
  <c r="H1640" i="31" s="1"/>
  <c r="H1644" i="31" a="1"/>
  <c r="H1644" i="31" s="1"/>
  <c r="H1648" i="31" a="1"/>
  <c r="H1648" i="31" s="1"/>
  <c r="B283" i="5" s="1"/>
  <c r="H1652" i="31" a="1"/>
  <c r="H1652" i="31" s="1"/>
  <c r="H1656" i="31" a="1"/>
  <c r="H1656" i="31" s="1"/>
  <c r="H1660" i="31" a="1"/>
  <c r="H1660" i="31" s="1"/>
  <c r="H1664" i="31" a="1"/>
  <c r="H1664" i="31" s="1"/>
  <c r="H1668" i="31" a="1"/>
  <c r="H1668" i="31" s="1"/>
  <c r="H1672" i="31" a="1"/>
  <c r="H1672" i="31" s="1"/>
  <c r="H1676" i="31" a="1"/>
  <c r="H1676" i="31" s="1"/>
  <c r="B320" i="5" s="1"/>
  <c r="H1680" i="31" a="1"/>
  <c r="H1680" i="31" s="1"/>
  <c r="H1684" i="31" a="1"/>
  <c r="H1684" i="31" s="1"/>
  <c r="H1688" i="31" a="1"/>
  <c r="H1688" i="31" s="1"/>
  <c r="H1692" i="31" a="1"/>
  <c r="H1692" i="31" s="1"/>
  <c r="H1696" i="31" a="1"/>
  <c r="H1696" i="31" s="1"/>
  <c r="H1700" i="31" a="1"/>
  <c r="H1700" i="31" s="1"/>
  <c r="H1704" i="31" a="1"/>
  <c r="H1704" i="31" s="1"/>
  <c r="H1710" i="31" a="1"/>
  <c r="H1710" i="31" s="1"/>
  <c r="H1714" i="31" a="1"/>
  <c r="H1714" i="31" s="1"/>
  <c r="H1726" i="31" a="1"/>
  <c r="H1726" i="31" s="1"/>
  <c r="H1730" i="31" a="1"/>
  <c r="H1730" i="31" s="1"/>
  <c r="B10" i="10" s="1"/>
  <c r="H1734" i="31" a="1"/>
  <c r="H1734" i="31" s="1"/>
  <c r="B14" i="10" s="1"/>
  <c r="H1742" i="31" a="1"/>
  <c r="H1742" i="31" s="1"/>
  <c r="B22" i="10" s="1"/>
  <c r="H1748" i="31" a="1"/>
  <c r="H1748" i="31" s="1"/>
  <c r="B28" i="10" s="1"/>
  <c r="H1752" i="31" a="1"/>
  <c r="H1752" i="31" s="1"/>
  <c r="B32" i="10" s="1"/>
  <c r="H1756" i="31" a="1"/>
  <c r="H1756" i="31" s="1"/>
  <c r="B36" i="10" s="1"/>
  <c r="H1760" i="31" a="1"/>
  <c r="H1760" i="31" s="1"/>
  <c r="B40" i="10" s="1"/>
  <c r="H1764" i="31" a="1"/>
  <c r="H1764" i="31" s="1"/>
  <c r="B44" i="10" s="1"/>
  <c r="H1768" i="31" a="1"/>
  <c r="H1768" i="31" s="1"/>
  <c r="B48" i="10" s="1"/>
  <c r="H1772" i="31" a="1"/>
  <c r="H1772" i="31" s="1"/>
  <c r="B52" i="10" s="1"/>
  <c r="H1778" i="31" a="1"/>
  <c r="H1778" i="31" s="1"/>
  <c r="B58" i="10" s="1"/>
  <c r="H1782" i="31" a="1"/>
  <c r="H1782" i="31" s="1"/>
  <c r="B62" i="10" s="1"/>
  <c r="H1786" i="31" a="1"/>
  <c r="H1786" i="31" s="1"/>
  <c r="B66" i="10" s="1"/>
  <c r="H1790" i="31" a="1"/>
  <c r="H1790" i="31" s="1"/>
  <c r="B70" i="10" s="1"/>
  <c r="H1794" i="31" a="1"/>
  <c r="H1794" i="31" s="1"/>
  <c r="B74" i="10" s="1"/>
  <c r="H1798" i="31" a="1"/>
  <c r="H1798" i="31" s="1"/>
  <c r="B78" i="10" s="1"/>
  <c r="H1802" i="31" a="1"/>
  <c r="H1802" i="31" s="1"/>
  <c r="B82" i="10" s="1"/>
  <c r="H1806" i="31" a="1"/>
  <c r="H1806" i="31" s="1"/>
  <c r="B86" i="10" s="1"/>
  <c r="H1810" i="31" a="1"/>
  <c r="H1810" i="31" s="1"/>
  <c r="B90" i="10" s="1"/>
  <c r="H1814" i="31" a="1"/>
  <c r="H1814" i="31" s="1"/>
  <c r="B94" i="10" s="1"/>
  <c r="H1818" i="31" a="1"/>
  <c r="H1818" i="31" s="1"/>
  <c r="B98" i="10" s="1"/>
  <c r="H1822" i="31" a="1"/>
  <c r="H1822" i="31" s="1"/>
  <c r="B102" i="10" s="1"/>
  <c r="H1826" i="31" a="1"/>
  <c r="H1826" i="31" s="1"/>
  <c r="B106" i="10" s="1"/>
  <c r="H1834" i="31" a="1"/>
  <c r="H1834" i="31" s="1"/>
  <c r="B114" i="10" s="1"/>
  <c r="H1840" i="31" a="1"/>
  <c r="H1840" i="31" s="1"/>
  <c r="B120" i="10" s="1"/>
  <c r="H1844" i="31" a="1"/>
  <c r="H1844" i="31" s="1"/>
  <c r="B124" i="10" s="1"/>
  <c r="H1849" i="31" a="1"/>
  <c r="H1849" i="31" s="1"/>
  <c r="B129" i="10" s="1"/>
  <c r="H1853" i="31" a="1"/>
  <c r="H1853" i="31" s="1"/>
  <c r="B133" i="10" s="1"/>
  <c r="H1855" i="31" a="1"/>
  <c r="H1855" i="31" s="1"/>
  <c r="B135" i="10" s="1"/>
  <c r="H1857" i="31" a="1"/>
  <c r="H1857" i="31" s="1"/>
  <c r="B137" i="10" s="1"/>
  <c r="H1859" i="31" a="1"/>
  <c r="H1859" i="31" s="1"/>
  <c r="B139" i="10" s="1"/>
  <c r="H1861" i="31" a="1"/>
  <c r="H1861" i="31" s="1"/>
  <c r="B141" i="10" s="1"/>
  <c r="H1863" i="31" a="1"/>
  <c r="H1863" i="31" s="1"/>
  <c r="B143" i="10" s="1"/>
  <c r="H1865" i="31" a="1"/>
  <c r="H1865" i="31" s="1"/>
  <c r="B145" i="10" s="1"/>
  <c r="H1867" i="31" a="1"/>
  <c r="H1867" i="31" s="1"/>
  <c r="B147" i="10" s="1"/>
  <c r="H1869" i="31" a="1"/>
  <c r="H1869" i="31" s="1"/>
  <c r="B149" i="10" s="1"/>
  <c r="H1875" i="31" a="1"/>
  <c r="H1875" i="31" s="1"/>
  <c r="B155" i="10" s="1"/>
  <c r="H1877" i="31" a="1"/>
  <c r="H1877" i="31" s="1"/>
  <c r="B157" i="10" s="1"/>
  <c r="H1879" i="31" a="1"/>
  <c r="H1879" i="31" s="1"/>
  <c r="B159" i="10" s="1"/>
  <c r="H1883" i="31" a="1"/>
  <c r="H1883" i="31" s="1"/>
  <c r="B163" i="10" s="1"/>
  <c r="H1885" i="31" a="1"/>
  <c r="H1885" i="31" s="1"/>
  <c r="B165" i="10" s="1"/>
  <c r="H1887" i="31" a="1"/>
  <c r="H1887" i="31" s="1"/>
  <c r="B167" i="10" s="1"/>
  <c r="H1890" i="31" a="1"/>
  <c r="H1890" i="31" s="1"/>
  <c r="B170" i="10" s="1"/>
  <c r="H1892" i="31" a="1"/>
  <c r="H1892" i="31" s="1"/>
  <c r="B172" i="10" s="1"/>
  <c r="H1894" i="31" a="1"/>
  <c r="H1894" i="31" s="1"/>
  <c r="B174" i="10" s="1"/>
  <c r="H2393" i="31" a="1"/>
  <c r="H2393" i="31" s="1"/>
  <c r="H2395" i="31" a="1"/>
  <c r="H2395" i="31" s="1"/>
  <c r="H2397" i="31" a="1"/>
  <c r="H2397" i="31" s="1"/>
  <c r="H2399" i="31" a="1"/>
  <c r="H2399" i="31" s="1"/>
  <c r="H2401" i="31" a="1"/>
  <c r="H2401" i="31" s="1"/>
  <c r="H2403" i="31" a="1"/>
  <c r="H2403" i="31" s="1"/>
  <c r="H2405" i="31" a="1"/>
  <c r="H2405" i="31" s="1"/>
  <c r="H2407" i="31" a="1"/>
  <c r="H2407" i="31" s="1"/>
  <c r="H2409" i="31" a="1"/>
  <c r="H2409" i="31" s="1"/>
  <c r="H2411" i="31" a="1"/>
  <c r="H2411" i="31" s="1"/>
  <c r="H2413" i="31" a="1"/>
  <c r="H2413" i="31" s="1"/>
  <c r="H2415" i="31" a="1"/>
  <c r="H2415" i="31" s="1"/>
  <c r="H2417" i="31" a="1"/>
  <c r="H2417" i="31" s="1"/>
  <c r="H2419" i="31" a="1"/>
  <c r="H2419" i="31" s="1"/>
  <c r="H2421" i="31" a="1"/>
  <c r="H2421" i="31" s="1"/>
  <c r="H2423" i="31" a="1"/>
  <c r="H2423" i="31" s="1"/>
  <c r="H2425" i="31" a="1"/>
  <c r="H2425" i="31" s="1"/>
  <c r="H2427" i="31" a="1"/>
  <c r="H2427" i="31" s="1"/>
  <c r="H2429" i="31" a="1"/>
  <c r="H2429" i="31" s="1"/>
  <c r="H2431" i="31" a="1"/>
  <c r="H2431" i="31" s="1"/>
  <c r="H2433" i="31" a="1"/>
  <c r="H2433" i="31" s="1"/>
  <c r="H2435" i="31" a="1"/>
  <c r="H2435" i="31" s="1"/>
  <c r="H2437" i="31" a="1"/>
  <c r="H2437" i="31" s="1"/>
  <c r="H2439" i="31" a="1"/>
  <c r="H2439" i="31" s="1"/>
  <c r="H2441" i="31" a="1"/>
  <c r="H2441" i="31" s="1"/>
  <c r="H2443" i="31" a="1"/>
  <c r="H2443" i="31" s="1"/>
  <c r="H2445" i="31" a="1"/>
  <c r="H2445" i="31" s="1"/>
  <c r="H2447" i="31" a="1"/>
  <c r="H2447" i="31" s="1"/>
  <c r="H2449" i="31" a="1"/>
  <c r="H2449" i="31" s="1"/>
  <c r="H2451" i="31" a="1"/>
  <c r="H2451" i="31" s="1"/>
  <c r="H2453" i="31" a="1"/>
  <c r="H2453" i="31" s="1"/>
  <c r="H2458" i="31" a="1"/>
  <c r="H2458" i="31" s="1"/>
  <c r="H2460" i="31" a="1"/>
  <c r="H2460" i="31" s="1"/>
  <c r="H2462" i="31" a="1"/>
  <c r="H2462" i="31" s="1"/>
  <c r="B26" i="8" s="1"/>
  <c r="H2464" i="31" a="1"/>
  <c r="H2464" i="31" s="1"/>
  <c r="H2466" i="31" a="1"/>
  <c r="H2466" i="31" s="1"/>
  <c r="H2468" i="31" a="1"/>
  <c r="H2468" i="31" s="1"/>
  <c r="H2470" i="31" a="1"/>
  <c r="H2470" i="31" s="1"/>
  <c r="H2472" i="31" a="1"/>
  <c r="H2472" i="31" s="1"/>
  <c r="H2474" i="31" a="1"/>
  <c r="H2474" i="31" s="1"/>
  <c r="H2476" i="31" a="1"/>
  <c r="H2476" i="31" s="1"/>
  <c r="H2478" i="31" a="1"/>
  <c r="H2478" i="31" s="1"/>
  <c r="H2480" i="31" a="1"/>
  <c r="H2480" i="31" s="1"/>
  <c r="H2484" i="31" a="1"/>
  <c r="H2484" i="31" s="1"/>
  <c r="H2498" i="31" a="1"/>
  <c r="H2498" i="31" s="1"/>
  <c r="H2502" i="31" a="1"/>
  <c r="H2502" i="31" s="1"/>
  <c r="H2516" i="31" a="1"/>
  <c r="H2516" i="31" s="1"/>
  <c r="H2517" i="31" a="1"/>
  <c r="H2517" i="31" s="1"/>
  <c r="H2519" i="31" a="1"/>
  <c r="H2519" i="31" s="1"/>
  <c r="H2521" i="31" a="1"/>
  <c r="H2521" i="31" s="1"/>
  <c r="H2523" i="31" a="1"/>
  <c r="H2523" i="31" s="1"/>
  <c r="H2525" i="31" a="1"/>
  <c r="H2525" i="31" s="1"/>
  <c r="H2527" i="31" a="1"/>
  <c r="H2527" i="31" s="1"/>
  <c r="H2529" i="31" a="1"/>
  <c r="H2529" i="31" s="1"/>
  <c r="H2531" i="31" a="1"/>
  <c r="H2531" i="31" s="1"/>
  <c r="H2534" i="31" a="1"/>
  <c r="H2534" i="31" s="1"/>
  <c r="B18" i="6" s="1"/>
  <c r="H2536" i="31" a="1"/>
  <c r="H2536" i="31" s="1"/>
  <c r="H2540" i="31" a="1"/>
  <c r="H2540" i="31" s="1"/>
  <c r="H2542" i="31" a="1"/>
  <c r="H2542" i="31" s="1"/>
  <c r="H2544" i="31" a="1"/>
  <c r="H2544" i="31" s="1"/>
  <c r="H2546" i="31" a="1"/>
  <c r="H2546" i="31" s="1"/>
  <c r="H2548" i="31" a="1"/>
  <c r="H2548" i="31" s="1"/>
  <c r="H2550" i="31" a="1"/>
  <c r="H2550" i="31" s="1"/>
  <c r="H2552" i="31" a="1"/>
  <c r="H2552" i="31" s="1"/>
  <c r="H2554" i="31" a="1"/>
  <c r="H2554" i="31" s="1"/>
  <c r="H2556" i="31" a="1"/>
  <c r="H2556" i="31" s="1"/>
  <c r="H2558" i="31" a="1"/>
  <c r="H2558" i="31" s="1"/>
  <c r="H2560" i="31" a="1"/>
  <c r="H2560" i="31" s="1"/>
  <c r="H2562" i="31" a="1"/>
  <c r="H2562" i="31" s="1"/>
  <c r="H2564" i="31" a="1"/>
  <c r="H2564" i="31" s="1"/>
  <c r="H2566" i="31" a="1"/>
  <c r="H2566" i="31" s="1"/>
  <c r="H2568" i="31" a="1"/>
  <c r="H2568" i="31" s="1"/>
  <c r="H2570" i="31" a="1"/>
  <c r="H2570" i="31" s="1"/>
  <c r="H2572" i="31" a="1"/>
  <c r="H2572" i="31" s="1"/>
  <c r="H2574" i="31" a="1"/>
  <c r="H2574" i="31" s="1"/>
  <c r="H2576" i="31" a="1"/>
  <c r="H2576" i="31" s="1"/>
  <c r="H2578" i="31" a="1"/>
  <c r="H2578" i="31" s="1"/>
  <c r="H2580" i="31" a="1"/>
  <c r="H2580" i="31" s="1"/>
  <c r="H2582" i="31" a="1"/>
  <c r="H2582" i="31" s="1"/>
  <c r="H2584" i="31" a="1"/>
  <c r="H2584" i="31" s="1"/>
  <c r="H2586" i="31" a="1"/>
  <c r="H2586" i="31" s="1"/>
  <c r="H2588" i="31" a="1"/>
  <c r="H2588" i="31" s="1"/>
  <c r="H2590" i="31" a="1"/>
  <c r="H2590" i="31" s="1"/>
  <c r="H2592" i="31" a="1"/>
  <c r="H2592" i="31" s="1"/>
  <c r="H2594" i="31" a="1"/>
  <c r="H2594" i="31" s="1"/>
  <c r="H2596" i="31" a="1"/>
  <c r="H2596" i="31" s="1"/>
  <c r="H2598" i="31" a="1"/>
  <c r="H2598" i="31" s="1"/>
  <c r="H2600" i="31" a="1"/>
  <c r="H2600" i="31" s="1"/>
  <c r="H2603" i="31" a="1"/>
  <c r="H2603" i="31" s="1"/>
  <c r="H2605" i="31" a="1"/>
  <c r="H2605" i="31" s="1"/>
  <c r="H2607" i="31" a="1"/>
  <c r="H2607" i="31" s="1"/>
  <c r="H2609" i="31" a="1"/>
  <c r="H2609" i="31" s="1"/>
  <c r="H2611" i="31" a="1"/>
  <c r="H2611" i="31" s="1"/>
  <c r="H2613" i="31" a="1"/>
  <c r="H2613" i="31" s="1"/>
  <c r="H2615" i="31" a="1"/>
  <c r="H2615" i="31" s="1"/>
  <c r="H2617" i="31" a="1"/>
  <c r="H2617" i="31" s="1"/>
  <c r="H2619" i="31" a="1"/>
  <c r="H2619" i="31" s="1"/>
  <c r="H2621" i="31" a="1"/>
  <c r="H2621" i="31" s="1"/>
  <c r="H2623" i="31" a="1"/>
  <c r="H2623" i="31" s="1"/>
  <c r="H2625" i="31" a="1"/>
  <c r="H2625" i="31" s="1"/>
  <c r="H2627" i="31" a="1"/>
  <c r="H2627" i="31" s="1"/>
  <c r="H2629" i="31" a="1"/>
  <c r="H2629" i="31" s="1"/>
  <c r="H2631" i="31" a="1"/>
  <c r="H2631" i="31" s="1"/>
  <c r="H2633" i="31" a="1"/>
  <c r="H2633" i="31" s="1"/>
  <c r="H2635" i="31" a="1"/>
  <c r="H2635" i="31" s="1"/>
  <c r="H2637" i="31" a="1"/>
  <c r="H2637" i="31" s="1"/>
  <c r="H2639" i="31" a="1"/>
  <c r="H2639" i="31" s="1"/>
  <c r="H2641" i="31" a="1"/>
  <c r="H2641" i="31" s="1"/>
  <c r="H2643" i="31" a="1"/>
  <c r="H2643" i="31" s="1"/>
  <c r="H2645" i="31" a="1"/>
  <c r="H2645" i="31" s="1"/>
  <c r="H2647" i="31" a="1"/>
  <c r="H2647" i="31" s="1"/>
  <c r="H2649" i="31" a="1"/>
  <c r="H2649" i="31" s="1"/>
  <c r="H2651" i="31" a="1"/>
  <c r="H2651" i="31" s="1"/>
  <c r="H2653" i="31" a="1"/>
  <c r="H2653" i="31" s="1"/>
  <c r="H2655" i="31" a="1"/>
  <c r="H2655" i="31" s="1"/>
  <c r="H2657" i="31" a="1"/>
  <c r="H2657" i="31" s="1"/>
  <c r="H2659" i="31" a="1"/>
  <c r="H2659" i="31" s="1"/>
  <c r="H2661" i="31" a="1"/>
  <c r="H2661" i="31" s="1"/>
  <c r="H2663" i="31" a="1"/>
  <c r="H2663" i="31" s="1"/>
  <c r="H2665" i="31" a="1"/>
  <c r="H2665" i="31" s="1"/>
  <c r="H2667" i="31" a="1"/>
  <c r="H2667" i="31" s="1"/>
  <c r="H2669" i="31" a="1"/>
  <c r="H2669" i="31" s="1"/>
  <c r="H2671" i="31" a="1"/>
  <c r="H2671" i="31" s="1"/>
  <c r="H2673" i="31" a="1"/>
  <c r="H2673" i="31" s="1"/>
  <c r="H2675" i="31" a="1"/>
  <c r="H2675" i="31" s="1"/>
  <c r="H2677" i="31" a="1"/>
  <c r="H2677" i="31" s="1"/>
  <c r="H2679" i="31" a="1"/>
  <c r="H2679" i="31" s="1"/>
  <c r="H2681" i="31" a="1"/>
  <c r="H2681" i="31" s="1"/>
  <c r="H2683" i="31" a="1"/>
  <c r="H2683" i="31" s="1"/>
  <c r="H2685" i="31" a="1"/>
  <c r="H2685" i="31" s="1"/>
  <c r="H2687" i="31" a="1"/>
  <c r="H2687" i="31" s="1"/>
  <c r="H2689" i="31" a="1"/>
  <c r="H2689" i="31" s="1"/>
  <c r="H2691" i="31" a="1"/>
  <c r="H2691" i="31" s="1"/>
  <c r="B151" i="6" s="1"/>
  <c r="H2693" i="31" a="1"/>
  <c r="H2693" i="31" s="1"/>
  <c r="B154" i="6" s="1"/>
  <c r="H2695" i="31" a="1"/>
  <c r="H2695" i="31" s="1"/>
  <c r="B156" i="6" s="1"/>
  <c r="H2697" i="31" a="1"/>
  <c r="H2697" i="31" s="1"/>
  <c r="C155" i="6" s="1"/>
  <c r="H2699" i="31" a="1"/>
  <c r="H2699" i="31" s="1"/>
  <c r="D154" i="6" s="1"/>
  <c r="H2701" i="31" a="1"/>
  <c r="H2701" i="31" s="1"/>
  <c r="D156" i="6" s="1"/>
  <c r="H2703" i="31" a="1"/>
  <c r="H2703" i="31" s="1"/>
  <c r="D158" i="6" s="1"/>
  <c r="H2705" i="31" a="1"/>
  <c r="H2705" i="31" s="1"/>
  <c r="D160" i="6" s="1"/>
  <c r="H2707" i="31" a="1"/>
  <c r="H2707" i="31" s="1"/>
  <c r="D162" i="6" s="1"/>
  <c r="H2709" i="31" a="1"/>
  <c r="H2709" i="31" s="1"/>
  <c r="D164" i="6" s="1"/>
  <c r="K164" i="6" s="1"/>
  <c r="H2711" i="31" a="1"/>
  <c r="H2711" i="31" s="1"/>
  <c r="D166" i="6" s="1"/>
  <c r="K166" i="6" s="1"/>
  <c r="H2713" i="31" a="1"/>
  <c r="H2713" i="31" s="1"/>
  <c r="D168" i="6" s="1"/>
  <c r="K168" i="6" s="1"/>
  <c r="H2715" i="31" a="1"/>
  <c r="H2715" i="31" s="1"/>
  <c r="E155" i="6" s="1"/>
  <c r="H2717" i="31" a="1"/>
  <c r="H2717" i="31" s="1"/>
  <c r="E157" i="6" s="1"/>
  <c r="H2719" i="31" a="1"/>
  <c r="H2719" i="31" s="1"/>
  <c r="E159" i="6" s="1"/>
  <c r="H2721" i="31" a="1"/>
  <c r="H2721" i="31" s="1"/>
  <c r="E161" i="6" s="1"/>
  <c r="H2723" i="31" a="1"/>
  <c r="H2723" i="31" s="1"/>
  <c r="F155" i="6" s="1"/>
  <c r="H2815" i="31" a="1"/>
  <c r="H2815" i="31" s="1"/>
  <c r="H2817" i="31" a="1"/>
  <c r="H2817" i="31" s="1"/>
  <c r="H2819" i="31" a="1"/>
  <c r="H2819" i="31" s="1"/>
  <c r="H2821" i="31" a="1"/>
  <c r="H2821" i="31" s="1"/>
  <c r="H2823" i="31" a="1"/>
  <c r="H2823" i="31" s="1"/>
  <c r="H2833" i="31" a="1"/>
  <c r="H2833" i="31" s="1"/>
  <c r="H2835" i="31" a="1"/>
  <c r="H2835" i="31" s="1"/>
  <c r="H2839" i="31" a="1"/>
  <c r="H2839" i="31" s="1"/>
  <c r="E153" i="6" s="1"/>
  <c r="H2841" i="31" a="1"/>
  <c r="H2841" i="31" s="1"/>
  <c r="G153" i="6" s="1"/>
  <c r="H2843" i="31" a="1"/>
  <c r="H2843" i="31" s="1"/>
  <c r="I153" i="6" s="1"/>
  <c r="H2846" i="31" a="1"/>
  <c r="H2846" i="31" s="1"/>
  <c r="H2848" i="31" a="1"/>
  <c r="H2848" i="31" s="1"/>
  <c r="H2850" i="31" a="1"/>
  <c r="H2850" i="31" s="1"/>
  <c r="H2852" i="31" a="1"/>
  <c r="H2852" i="31" s="1"/>
  <c r="H2854" i="31" a="1"/>
  <c r="H2854" i="31" s="1"/>
  <c r="H2856" i="31" a="1"/>
  <c r="H2856" i="31" s="1"/>
  <c r="H2858" i="31" a="1"/>
  <c r="H2858" i="31" s="1"/>
  <c r="H2860" i="31" a="1"/>
  <c r="H2860" i="31" s="1"/>
  <c r="H2862" i="31" a="1"/>
  <c r="H2862" i="31" s="1"/>
  <c r="H2864" i="31" a="1"/>
  <c r="H2864" i="31" s="1"/>
  <c r="H2867" i="31" a="1"/>
  <c r="H2867" i="31" s="1"/>
  <c r="A35" i="7" s="1"/>
  <c r="H2869" i="31" a="1"/>
  <c r="H2869" i="31" s="1"/>
  <c r="H2877" i="31" a="1"/>
  <c r="H2877" i="31" s="1"/>
  <c r="H2879" i="31" a="1"/>
  <c r="H2879" i="31" s="1"/>
  <c r="AC7" i="36" s="1"/>
  <c r="H2881" i="31" a="1"/>
  <c r="H2881" i="31" s="1"/>
  <c r="AC9" i="36" s="1"/>
  <c r="H2883" i="31" a="1"/>
  <c r="H2883" i="31" s="1"/>
  <c r="AC11" i="36" s="1"/>
  <c r="H2885" i="31" a="1"/>
  <c r="H2885" i="31" s="1"/>
  <c r="AC13" i="36" s="1"/>
  <c r="H2887" i="31" a="1"/>
  <c r="H2887" i="31" s="1"/>
  <c r="AC14" i="36" s="1"/>
  <c r="H2889" i="31" a="1"/>
  <c r="H2889" i="31" s="1"/>
  <c r="AC16" i="36" s="1"/>
  <c r="H2891" i="31" a="1"/>
  <c r="H2891" i="31" s="1"/>
  <c r="AC18" i="36" s="1"/>
  <c r="H2893" i="31" a="1"/>
  <c r="H2893" i="31" s="1"/>
  <c r="AC20" i="36" s="1"/>
  <c r="H2895" i="31" a="1"/>
  <c r="H2895" i="31" s="1"/>
  <c r="AC22" i="36" s="1"/>
  <c r="H2897" i="31" a="1"/>
  <c r="H2897" i="31" s="1"/>
  <c r="H2899" i="31" a="1"/>
  <c r="H2899" i="31" s="1"/>
  <c r="H2901" i="31" a="1"/>
  <c r="H2901" i="31" s="1"/>
  <c r="H2903" i="31" a="1"/>
  <c r="H2903" i="31" s="1"/>
  <c r="H2905" i="31" a="1"/>
  <c r="H2905" i="31" s="1"/>
  <c r="AD25" i="36" s="1"/>
  <c r="H2907" i="31" a="1"/>
  <c r="H2907" i="31" s="1"/>
  <c r="AD27" i="36" s="1"/>
  <c r="H2909" i="31" a="1"/>
  <c r="H2909" i="31" s="1"/>
  <c r="AD29" i="36" s="1"/>
  <c r="H2938" i="31" a="1"/>
  <c r="H2938" i="31" s="1"/>
  <c r="H2940" i="31" a="1"/>
  <c r="H2940" i="31" s="1"/>
  <c r="H2942" i="31" a="1"/>
  <c r="H2942" i="31" s="1"/>
  <c r="H2944" i="31" a="1"/>
  <c r="H2944" i="31" s="1"/>
  <c r="H2946" i="31" a="1"/>
  <c r="H2946" i="31" s="1"/>
  <c r="H2948" i="31" a="1"/>
  <c r="H2948" i="31" s="1"/>
  <c r="H2950" i="31" a="1"/>
  <c r="H2950" i="31" s="1"/>
  <c r="H2952" i="31" a="1"/>
  <c r="H2952" i="31" s="1"/>
  <c r="H2954" i="31" a="1"/>
  <c r="H2954" i="31" s="1"/>
  <c r="H2956" i="31" a="1"/>
  <c r="H2956" i="31" s="1"/>
  <c r="H2958" i="31" a="1"/>
  <c r="H2958" i="31" s="1"/>
  <c r="H2960" i="31" a="1"/>
  <c r="H2960" i="31" s="1"/>
  <c r="H2962" i="31" a="1"/>
  <c r="H2962" i="31" s="1"/>
  <c r="H2964" i="31" a="1"/>
  <c r="H2964" i="31" s="1"/>
  <c r="H2966" i="31" a="1"/>
  <c r="H2966" i="31" s="1"/>
  <c r="H2968" i="31" a="1"/>
  <c r="H2968" i="31" s="1"/>
  <c r="H2970" i="31" a="1"/>
  <c r="H2970" i="31" s="1"/>
  <c r="H2972" i="31" a="1"/>
  <c r="H2972" i="31" s="1"/>
  <c r="H2974" i="31" a="1"/>
  <c r="H2974" i="31" s="1"/>
  <c r="H2976" i="31" a="1"/>
  <c r="H2976" i="31" s="1"/>
  <c r="H2978" i="31" a="1"/>
  <c r="H2978" i="31" s="1"/>
  <c r="H2980" i="31" a="1"/>
  <c r="H2980" i="31" s="1"/>
  <c r="H2982" i="31" a="1"/>
  <c r="H2982" i="31" s="1"/>
  <c r="H2984" i="31" a="1"/>
  <c r="H2984" i="31" s="1"/>
  <c r="H2986" i="31" a="1"/>
  <c r="H2986" i="31" s="1"/>
  <c r="H2988" i="31" a="1"/>
  <c r="H2988" i="31" s="1"/>
  <c r="H2990" i="31" a="1"/>
  <c r="H2990" i="31" s="1"/>
  <c r="H2992" i="31" a="1"/>
  <c r="H2992" i="31" s="1"/>
  <c r="H2994" i="31" a="1"/>
  <c r="H2994" i="31" s="1"/>
  <c r="H2996" i="31" a="1"/>
  <c r="H2996" i="31" s="1"/>
  <c r="H2998" i="31" a="1"/>
  <c r="H2998" i="31" s="1"/>
  <c r="H3000" i="31" a="1"/>
  <c r="H3000" i="31" s="1"/>
  <c r="H3002" i="31" a="1"/>
  <c r="H3002" i="31" s="1"/>
  <c r="H3004" i="31" a="1"/>
  <c r="H3004" i="31" s="1"/>
  <c r="H3006" i="31" a="1"/>
  <c r="H3006" i="31" s="1"/>
  <c r="H3008" i="31" a="1"/>
  <c r="H3008" i="31" s="1"/>
  <c r="H3010" i="31" a="1"/>
  <c r="H3010" i="31" s="1"/>
  <c r="H3012" i="31" a="1"/>
  <c r="H3012" i="31" s="1"/>
  <c r="H3014" i="31" a="1"/>
  <c r="H3014" i="31" s="1"/>
  <c r="H3016" i="31" a="1"/>
  <c r="H3016" i="31" s="1"/>
  <c r="H3018" i="31" a="1"/>
  <c r="H3018" i="31" s="1"/>
  <c r="H3020" i="31" a="1"/>
  <c r="H3020" i="31" s="1"/>
  <c r="H3022" i="31" a="1"/>
  <c r="H3022" i="31" s="1"/>
  <c r="H3024" i="31" a="1"/>
  <c r="H3024" i="31" s="1"/>
  <c r="H3026" i="31" a="1"/>
  <c r="H3026" i="31" s="1"/>
  <c r="H3028" i="31" a="1"/>
  <c r="H3028" i="31" s="1"/>
  <c r="H3030" i="31" a="1"/>
  <c r="H3030" i="31" s="1"/>
  <c r="H3032" i="31" a="1"/>
  <c r="H3032" i="31" s="1"/>
  <c r="H3034" i="31" a="1"/>
  <c r="H3034" i="31" s="1"/>
  <c r="H3036" i="31" a="1"/>
  <c r="H3036" i="31" s="1"/>
  <c r="H3038" i="31" a="1"/>
  <c r="H3038" i="31" s="1"/>
  <c r="H3040" i="31" a="1"/>
  <c r="H3040" i="31" s="1"/>
  <c r="H3042" i="31" a="1"/>
  <c r="H3042" i="31" s="1"/>
  <c r="H3044" i="31" a="1"/>
  <c r="H3044" i="31" s="1"/>
  <c r="H3046" i="31" a="1"/>
  <c r="H3046" i="31" s="1"/>
  <c r="H3048" i="31" a="1"/>
  <c r="H3048" i="31" s="1"/>
  <c r="H3050" i="31" a="1"/>
  <c r="H3050" i="31" s="1"/>
  <c r="H3052" i="31" a="1"/>
  <c r="H3052" i="31" s="1"/>
  <c r="H3054" i="31" a="1"/>
  <c r="H3054" i="31" s="1"/>
  <c r="H3056" i="31" a="1"/>
  <c r="H3056" i="31" s="1"/>
  <c r="H3058" i="31" a="1"/>
  <c r="H3058" i="31" s="1"/>
  <c r="H3060" i="31" a="1"/>
  <c r="H3060" i="31" s="1"/>
  <c r="H3183" i="31" a="1"/>
  <c r="H3183" i="31" s="1"/>
  <c r="H3185" i="31" a="1"/>
  <c r="H3185" i="31" s="1"/>
  <c r="H3187" i="31" a="1"/>
  <c r="H3187" i="31" s="1"/>
  <c r="H3189" i="31" a="1"/>
  <c r="H3189" i="31" s="1"/>
  <c r="H3191" i="31" a="1"/>
  <c r="H3191" i="31" s="1"/>
  <c r="H3193" i="31" a="1"/>
  <c r="H3193" i="31" s="1"/>
  <c r="H883" i="31" a="1"/>
  <c r="H883" i="31" s="1"/>
  <c r="H1537" i="31" a="1"/>
  <c r="H1537" i="31" s="1"/>
  <c r="H1593" i="31" a="1"/>
  <c r="H1593" i="31" s="1"/>
  <c r="H1625" i="31" a="1"/>
  <c r="H1625" i="31" s="1"/>
  <c r="B292" i="5" s="1"/>
  <c r="H1643" i="31" a="1"/>
  <c r="H1643" i="31" s="1"/>
  <c r="H1655" i="31" a="1"/>
  <c r="H1655" i="31" s="1"/>
  <c r="H1671" i="31" a="1"/>
  <c r="H1671" i="31" s="1"/>
  <c r="H1683" i="31" a="1"/>
  <c r="H1683" i="31" s="1"/>
  <c r="H1691" i="31" a="1"/>
  <c r="H1691" i="31" s="1"/>
  <c r="H1703" i="31" a="1"/>
  <c r="H1703" i="31" s="1"/>
  <c r="H1717" i="31" a="1"/>
  <c r="H1717" i="31" s="1"/>
  <c r="A6" i="10" s="1"/>
  <c r="H1733" i="31" a="1"/>
  <c r="H1733" i="31" s="1"/>
  <c r="B13" i="10" s="1"/>
  <c r="H1751" i="31" a="1"/>
  <c r="H1751" i="31" s="1"/>
  <c r="B31" i="10" s="1"/>
  <c r="H1763" i="31" a="1"/>
  <c r="H1763" i="31" s="1"/>
  <c r="B43" i="10" s="1"/>
  <c r="H1777" i="31" a="1"/>
  <c r="H1777" i="31" s="1"/>
  <c r="B57" i="10" s="1"/>
  <c r="H1789" i="31" a="1"/>
  <c r="H1789" i="31" s="1"/>
  <c r="B69" i="10" s="1"/>
  <c r="H1801" i="31" a="1"/>
  <c r="H1801" i="31" s="1"/>
  <c r="B81" i="10" s="1"/>
  <c r="H1813" i="31" a="1"/>
  <c r="H1813" i="31" s="1"/>
  <c r="B93" i="10" s="1"/>
  <c r="H1825" i="31" a="1"/>
  <c r="H1825" i="31" s="1"/>
  <c r="B105" i="10" s="1"/>
  <c r="H1843" i="31" a="1"/>
  <c r="H1843" i="31" s="1"/>
  <c r="B123" i="10" s="1"/>
  <c r="H736" i="31" a="1"/>
  <c r="H736" i="31" s="1"/>
  <c r="H849" i="31" a="1"/>
  <c r="H849" i="31" s="1"/>
  <c r="H1234" i="31" a="1"/>
  <c r="H1234" i="31" s="1"/>
  <c r="H1251" i="31" a="1"/>
  <c r="H1251" i="31" s="1"/>
  <c r="H1259" i="31" a="1"/>
  <c r="H1259" i="31" s="1"/>
  <c r="H1279" i="31" a="1"/>
  <c r="H1279" i="31" s="1"/>
  <c r="H1290" i="31" a="1"/>
  <c r="H1290" i="31" s="1"/>
  <c r="H1311" i="31" a="1"/>
  <c r="H1311" i="31" s="1"/>
  <c r="H1322" i="31" a="1"/>
  <c r="H1322" i="31" s="1"/>
  <c r="H1340" i="31" a="1"/>
  <c r="H1340" i="31" s="1"/>
  <c r="B188" i="9" s="1"/>
  <c r="H1348" i="31" a="1"/>
  <c r="H1348" i="31" s="1"/>
  <c r="H1365" i="31" a="1"/>
  <c r="H1365" i="31" s="1"/>
  <c r="H1376" i="31" a="1"/>
  <c r="H1376" i="31" s="1"/>
  <c r="H1397" i="31" a="1"/>
  <c r="H1397" i="31" s="1"/>
  <c r="H1408" i="31" a="1"/>
  <c r="H1408" i="31" s="1"/>
  <c r="B50" i="5" s="1"/>
  <c r="H1429" i="31" a="1"/>
  <c r="H1429" i="31" s="1"/>
  <c r="H1437" i="31" a="1"/>
  <c r="H1437" i="31" s="1"/>
  <c r="H1445" i="31" a="1"/>
  <c r="H1445" i="31" s="1"/>
  <c r="H1453" i="31" a="1"/>
  <c r="H1453" i="31" s="1"/>
  <c r="H1461" i="31" a="1"/>
  <c r="H1461" i="31" s="1"/>
  <c r="H1469" i="31" a="1"/>
  <c r="H1469" i="31" s="1"/>
  <c r="H1477" i="31" a="1"/>
  <c r="H1477" i="31" s="1"/>
  <c r="H1485" i="31" a="1"/>
  <c r="H1485" i="31" s="1"/>
  <c r="H1493" i="31" a="1"/>
  <c r="H1493" i="31" s="1"/>
  <c r="H1501" i="31" a="1"/>
  <c r="H1501" i="31" s="1"/>
  <c r="B171" i="5" s="1"/>
  <c r="H1509" i="31" a="1"/>
  <c r="H1509" i="31" s="1"/>
  <c r="B179" i="5" s="1"/>
  <c r="H1517" i="31" a="1"/>
  <c r="H1517" i="31" s="1"/>
  <c r="H1525" i="31" a="1"/>
  <c r="H1525" i="31" s="1"/>
  <c r="H1533" i="31" a="1"/>
  <c r="H1533" i="31" s="1"/>
  <c r="H1541" i="31" a="1"/>
  <c r="H1541" i="31" s="1"/>
  <c r="H1549" i="31" a="1"/>
  <c r="H1549" i="31" s="1"/>
  <c r="H1557" i="31" a="1"/>
  <c r="H1557" i="31" s="1"/>
  <c r="H1565" i="31" a="1"/>
  <c r="H1565" i="31" s="1"/>
  <c r="H1573" i="31" a="1"/>
  <c r="H1573" i="31" s="1"/>
  <c r="H1581" i="31" a="1"/>
  <c r="H1581" i="31" s="1"/>
  <c r="H1589" i="31" a="1"/>
  <c r="H1589" i="31" s="1"/>
  <c r="H1597" i="31" a="1"/>
  <c r="H1597" i="31" s="1"/>
  <c r="H1605" i="31" a="1"/>
  <c r="H1605" i="31" s="1"/>
  <c r="H1613" i="31" a="1"/>
  <c r="H1613" i="31" s="1"/>
  <c r="H1621" i="31" a="1"/>
  <c r="H1621" i="31" s="1"/>
  <c r="H1629" i="31" a="1"/>
  <c r="H1629" i="31" s="1"/>
  <c r="H1637" i="31" a="1"/>
  <c r="H1637" i="31" s="1"/>
  <c r="H1641" i="31" a="1"/>
  <c r="H1641" i="31" s="1"/>
  <c r="H1645" i="31" a="1"/>
  <c r="H1645" i="31" s="1"/>
  <c r="H1649" i="31" a="1"/>
  <c r="H1649" i="31" s="1"/>
  <c r="H1653" i="31" a="1"/>
  <c r="H1653" i="31" s="1"/>
  <c r="H1657" i="31" a="1"/>
  <c r="H1657" i="31" s="1"/>
  <c r="H1661" i="31" a="1"/>
  <c r="H1661" i="31" s="1"/>
  <c r="H1665" i="31" a="1"/>
  <c r="H1665" i="31" s="1"/>
  <c r="C299" i="5" s="1"/>
  <c r="H1669" i="31" a="1"/>
  <c r="H1669" i="31" s="1"/>
  <c r="H1673" i="31" a="1"/>
  <c r="H1673" i="31" s="1"/>
  <c r="B317" i="5" s="1"/>
  <c r="H1677" i="31" a="1"/>
  <c r="H1677" i="31" s="1"/>
  <c r="B321" i="5" s="1"/>
  <c r="H1681" i="31" a="1"/>
  <c r="H1681" i="31" s="1"/>
  <c r="H1685" i="31" a="1"/>
  <c r="H1685" i="31" s="1"/>
  <c r="H1689" i="31" a="1"/>
  <c r="H1689" i="31" s="1"/>
  <c r="H1693" i="31" a="1"/>
  <c r="H1693" i="31" s="1"/>
  <c r="H1697" i="31" a="1"/>
  <c r="H1697" i="31" s="1"/>
  <c r="H1701" i="31" a="1"/>
  <c r="H1701" i="31" s="1"/>
  <c r="H1705" i="31" a="1"/>
  <c r="H1705" i="31" s="1"/>
  <c r="H1711" i="31" a="1"/>
  <c r="H1711" i="31" s="1"/>
  <c r="H1715" i="31" a="1"/>
  <c r="H1715" i="31" s="1"/>
  <c r="H1727" i="31" a="1"/>
  <c r="H1727" i="31" s="1"/>
  <c r="B7" i="10" s="1"/>
  <c r="H1731" i="31" a="1"/>
  <c r="H1731" i="31" s="1"/>
  <c r="B11" i="10" s="1"/>
  <c r="H1739" i="31" a="1"/>
  <c r="H1739" i="31" s="1"/>
  <c r="B19" i="10" s="1"/>
  <c r="H1743" i="31" a="1"/>
  <c r="H1743" i="31" s="1"/>
  <c r="B23" i="10" s="1"/>
  <c r="H1749" i="31" a="1"/>
  <c r="H1749" i="31" s="1"/>
  <c r="B29" i="10" s="1"/>
  <c r="H1753" i="31" a="1"/>
  <c r="H1753" i="31" s="1"/>
  <c r="B33" i="10" s="1"/>
  <c r="H1757" i="31" a="1"/>
  <c r="H1757" i="31" s="1"/>
  <c r="B37" i="10" s="1"/>
  <c r="H1761" i="31" a="1"/>
  <c r="H1761" i="31" s="1"/>
  <c r="B41" i="10" s="1"/>
  <c r="H1765" i="31" a="1"/>
  <c r="H1765" i="31" s="1"/>
  <c r="B45" i="10" s="1"/>
  <c r="H1769" i="31" a="1"/>
  <c r="H1769" i="31" s="1"/>
  <c r="B49" i="10" s="1"/>
  <c r="H1775" i="31" a="1"/>
  <c r="H1775" i="31" s="1"/>
  <c r="B55" i="10" s="1"/>
  <c r="H1779" i="31" a="1"/>
  <c r="H1779" i="31" s="1"/>
  <c r="B59" i="10" s="1"/>
  <c r="H1783" i="31" a="1"/>
  <c r="H1783" i="31" s="1"/>
  <c r="B63" i="10" s="1"/>
  <c r="H1787" i="31" a="1"/>
  <c r="H1787" i="31" s="1"/>
  <c r="B67" i="10" s="1"/>
  <c r="H1791" i="31" a="1"/>
  <c r="H1791" i="31" s="1"/>
  <c r="B71" i="10" s="1"/>
  <c r="H1795" i="31" a="1"/>
  <c r="H1795" i="31" s="1"/>
  <c r="B75" i="10" s="1"/>
  <c r="H1799" i="31" a="1"/>
  <c r="H1799" i="31" s="1"/>
  <c r="B79" i="10" s="1"/>
  <c r="H1803" i="31" a="1"/>
  <c r="H1803" i="31" s="1"/>
  <c r="B83" i="10" s="1"/>
  <c r="H1807" i="31" a="1"/>
  <c r="H1807" i="31" s="1"/>
  <c r="B87" i="10" s="1"/>
  <c r="H1811" i="31" a="1"/>
  <c r="H1811" i="31" s="1"/>
  <c r="B91" i="10" s="1"/>
  <c r="H1815" i="31" a="1"/>
  <c r="H1815" i="31" s="1"/>
  <c r="B95" i="10" s="1"/>
  <c r="H1819" i="31" a="1"/>
  <c r="H1819" i="31" s="1"/>
  <c r="B99" i="10" s="1"/>
  <c r="H1823" i="31" a="1"/>
  <c r="H1823" i="31" s="1"/>
  <c r="B103" i="10" s="1"/>
  <c r="H1831" i="31" a="1"/>
  <c r="H1831" i="31" s="1"/>
  <c r="B111" i="10" s="1"/>
  <c r="H1835" i="31" a="1"/>
  <c r="H1835" i="31" s="1"/>
  <c r="B115" i="10" s="1"/>
  <c r="H1841" i="31" a="1"/>
  <c r="H1841" i="31" s="1"/>
  <c r="B121" i="10" s="1"/>
  <c r="H1845" i="31" a="1"/>
  <c r="H1845" i="31" s="1"/>
  <c r="B125" i="10" s="1"/>
  <c r="H1850" i="31" a="1"/>
  <c r="H1850" i="31" s="1"/>
  <c r="B130" i="10" s="1"/>
  <c r="H2993" i="31" a="1"/>
  <c r="H2993" i="31" s="1"/>
  <c r="H3037" i="31" a="1"/>
  <c r="H3037" i="31" s="1"/>
  <c r="H3045" i="31" a="1"/>
  <c r="H3045" i="31" s="1"/>
  <c r="H3051" i="31" a="1"/>
  <c r="H3051" i="31" s="1"/>
  <c r="H3055" i="31" a="1"/>
  <c r="H3055" i="31" s="1"/>
  <c r="H3059" i="31" a="1"/>
  <c r="H3059" i="31" s="1"/>
  <c r="H3184" i="31" a="1"/>
  <c r="H3184" i="31" s="1"/>
  <c r="H3188" i="31" a="1"/>
  <c r="H3188" i="31" s="1"/>
  <c r="H3192" i="31" a="1"/>
  <c r="H3192" i="31" s="1"/>
  <c r="H672" i="31" a="1"/>
  <c r="H672" i="31" s="1"/>
  <c r="H1481" i="31" a="1"/>
  <c r="H1481" i="31" s="1"/>
  <c r="H1521" i="31" a="1"/>
  <c r="H1521" i="31" s="1"/>
  <c r="H1553" i="31" a="1"/>
  <c r="H1553" i="31" s="1"/>
  <c r="H1569" i="31" a="1"/>
  <c r="H1569" i="31" s="1"/>
  <c r="H1585" i="31" a="1"/>
  <c r="H1585" i="31" s="1"/>
  <c r="H1609" i="31" a="1"/>
  <c r="H1609" i="31" s="1"/>
  <c r="H1634" i="31" a="1"/>
  <c r="H1634" i="31" s="1"/>
  <c r="H1647" i="31" a="1"/>
  <c r="H1647" i="31" s="1"/>
  <c r="H1659" i="31" a="1"/>
  <c r="H1659" i="31" s="1"/>
  <c r="H1667" i="31" a="1"/>
  <c r="H1667" i="31" s="1"/>
  <c r="H1679" i="31" a="1"/>
  <c r="H1679" i="31" s="1"/>
  <c r="H1695" i="31" a="1"/>
  <c r="H1695" i="31" s="1"/>
  <c r="H1709" i="31" a="1"/>
  <c r="H1709" i="31" s="1"/>
  <c r="H1729" i="31" a="1"/>
  <c r="H1729" i="31" s="1"/>
  <c r="B9" i="10" s="1"/>
  <c r="H1747" i="31" a="1"/>
  <c r="H1747" i="31" s="1"/>
  <c r="B27" i="10" s="1"/>
  <c r="H1755" i="31" a="1"/>
  <c r="H1755" i="31" s="1"/>
  <c r="B35" i="10" s="1"/>
  <c r="H1767" i="31" a="1"/>
  <c r="H1767" i="31" s="1"/>
  <c r="B47" i="10" s="1"/>
  <c r="H1781" i="31" a="1"/>
  <c r="H1781" i="31" s="1"/>
  <c r="B61" i="10" s="1"/>
  <c r="H1793" i="31" a="1"/>
  <c r="H1793" i="31" s="1"/>
  <c r="B73" i="10" s="1"/>
  <c r="H1805" i="31" a="1"/>
  <c r="H1805" i="31" s="1"/>
  <c r="B85" i="10" s="1"/>
  <c r="H1817" i="31" a="1"/>
  <c r="H1817" i="31" s="1"/>
  <c r="B97" i="10" s="1"/>
  <c r="H1833" i="31" a="1"/>
  <c r="H1833" i="31" s="1"/>
  <c r="B113" i="10" s="1"/>
  <c r="H1847" i="31" a="1"/>
  <c r="H1847" i="31" s="1"/>
  <c r="B127" i="10" s="1"/>
  <c r="H769" i="31" a="1"/>
  <c r="H769" i="31" s="1"/>
  <c r="H865" i="31" a="1"/>
  <c r="H865" i="31" s="1"/>
  <c r="H1227" i="31" a="1"/>
  <c r="H1227" i="31" s="1"/>
  <c r="H1246" i="31" a="1"/>
  <c r="H1246" i="31" s="1"/>
  <c r="B149" i="9" s="1"/>
  <c r="H1254" i="31" a="1"/>
  <c r="H1254" i="31" s="1"/>
  <c r="H1271" i="31" a="1"/>
  <c r="H1271" i="31" s="1"/>
  <c r="H1282" i="31" a="1"/>
  <c r="H1282" i="31" s="1"/>
  <c r="H1303" i="31" a="1"/>
  <c r="H1303" i="31" s="1"/>
  <c r="H1314" i="31" a="1"/>
  <c r="H1314" i="31" s="1"/>
  <c r="H1332" i="31" a="1"/>
  <c r="H1332" i="31" s="1"/>
  <c r="H1343" i="31" a="1"/>
  <c r="H1343" i="31" s="1"/>
  <c r="B191" i="9" s="1"/>
  <c r="H1357" i="31" a="1"/>
  <c r="H1357" i="31" s="1"/>
  <c r="H1368" i="31" a="1"/>
  <c r="H1368" i="31" s="1"/>
  <c r="H1389" i="31" a="1"/>
  <c r="H1389" i="31" s="1"/>
  <c r="B26" i="5" s="1"/>
  <c r="H1400" i="31" a="1"/>
  <c r="H1400" i="31" s="1"/>
  <c r="H1421" i="31" a="1"/>
  <c r="H1421" i="31" s="1"/>
  <c r="H1431" i="31" a="1"/>
  <c r="H1431" i="31" s="1"/>
  <c r="H1439" i="31" a="1"/>
  <c r="H1439" i="31" s="1"/>
  <c r="H1447" i="31" a="1"/>
  <c r="H1447" i="31" s="1"/>
  <c r="H1455" i="31" a="1"/>
  <c r="H1455" i="31" s="1"/>
  <c r="H1463" i="31" a="1"/>
  <c r="H1463" i="31" s="1"/>
  <c r="H1471" i="31" a="1"/>
  <c r="H1471" i="31" s="1"/>
  <c r="H1479" i="31" a="1"/>
  <c r="H1479" i="31" s="1"/>
  <c r="H1487" i="31" a="1"/>
  <c r="H1487" i="31" s="1"/>
  <c r="H1495" i="31" a="1"/>
  <c r="H1495" i="31" s="1"/>
  <c r="H1503" i="31" a="1"/>
  <c r="H1503" i="31" s="1"/>
  <c r="B173" i="5" s="1"/>
  <c r="H1511" i="31" a="1"/>
  <c r="H1511" i="31" s="1"/>
  <c r="B181" i="5" s="1"/>
  <c r="H1519" i="31" a="1"/>
  <c r="H1519" i="31" s="1"/>
  <c r="H1527" i="31" a="1"/>
  <c r="H1527" i="31" s="1"/>
  <c r="H1535" i="31" a="1"/>
  <c r="H1535" i="31" s="1"/>
  <c r="H1543" i="31" a="1"/>
  <c r="H1543" i="31" s="1"/>
  <c r="H1551" i="31" a="1"/>
  <c r="H1551" i="31" s="1"/>
  <c r="H1559" i="31" a="1"/>
  <c r="H1559" i="31" s="1"/>
  <c r="H1567" i="31" a="1"/>
  <c r="H1567" i="31" s="1"/>
  <c r="H1575" i="31" a="1"/>
  <c r="H1575" i="31" s="1"/>
  <c r="H1583" i="31" a="1"/>
  <c r="H1583" i="31" s="1"/>
  <c r="H1591" i="31" a="1"/>
  <c r="H1591" i="31" s="1"/>
  <c r="H1599" i="31" a="1"/>
  <c r="H1599" i="31" s="1"/>
  <c r="H1607" i="31" a="1"/>
  <c r="H1607" i="31" s="1"/>
  <c r="H1615" i="31" a="1"/>
  <c r="H1615" i="31" s="1"/>
  <c r="H1623" i="31" a="1"/>
  <c r="H1623" i="31" s="1"/>
  <c r="H1632" i="31" a="1"/>
  <c r="H1632" i="31" s="1"/>
  <c r="B270" i="5" s="1"/>
  <c r="H1638" i="31" a="1"/>
  <c r="H1638" i="31" s="1"/>
  <c r="B271" i="5" s="1"/>
  <c r="H1642" i="31" a="1"/>
  <c r="H1642" i="31" s="1"/>
  <c r="H1646" i="31" a="1"/>
  <c r="H1646" i="31" s="1"/>
  <c r="H1650" i="31" a="1"/>
  <c r="H1650" i="31" s="1"/>
  <c r="H1654" i="31" a="1"/>
  <c r="H1654" i="31" s="1"/>
  <c r="H1658" i="31" a="1"/>
  <c r="H1658" i="31" s="1"/>
  <c r="H1662" i="31" a="1"/>
  <c r="H1662" i="31" s="1"/>
  <c r="H1666" i="31" a="1"/>
  <c r="H1666" i="31" s="1"/>
  <c r="H1670" i="31" a="1"/>
  <c r="H1670" i="31" s="1"/>
  <c r="H1674" i="31" a="1"/>
  <c r="H1674" i="31" s="1"/>
  <c r="B318" i="5" s="1"/>
  <c r="H1678" i="31" a="1"/>
  <c r="H1678" i="31" s="1"/>
  <c r="H1682" i="31" a="1"/>
  <c r="H1682" i="31" s="1"/>
  <c r="H1686" i="31" a="1"/>
  <c r="H1686" i="31" s="1"/>
  <c r="H1690" i="31" a="1"/>
  <c r="H1690" i="31" s="1"/>
  <c r="H1694" i="31" a="1"/>
  <c r="H1694" i="31" s="1"/>
  <c r="H1698" i="31" a="1"/>
  <c r="H1698" i="31" s="1"/>
  <c r="H1702" i="31" a="1"/>
  <c r="H1702" i="31" s="1"/>
  <c r="H1706" i="31" a="1"/>
  <c r="H1706" i="31" s="1"/>
  <c r="P5" i="10" s="1"/>
  <c r="H1712" i="31" a="1"/>
  <c r="H1712" i="31" s="1"/>
  <c r="H1716" i="31" a="1"/>
  <c r="H1716" i="31" s="1"/>
  <c r="H1728" i="31" a="1"/>
  <c r="H1728" i="31" s="1"/>
  <c r="B8" i="10" s="1"/>
  <c r="H1732" i="31" a="1"/>
  <c r="H1732" i="31" s="1"/>
  <c r="B12" i="10" s="1"/>
  <c r="H1740" i="31" a="1"/>
  <c r="H1740" i="31" s="1"/>
  <c r="B20" i="10" s="1"/>
  <c r="H1744" i="31" a="1"/>
  <c r="H1744" i="31" s="1"/>
  <c r="B24" i="10" s="1"/>
  <c r="H1750" i="31" a="1"/>
  <c r="H1750" i="31" s="1"/>
  <c r="B30" i="10" s="1"/>
  <c r="H1754" i="31" a="1"/>
  <c r="H1754" i="31" s="1"/>
  <c r="B34" i="10" s="1"/>
  <c r="H1758" i="31" a="1"/>
  <c r="H1758" i="31" s="1"/>
  <c r="B38" i="10" s="1"/>
  <c r="H1762" i="31" a="1"/>
  <c r="H1762" i="31" s="1"/>
  <c r="B42" i="10" s="1"/>
  <c r="H1766" i="31" a="1"/>
  <c r="H1766" i="31" s="1"/>
  <c r="B46" i="10" s="1"/>
  <c r="H1770" i="31" a="1"/>
  <c r="H1770" i="31" s="1"/>
  <c r="B50" i="10" s="1"/>
  <c r="H1776" i="31" a="1"/>
  <c r="H1776" i="31" s="1"/>
  <c r="B56" i="10" s="1"/>
  <c r="H1780" i="31" a="1"/>
  <c r="H1780" i="31" s="1"/>
  <c r="B60" i="10" s="1"/>
  <c r="H1784" i="31" a="1"/>
  <c r="H1784" i="31" s="1"/>
  <c r="B64" i="10" s="1"/>
  <c r="H1788" i="31" a="1"/>
  <c r="H1788" i="31" s="1"/>
  <c r="B68" i="10" s="1"/>
  <c r="H1792" i="31" a="1"/>
  <c r="H1792" i="31" s="1"/>
  <c r="B72" i="10" s="1"/>
  <c r="H1796" i="31" a="1"/>
  <c r="H1796" i="31" s="1"/>
  <c r="B76" i="10" s="1"/>
  <c r="H1800" i="31" a="1"/>
  <c r="H1800" i="31" s="1"/>
  <c r="B80" i="10" s="1"/>
  <c r="H1804" i="31" a="1"/>
  <c r="H1804" i="31" s="1"/>
  <c r="B84" i="10" s="1"/>
  <c r="H1808" i="31" a="1"/>
  <c r="H1808" i="31" s="1"/>
  <c r="B88" i="10" s="1"/>
  <c r="H1812" i="31" a="1"/>
  <c r="H1812" i="31" s="1"/>
  <c r="B92" i="10" s="1"/>
  <c r="H1816" i="31" a="1"/>
  <c r="H1816" i="31" s="1"/>
  <c r="B96" i="10" s="1"/>
  <c r="H1820" i="31" a="1"/>
  <c r="H1820" i="31" s="1"/>
  <c r="B100" i="10" s="1"/>
  <c r="H1824" i="31" a="1"/>
  <c r="H1824" i="31" s="1"/>
  <c r="B104" i="10" s="1"/>
  <c r="H1832" i="31" a="1"/>
  <c r="H1832" i="31" s="1"/>
  <c r="B112" i="10" s="1"/>
  <c r="H1836" i="31" a="1"/>
  <c r="H1836" i="31" s="1"/>
  <c r="B116" i="10" s="1"/>
  <c r="H1842" i="31" a="1"/>
  <c r="H1842" i="31" s="1"/>
  <c r="B122" i="10" s="1"/>
  <c r="H1846" i="31" a="1"/>
  <c r="H1846" i="31" s="1"/>
  <c r="B126" i="10" s="1"/>
  <c r="H1851" i="31" a="1"/>
  <c r="H1851" i="31" s="1"/>
  <c r="B131" i="10" s="1"/>
  <c r="H1854" i="31" a="1"/>
  <c r="H1854" i="31" s="1"/>
  <c r="B134" i="10" s="1"/>
  <c r="H1856" i="31" a="1"/>
  <c r="H1856" i="31" s="1"/>
  <c r="B136" i="10" s="1"/>
  <c r="H1858" i="31" a="1"/>
  <c r="H1858" i="31" s="1"/>
  <c r="B138" i="10" s="1"/>
  <c r="H1860" i="31" a="1"/>
  <c r="H1860" i="31" s="1"/>
  <c r="B140" i="10" s="1"/>
  <c r="H1862" i="31" a="1"/>
  <c r="H1862" i="31" s="1"/>
  <c r="B142" i="10" s="1"/>
  <c r="H1864" i="31" a="1"/>
  <c r="H1864" i="31" s="1"/>
  <c r="B144" i="10" s="1"/>
  <c r="H1866" i="31" a="1"/>
  <c r="H1866" i="31" s="1"/>
  <c r="B146" i="10" s="1"/>
  <c r="H1868" i="31" a="1"/>
  <c r="H1868" i="31" s="1"/>
  <c r="B148" i="10" s="1"/>
  <c r="H1874" i="31" a="1"/>
  <c r="H1874" i="31" s="1"/>
  <c r="B154" i="10" s="1"/>
  <c r="H1876" i="31" a="1"/>
  <c r="H1876" i="31" s="1"/>
  <c r="B156" i="10" s="1"/>
  <c r="H1878" i="31" a="1"/>
  <c r="H1878" i="31" s="1"/>
  <c r="B158" i="10" s="1"/>
  <c r="H1882" i="31" a="1"/>
  <c r="H1882" i="31" s="1"/>
  <c r="B162" i="10" s="1"/>
  <c r="H1884" i="31" a="1"/>
  <c r="H1884" i="31" s="1"/>
  <c r="B164" i="10" s="1"/>
  <c r="H1886" i="31" a="1"/>
  <c r="H1886" i="31" s="1"/>
  <c r="B166" i="10" s="1"/>
  <c r="H1888" i="31" a="1"/>
  <c r="H1888" i="31" s="1"/>
  <c r="B168" i="10" s="1"/>
  <c r="H1891" i="31" a="1"/>
  <c r="H1891" i="31" s="1"/>
  <c r="B171" i="10" s="1"/>
  <c r="H1893" i="31" a="1"/>
  <c r="H1893" i="31" s="1"/>
  <c r="B173" i="10" s="1"/>
  <c r="H2394" i="31" a="1"/>
  <c r="H2394" i="31" s="1"/>
  <c r="H2396" i="31" a="1"/>
  <c r="H2396" i="31" s="1"/>
  <c r="H2398" i="31" a="1"/>
  <c r="H2398" i="31" s="1"/>
  <c r="H2400" i="31" a="1"/>
  <c r="H2400" i="31" s="1"/>
  <c r="H2402" i="31" a="1"/>
  <c r="H2402" i="31" s="1"/>
  <c r="H2404" i="31" a="1"/>
  <c r="H2404" i="31" s="1"/>
  <c r="H2406" i="31" a="1"/>
  <c r="H2406" i="31" s="1"/>
  <c r="H2408" i="31" a="1"/>
  <c r="H2408" i="31" s="1"/>
  <c r="H2410" i="31" a="1"/>
  <c r="H2410" i="31" s="1"/>
  <c r="H2412" i="31" a="1"/>
  <c r="H2412" i="31" s="1"/>
  <c r="H2414" i="31" a="1"/>
  <c r="H2414" i="31" s="1"/>
  <c r="H2416" i="31" a="1"/>
  <c r="H2416" i="31" s="1"/>
  <c r="H2418" i="31" a="1"/>
  <c r="H2418" i="31" s="1"/>
  <c r="H2420" i="31" a="1"/>
  <c r="H2420" i="31" s="1"/>
  <c r="H2422" i="31" a="1"/>
  <c r="H2422" i="31" s="1"/>
  <c r="H2424" i="31" a="1"/>
  <c r="H2424" i="31" s="1"/>
  <c r="H2426" i="31" a="1"/>
  <c r="H2426" i="31" s="1"/>
  <c r="H2428" i="31" a="1"/>
  <c r="H2428" i="31" s="1"/>
  <c r="H2430" i="31" a="1"/>
  <c r="H2430" i="31" s="1"/>
  <c r="H2432" i="31" a="1"/>
  <c r="H2432" i="31" s="1"/>
  <c r="H2434" i="31" a="1"/>
  <c r="H2434" i="31" s="1"/>
  <c r="H2436" i="31" a="1"/>
  <c r="H2436" i="31" s="1"/>
  <c r="H2438" i="31" a="1"/>
  <c r="H2438" i="31" s="1"/>
  <c r="H2440" i="31" a="1"/>
  <c r="H2440" i="31" s="1"/>
  <c r="H2442" i="31" a="1"/>
  <c r="H2442" i="31" s="1"/>
  <c r="H2444" i="31" a="1"/>
  <c r="H2444" i="31" s="1"/>
  <c r="H2446" i="31" a="1"/>
  <c r="H2446" i="31" s="1"/>
  <c r="H2448" i="31" a="1"/>
  <c r="H2448" i="31" s="1"/>
  <c r="H2450" i="31" a="1"/>
  <c r="H2450" i="31" s="1"/>
  <c r="H2452" i="31" a="1"/>
  <c r="H2452" i="31" s="1"/>
  <c r="H2454" i="31" a="1"/>
  <c r="H2454" i="31" s="1"/>
  <c r="A22" i="8" s="1"/>
  <c r="H2459" i="31" a="1"/>
  <c r="H2459" i="31" s="1"/>
  <c r="H2461" i="31" a="1"/>
  <c r="H2461" i="31" s="1"/>
  <c r="H2463" i="31" a="1"/>
  <c r="H2463" i="31" s="1"/>
  <c r="B27" i="8" s="1"/>
  <c r="H2465" i="31" a="1"/>
  <c r="H2465" i="31" s="1"/>
  <c r="H2467" i="31" a="1"/>
  <c r="H2467" i="31" s="1"/>
  <c r="H2469" i="31" a="1"/>
  <c r="H2469" i="31" s="1"/>
  <c r="H2471" i="31" a="1"/>
  <c r="H2471" i="31" s="1"/>
  <c r="H2473" i="31" a="1"/>
  <c r="H2473" i="31" s="1"/>
  <c r="H2475" i="31" a="1"/>
  <c r="H2475" i="31" s="1"/>
  <c r="H2477" i="31" a="1"/>
  <c r="H2477" i="31" s="1"/>
  <c r="H2479" i="31" a="1"/>
  <c r="H2479" i="31" s="1"/>
  <c r="H2481" i="31" a="1"/>
  <c r="H2481" i="31" s="1"/>
  <c r="H2497" i="31" a="1"/>
  <c r="H2497" i="31" s="1"/>
  <c r="H2503" i="31" a="1"/>
  <c r="H2503" i="31" s="1"/>
  <c r="H2518" i="31" a="1"/>
  <c r="H2518" i="31" s="1"/>
  <c r="H2520" i="31" a="1"/>
  <c r="H2520" i="31" s="1"/>
  <c r="H2522" i="31" a="1"/>
  <c r="H2522" i="31" s="1"/>
  <c r="H2524" i="31" a="1"/>
  <c r="H2524" i="31" s="1"/>
  <c r="H2526" i="31" a="1"/>
  <c r="H2526" i="31" s="1"/>
  <c r="H2528" i="31" a="1"/>
  <c r="H2528" i="31" s="1"/>
  <c r="H2530" i="31" a="1"/>
  <c r="H2530" i="31" s="1"/>
  <c r="H2532" i="31" a="1"/>
  <c r="H2532" i="31" s="1"/>
  <c r="H2535" i="31" a="1"/>
  <c r="H2535" i="31" s="1"/>
  <c r="B19" i="6" s="1"/>
  <c r="H2537" i="31" a="1"/>
  <c r="H2537" i="31" s="1"/>
  <c r="H2541" i="31" a="1"/>
  <c r="H2541" i="31" s="1"/>
  <c r="H2543" i="31" a="1"/>
  <c r="H2543" i="31" s="1"/>
  <c r="H2545" i="31" a="1"/>
  <c r="H2545" i="31" s="1"/>
  <c r="H2547" i="31" a="1"/>
  <c r="H2547" i="31" s="1"/>
  <c r="H2549" i="31" a="1"/>
  <c r="H2549" i="31" s="1"/>
  <c r="H2551" i="31" a="1"/>
  <c r="H2551" i="31" s="1"/>
  <c r="H2553" i="31" a="1"/>
  <c r="H2553" i="31" s="1"/>
  <c r="H2555" i="31" a="1"/>
  <c r="H2555" i="31" s="1"/>
  <c r="H2557" i="31" a="1"/>
  <c r="H2557" i="31" s="1"/>
  <c r="H2559" i="31" a="1"/>
  <c r="H2559" i="31" s="1"/>
  <c r="H2561" i="31" a="1"/>
  <c r="H2561" i="31" s="1"/>
  <c r="H2563" i="31" a="1"/>
  <c r="H2563" i="31" s="1"/>
  <c r="H2565" i="31" a="1"/>
  <c r="H2565" i="31" s="1"/>
  <c r="H2567" i="31" a="1"/>
  <c r="H2567" i="31" s="1"/>
  <c r="H2569" i="31" a="1"/>
  <c r="H2569" i="31" s="1"/>
  <c r="H2571" i="31" a="1"/>
  <c r="H2571" i="31" s="1"/>
  <c r="H2573" i="31" a="1"/>
  <c r="H2573" i="31" s="1"/>
  <c r="H2575" i="31" a="1"/>
  <c r="H2575" i="31" s="1"/>
  <c r="H2577" i="31" a="1"/>
  <c r="H2577" i="31" s="1"/>
  <c r="H2579" i="31" a="1"/>
  <c r="H2579" i="31" s="1"/>
  <c r="H2581" i="31" a="1"/>
  <c r="H2581" i="31" s="1"/>
  <c r="H2583" i="31" a="1"/>
  <c r="H2583" i="31" s="1"/>
  <c r="H2585" i="31" a="1"/>
  <c r="H2585" i="31" s="1"/>
  <c r="H2587" i="31" a="1"/>
  <c r="H2587" i="31" s="1"/>
  <c r="H2589" i="31" a="1"/>
  <c r="H2589" i="31" s="1"/>
  <c r="H2591" i="31" a="1"/>
  <c r="H2591" i="31" s="1"/>
  <c r="H2593" i="31" a="1"/>
  <c r="H2593" i="31" s="1"/>
  <c r="H2595" i="31" a="1"/>
  <c r="H2595" i="31" s="1"/>
  <c r="H2597" i="31" a="1"/>
  <c r="H2597" i="31" s="1"/>
  <c r="H2599" i="31" a="1"/>
  <c r="H2599" i="31" s="1"/>
  <c r="H2602" i="31" a="1"/>
  <c r="H2602" i="31" s="1"/>
  <c r="H2604" i="31" a="1"/>
  <c r="H2604" i="31" s="1"/>
  <c r="H2606" i="31" a="1"/>
  <c r="H2606" i="31" s="1"/>
  <c r="H2608" i="31" a="1"/>
  <c r="H2608" i="31" s="1"/>
  <c r="H2610" i="31" a="1"/>
  <c r="H2610" i="31" s="1"/>
  <c r="H2612" i="31" a="1"/>
  <c r="H2612" i="31" s="1"/>
  <c r="H2614" i="31" a="1"/>
  <c r="H2614" i="31" s="1"/>
  <c r="H2616" i="31" a="1"/>
  <c r="H2616" i="31" s="1"/>
  <c r="H2618" i="31" a="1"/>
  <c r="H2618" i="31" s="1"/>
  <c r="H2620" i="31" a="1"/>
  <c r="H2620" i="31" s="1"/>
  <c r="H2622" i="31" a="1"/>
  <c r="H2622" i="31" s="1"/>
  <c r="H2624" i="31" a="1"/>
  <c r="H2624" i="31" s="1"/>
  <c r="H2626" i="31" a="1"/>
  <c r="H2626" i="31" s="1"/>
  <c r="H2628" i="31" a="1"/>
  <c r="H2628" i="31" s="1"/>
  <c r="H2630" i="31" a="1"/>
  <c r="H2630" i="31" s="1"/>
  <c r="H2632" i="31" a="1"/>
  <c r="H2632" i="31" s="1"/>
  <c r="H2634" i="31" a="1"/>
  <c r="H2634" i="31" s="1"/>
  <c r="H2636" i="31" a="1"/>
  <c r="H2636" i="31" s="1"/>
  <c r="H2638" i="31" a="1"/>
  <c r="H2638" i="31" s="1"/>
  <c r="H2640" i="31" a="1"/>
  <c r="H2640" i="31" s="1"/>
  <c r="H2642" i="31" a="1"/>
  <c r="H2642" i="31" s="1"/>
  <c r="H2644" i="31" a="1"/>
  <c r="H2644" i="31" s="1"/>
  <c r="H2646" i="31" a="1"/>
  <c r="H2646" i="31" s="1"/>
  <c r="H2648" i="31" a="1"/>
  <c r="H2648" i="31" s="1"/>
  <c r="H2650" i="31" a="1"/>
  <c r="H2650" i="31" s="1"/>
  <c r="H2652" i="31" a="1"/>
  <c r="H2652" i="31" s="1"/>
  <c r="H2654" i="31" a="1"/>
  <c r="H2654" i="31" s="1"/>
  <c r="H2656" i="31" a="1"/>
  <c r="H2656" i="31" s="1"/>
  <c r="H2658" i="31" a="1"/>
  <c r="H2658" i="31" s="1"/>
  <c r="H2660" i="31" a="1"/>
  <c r="H2660" i="31" s="1"/>
  <c r="H2662" i="31" a="1"/>
  <c r="H2662" i="31" s="1"/>
  <c r="H2664" i="31" a="1"/>
  <c r="H2664" i="31" s="1"/>
  <c r="H2666" i="31" a="1"/>
  <c r="H2666" i="31" s="1"/>
  <c r="H2668" i="31" a="1"/>
  <c r="H2668" i="31" s="1"/>
  <c r="H2670" i="31" a="1"/>
  <c r="H2670" i="31" s="1"/>
  <c r="H2672" i="31" a="1"/>
  <c r="H2672" i="31" s="1"/>
  <c r="H2674" i="31" a="1"/>
  <c r="H2674" i="31" s="1"/>
  <c r="H2676" i="31" a="1"/>
  <c r="H2676" i="31" s="1"/>
  <c r="H2678" i="31" a="1"/>
  <c r="H2678" i="31" s="1"/>
  <c r="H2680" i="31" a="1"/>
  <c r="H2680" i="31" s="1"/>
  <c r="H2682" i="31" a="1"/>
  <c r="H2682" i="31" s="1"/>
  <c r="H2684" i="31" a="1"/>
  <c r="H2684" i="31" s="1"/>
  <c r="H2686" i="31" a="1"/>
  <c r="H2686" i="31" s="1"/>
  <c r="H2688" i="31" a="1"/>
  <c r="H2688" i="31" s="1"/>
  <c r="H2690" i="31" a="1"/>
  <c r="H2690" i="31" s="1"/>
  <c r="H2692" i="31" a="1"/>
  <c r="H2692" i="31" s="1"/>
  <c r="H2694" i="31" a="1"/>
  <c r="H2694" i="31" s="1"/>
  <c r="B155" i="6" s="1"/>
  <c r="H2696" i="31" a="1"/>
  <c r="H2696" i="31" s="1"/>
  <c r="C154" i="6" s="1"/>
  <c r="H2698" i="31" a="1"/>
  <c r="H2698" i="31" s="1"/>
  <c r="C156" i="6" s="1"/>
  <c r="H2700" i="31" a="1"/>
  <c r="H2700" i="31" s="1"/>
  <c r="D155" i="6" s="1"/>
  <c r="H2702" i="31" a="1"/>
  <c r="H2702" i="31" s="1"/>
  <c r="D157" i="6" s="1"/>
  <c r="H2704" i="31" a="1"/>
  <c r="H2704" i="31" s="1"/>
  <c r="D159" i="6" s="1"/>
  <c r="H2706" i="31" a="1"/>
  <c r="H2706" i="31" s="1"/>
  <c r="D161" i="6" s="1"/>
  <c r="H2708" i="31" a="1"/>
  <c r="H2708" i="31" s="1"/>
  <c r="D163" i="6" s="1"/>
  <c r="H2710" i="31" a="1"/>
  <c r="H2710" i="31" s="1"/>
  <c r="D165" i="6" s="1"/>
  <c r="K165" i="6" s="1"/>
  <c r="H2712" i="31" a="1"/>
  <c r="H2712" i="31" s="1"/>
  <c r="D167" i="6" s="1"/>
  <c r="K167" i="6" s="1"/>
  <c r="H2714" i="31" a="1"/>
  <c r="H2714" i="31" s="1"/>
  <c r="E154" i="6" s="1"/>
  <c r="H2716" i="31" a="1"/>
  <c r="H2716" i="31" s="1"/>
  <c r="E156" i="6" s="1"/>
  <c r="H2718" i="31" a="1"/>
  <c r="H2718" i="31" s="1"/>
  <c r="E158" i="6" s="1"/>
  <c r="H2720" i="31" a="1"/>
  <c r="H2720" i="31" s="1"/>
  <c r="E160" i="6" s="1"/>
  <c r="H2722" i="31" a="1"/>
  <c r="H2722" i="31" s="1"/>
  <c r="F154" i="6" s="1"/>
  <c r="H2814" i="31" a="1"/>
  <c r="H2814" i="31" s="1"/>
  <c r="H2816" i="31" a="1"/>
  <c r="H2816" i="31" s="1"/>
  <c r="H2818" i="31" a="1"/>
  <c r="H2818" i="31" s="1"/>
  <c r="H2820" i="31" a="1"/>
  <c r="H2820" i="31" s="1"/>
  <c r="H2822" i="31" a="1"/>
  <c r="H2822" i="31" s="1"/>
  <c r="H2832" i="31" a="1"/>
  <c r="H2832" i="31" s="1"/>
  <c r="H2834" i="31" a="1"/>
  <c r="H2834" i="31" s="1"/>
  <c r="H2836" i="31" a="1"/>
  <c r="H2836" i="31" s="1"/>
  <c r="B153" i="6" s="1"/>
  <c r="H2840" i="31" a="1"/>
  <c r="H2840" i="31" s="1"/>
  <c r="F153" i="6" s="1"/>
  <c r="H2842" i="31" a="1"/>
  <c r="H2842" i="31" s="1"/>
  <c r="H153" i="6" s="1"/>
  <c r="H2845" i="31" a="1"/>
  <c r="H2845" i="31" s="1"/>
  <c r="H2847" i="31" a="1"/>
  <c r="H2847" i="31" s="1"/>
  <c r="H2849" i="31" a="1"/>
  <c r="H2849" i="31" s="1"/>
  <c r="H2851" i="31" a="1"/>
  <c r="H2851" i="31" s="1"/>
  <c r="H2853" i="31" a="1"/>
  <c r="H2853" i="31" s="1"/>
  <c r="H2855" i="31" a="1"/>
  <c r="H2855" i="31" s="1"/>
  <c r="H2857" i="31" a="1"/>
  <c r="H2857" i="31" s="1"/>
  <c r="H2859" i="31" a="1"/>
  <c r="H2859" i="31" s="1"/>
  <c r="H2861" i="31" a="1"/>
  <c r="H2861" i="31" s="1"/>
  <c r="H2863" i="31" a="1"/>
  <c r="H2863" i="31" s="1"/>
  <c r="H2865" i="31" a="1"/>
  <c r="H2865" i="31" s="1"/>
  <c r="H2868" i="31" a="1"/>
  <c r="H2868" i="31" s="1"/>
  <c r="H2870" i="31" a="1"/>
  <c r="H2870" i="31" s="1"/>
  <c r="A25" i="28" s="1"/>
  <c r="H2878" i="31" a="1"/>
  <c r="H2878" i="31" s="1"/>
  <c r="AC6" i="36" s="1"/>
  <c r="H2880" i="31" a="1"/>
  <c r="H2880" i="31" s="1"/>
  <c r="AC8" i="36" s="1"/>
  <c r="H2882" i="31" a="1"/>
  <c r="H2882" i="31" s="1"/>
  <c r="AC10" i="36" s="1"/>
  <c r="H2884" i="31" a="1"/>
  <c r="H2884" i="31" s="1"/>
  <c r="AC12" i="36" s="1"/>
  <c r="H2886" i="31" a="1"/>
  <c r="H2886" i="31" s="1"/>
  <c r="H2888" i="31" a="1"/>
  <c r="H2888" i="31" s="1"/>
  <c r="AC15" i="36" s="1"/>
  <c r="H2890" i="31" a="1"/>
  <c r="H2890" i="31" s="1"/>
  <c r="AC17" i="36" s="1"/>
  <c r="H2892" i="31" a="1"/>
  <c r="H2892" i="31" s="1"/>
  <c r="AC19" i="36" s="1"/>
  <c r="H2894" i="31" a="1"/>
  <c r="H2894" i="31" s="1"/>
  <c r="AC21" i="36" s="1"/>
  <c r="H2896" i="31" a="1"/>
  <c r="H2896" i="31" s="1"/>
  <c r="AC23" i="36" s="1"/>
  <c r="H2898" i="31" a="1"/>
  <c r="H2898" i="31" s="1"/>
  <c r="H2900" i="31" a="1"/>
  <c r="H2900" i="31" s="1"/>
  <c r="H2902" i="31" a="1"/>
  <c r="H2902" i="31" s="1"/>
  <c r="H2904" i="31" a="1"/>
  <c r="H2904" i="31" s="1"/>
  <c r="A69" i="7" s="1"/>
  <c r="H2906" i="31" a="1"/>
  <c r="H2906" i="31" s="1"/>
  <c r="AD26" i="36" s="1"/>
  <c r="H2908" i="31" a="1"/>
  <c r="H2908" i="31" s="1"/>
  <c r="AD28" i="36" s="1"/>
  <c r="H2910" i="31" a="1"/>
  <c r="H2910" i="31" s="1"/>
  <c r="AD30" i="36" s="1"/>
  <c r="H2939" i="31" a="1"/>
  <c r="H2939" i="31" s="1"/>
  <c r="H2941" i="31" a="1"/>
  <c r="H2941" i="31" s="1"/>
  <c r="H2943" i="31" a="1"/>
  <c r="H2943" i="31" s="1"/>
  <c r="H2945" i="31" a="1"/>
  <c r="H2945" i="31" s="1"/>
  <c r="H2947" i="31" a="1"/>
  <c r="H2947" i="31" s="1"/>
  <c r="H2949" i="31" a="1"/>
  <c r="H2949" i="31" s="1"/>
  <c r="H2951" i="31" a="1"/>
  <c r="H2951" i="31" s="1"/>
  <c r="H2953" i="31" a="1"/>
  <c r="H2953" i="31" s="1"/>
  <c r="H2955" i="31" a="1"/>
  <c r="H2955" i="31" s="1"/>
  <c r="H2957" i="31" a="1"/>
  <c r="H2957" i="31" s="1"/>
  <c r="H2959" i="31" a="1"/>
  <c r="H2959" i="31" s="1"/>
  <c r="H2961" i="31" a="1"/>
  <c r="H2961" i="31" s="1"/>
  <c r="H2963" i="31" a="1"/>
  <c r="H2963" i="31" s="1"/>
  <c r="H2965" i="31" a="1"/>
  <c r="H2965" i="31" s="1"/>
  <c r="H2967" i="31" a="1"/>
  <c r="H2967" i="31" s="1"/>
  <c r="H2969" i="31" a="1"/>
  <c r="H2969" i="31" s="1"/>
  <c r="H2971" i="31" a="1"/>
  <c r="H2971" i="31" s="1"/>
  <c r="H2973" i="31" a="1"/>
  <c r="H2973" i="31" s="1"/>
  <c r="H2975" i="31" a="1"/>
  <c r="H2975" i="31" s="1"/>
  <c r="H2977" i="31" a="1"/>
  <c r="H2977" i="31" s="1"/>
  <c r="H2979" i="31" a="1"/>
  <c r="H2979" i="31" s="1"/>
  <c r="H2981" i="31" a="1"/>
  <c r="H2981" i="31" s="1"/>
  <c r="H2983" i="31" a="1"/>
  <c r="H2983" i="31" s="1"/>
  <c r="H2985" i="31" a="1"/>
  <c r="H2985" i="31" s="1"/>
  <c r="H2987" i="31" a="1"/>
  <c r="H2987" i="31" s="1"/>
  <c r="H2989" i="31" a="1"/>
  <c r="H2989" i="31" s="1"/>
  <c r="H2991" i="31" a="1"/>
  <c r="H2991" i="31" s="1"/>
  <c r="H2995" i="31" a="1"/>
  <c r="H2995" i="31" s="1"/>
  <c r="H2997" i="31" a="1"/>
  <c r="H2997" i="31" s="1"/>
  <c r="H2999" i="31" a="1"/>
  <c r="H2999" i="31" s="1"/>
  <c r="H3001" i="31" a="1"/>
  <c r="H3001" i="31" s="1"/>
  <c r="H3003" i="31" a="1"/>
  <c r="H3003" i="31" s="1"/>
  <c r="H3005" i="31" a="1"/>
  <c r="H3005" i="31" s="1"/>
  <c r="H3007" i="31" a="1"/>
  <c r="H3007" i="31" s="1"/>
  <c r="H3009" i="31" a="1"/>
  <c r="H3009" i="31" s="1"/>
  <c r="H3011" i="31" a="1"/>
  <c r="H3011" i="31" s="1"/>
  <c r="H3013" i="31" a="1"/>
  <c r="H3013" i="31" s="1"/>
  <c r="H3015" i="31" a="1"/>
  <c r="H3015" i="31" s="1"/>
  <c r="H3017" i="31" a="1"/>
  <c r="H3017" i="31" s="1"/>
  <c r="H3019" i="31" a="1"/>
  <c r="H3019" i="31" s="1"/>
  <c r="H3021" i="31" a="1"/>
  <c r="H3021" i="31" s="1"/>
  <c r="H3023" i="31" a="1"/>
  <c r="H3023" i="31" s="1"/>
  <c r="A1" i="14" s="1"/>
  <c r="H3025" i="31" a="1"/>
  <c r="H3025" i="31" s="1"/>
  <c r="H3027" i="31" a="1"/>
  <c r="H3027" i="31" s="1"/>
  <c r="H3029" i="31" a="1"/>
  <c r="H3029" i="31" s="1"/>
  <c r="H3031" i="31" a="1"/>
  <c r="H3031" i="31" s="1"/>
  <c r="H3033" i="31" a="1"/>
  <c r="H3033" i="31" s="1"/>
  <c r="H3035" i="31" a="1"/>
  <c r="H3035" i="31" s="1"/>
  <c r="H3039" i="31" a="1"/>
  <c r="H3039" i="31" s="1"/>
  <c r="H3041" i="31" a="1"/>
  <c r="H3041" i="31" s="1"/>
  <c r="H3043" i="31" a="1"/>
  <c r="H3043" i="31" s="1"/>
  <c r="H3047" i="31" a="1"/>
  <c r="H3047" i="31" s="1"/>
  <c r="H3049" i="31" a="1"/>
  <c r="H3049" i="31" s="1"/>
  <c r="H3053" i="31" a="1"/>
  <c r="H3053" i="31" s="1"/>
  <c r="H3057" i="31" a="1"/>
  <c r="H3057" i="31" s="1"/>
  <c r="H3061" i="31" a="1"/>
  <c r="H3061" i="31" s="1"/>
  <c r="H3186" i="31" a="1"/>
  <c r="H3186" i="31" s="1"/>
  <c r="C56" i="36" s="1"/>
  <c r="H3190" i="31" a="1"/>
  <c r="H3190" i="31" s="1"/>
  <c r="H3194" i="31" a="1"/>
  <c r="H3194" i="31" s="1"/>
  <c r="K3" i="31" s="1"/>
  <c r="H801" i="31" a="1"/>
  <c r="H801" i="31" s="1"/>
  <c r="H1238" i="31" a="1"/>
  <c r="H1238" i="31" s="1"/>
  <c r="H1263" i="31" a="1"/>
  <c r="H1263" i="31" s="1"/>
  <c r="H1274" i="31" a="1"/>
  <c r="H1274" i="31" s="1"/>
  <c r="H1295" i="31" a="1"/>
  <c r="H1295" i="31" s="1"/>
  <c r="H1306" i="31" a="1"/>
  <c r="H1306" i="31" s="1"/>
  <c r="H1325" i="31" a="1"/>
  <c r="H1325" i="31" s="1"/>
  <c r="H1335" i="31" a="1"/>
  <c r="H1335" i="31" s="1"/>
  <c r="H1352" i="31" a="1"/>
  <c r="H1352" i="31" s="1"/>
  <c r="H1360" i="31" a="1"/>
  <c r="H1360" i="31" s="1"/>
  <c r="H1381" i="31" a="1"/>
  <c r="H1381" i="31" s="1"/>
  <c r="H1392" i="31" a="1"/>
  <c r="H1392" i="31" s="1"/>
  <c r="B22" i="5" s="1"/>
  <c r="H1413" i="31" a="1"/>
  <c r="H1413" i="31" s="1"/>
  <c r="H1424" i="31" a="1"/>
  <c r="H1424" i="31" s="1"/>
  <c r="H1433" i="31" a="1"/>
  <c r="H1433" i="31" s="1"/>
  <c r="H1441" i="31" a="1"/>
  <c r="H1441" i="31" s="1"/>
  <c r="H1449" i="31" a="1"/>
  <c r="H1449" i="31" s="1"/>
  <c r="H1457" i="31" a="1"/>
  <c r="H1457" i="31" s="1"/>
  <c r="H1465" i="31" a="1"/>
  <c r="H1465" i="31" s="1"/>
  <c r="H1473" i="31" a="1"/>
  <c r="H1473" i="31" s="1"/>
  <c r="H1489" i="31" a="1"/>
  <c r="H1489" i="31" s="1"/>
  <c r="H1497" i="31" a="1"/>
  <c r="H1497" i="31" s="1"/>
  <c r="H1505" i="31" a="1"/>
  <c r="H1505" i="31" s="1"/>
  <c r="B175" i="5" s="1"/>
  <c r="H1513" i="31" a="1"/>
  <c r="H1513" i="31" s="1"/>
  <c r="H1529" i="31" a="1"/>
  <c r="H1529" i="31" s="1"/>
  <c r="H1545" i="31" a="1"/>
  <c r="H1545" i="31" s="1"/>
  <c r="H1561" i="31" a="1"/>
  <c r="H1561" i="31" s="1"/>
  <c r="H1577" i="31" a="1"/>
  <c r="H1577" i="31" s="1"/>
  <c r="H1601" i="31" a="1"/>
  <c r="H1601" i="31" s="1"/>
  <c r="H1617" i="31" a="1"/>
  <c r="H1617" i="31" s="1"/>
  <c r="H1639" i="31" a="1"/>
  <c r="H1639" i="31" s="1"/>
  <c r="H1651" i="31" a="1"/>
  <c r="H1651" i="31" s="1"/>
  <c r="H1663" i="31" a="1"/>
  <c r="H1663" i="31" s="1"/>
  <c r="H1675" i="31" a="1"/>
  <c r="H1675" i="31" s="1"/>
  <c r="B319" i="5" s="1"/>
  <c r="H1687" i="31" a="1"/>
  <c r="H1687" i="31" s="1"/>
  <c r="H1699" i="31" a="1"/>
  <c r="H1699" i="31" s="1"/>
  <c r="H1713" i="31" a="1"/>
  <c r="H1713" i="31" s="1"/>
  <c r="H1741" i="31" a="1"/>
  <c r="H1741" i="31" s="1"/>
  <c r="B21" i="10" s="1"/>
  <c r="H1759" i="31" a="1"/>
  <c r="H1759" i="31" s="1"/>
  <c r="B39" i="10" s="1"/>
  <c r="H1771" i="31" a="1"/>
  <c r="H1771" i="31" s="1"/>
  <c r="B51" i="10" s="1"/>
  <c r="H1785" i="31" a="1"/>
  <c r="H1785" i="31" s="1"/>
  <c r="B65" i="10" s="1"/>
  <c r="H1797" i="31" a="1"/>
  <c r="H1797" i="31" s="1"/>
  <c r="B77" i="10" s="1"/>
  <c r="H1809" i="31" a="1"/>
  <c r="H1809" i="31" s="1"/>
  <c r="B89" i="10" s="1"/>
  <c r="H1821" i="31" a="1"/>
  <c r="H1821" i="31" s="1"/>
  <c r="B101" i="10" s="1"/>
  <c r="H1839" i="31" a="1"/>
  <c r="H1839" i="31" s="1"/>
  <c r="B119" i="10" s="1"/>
  <c r="H1852" i="31" a="1"/>
  <c r="H1852" i="31" s="1"/>
  <c r="B132" i="10" s="1"/>
  <c r="H4" i="31" a="1"/>
  <c r="H4" i="31" s="1"/>
  <c r="A25" i="35" s="1"/>
  <c r="H6" i="31" a="1"/>
  <c r="H6" i="31" s="1"/>
  <c r="H8" i="31" a="1"/>
  <c r="H8" i="31" s="1"/>
  <c r="H10" i="31" a="1"/>
  <c r="H10" i="31" s="1"/>
  <c r="H12" i="31" a="1"/>
  <c r="H12" i="31" s="1"/>
  <c r="H14" i="31" a="1"/>
  <c r="H14" i="31" s="1"/>
  <c r="H16" i="31" a="1"/>
  <c r="H16" i="31" s="1"/>
  <c r="H18" i="31" a="1"/>
  <c r="H18" i="31" s="1"/>
  <c r="H20" i="31" a="1"/>
  <c r="H20" i="31" s="1"/>
  <c r="H22" i="31" a="1"/>
  <c r="H22" i="31" s="1"/>
  <c r="H24" i="31" a="1"/>
  <c r="H24" i="31" s="1"/>
  <c r="H26" i="31" a="1"/>
  <c r="H26" i="31" s="1"/>
  <c r="H28" i="31" a="1"/>
  <c r="H28" i="31" s="1"/>
  <c r="H30" i="31" a="1"/>
  <c r="H30" i="31" s="1"/>
  <c r="H32" i="31" a="1"/>
  <c r="H32" i="31" s="1"/>
  <c r="E6" i="34" s="1"/>
  <c r="H5" i="31" a="1"/>
  <c r="H5" i="31" s="1"/>
  <c r="H7" i="31" a="1"/>
  <c r="H7" i="31" s="1"/>
  <c r="H9" i="31" a="1"/>
  <c r="H9" i="31" s="1"/>
  <c r="H11" i="31" a="1"/>
  <c r="H11" i="31" s="1"/>
  <c r="H13" i="31" a="1"/>
  <c r="H13" i="31" s="1"/>
  <c r="H15" i="31" a="1"/>
  <c r="H15" i="31" s="1"/>
  <c r="H17" i="31" a="1"/>
  <c r="H17" i="31" s="1"/>
  <c r="H19" i="31" a="1"/>
  <c r="H19" i="31" s="1"/>
  <c r="H21" i="31" a="1"/>
  <c r="H21" i="31" s="1"/>
  <c r="H23" i="31" a="1"/>
  <c r="H23" i="31" s="1"/>
  <c r="H25" i="31" a="1"/>
  <c r="H25" i="31" s="1"/>
  <c r="H27" i="31" a="1"/>
  <c r="H27" i="31" s="1"/>
  <c r="H29" i="31" a="1"/>
  <c r="H29" i="31" s="1"/>
  <c r="H31" i="31" a="1"/>
  <c r="H31" i="31" s="1"/>
  <c r="H34" i="31" a="1"/>
  <c r="H34" i="31" s="1"/>
  <c r="H35" i="31" a="1"/>
  <c r="H35" i="31" s="1"/>
  <c r="AK83" i="28"/>
  <c r="F42" i="11"/>
  <c r="AP24" i="33" s="1"/>
  <c r="AM24" i="33"/>
  <c r="AU24" i="33" s="1" a="1"/>
  <c r="AU24" i="33" s="1"/>
  <c r="G68" i="1" a="1"/>
  <c r="G68" i="1" s="1"/>
  <c r="AP86" i="2" s="1"/>
  <c r="G67" i="1" a="1"/>
  <c r="G67" i="1" s="1"/>
  <c r="AN86" i="2" s="1"/>
  <c r="G69" i="1" a="1"/>
  <c r="G69" i="1" s="1"/>
  <c r="AR86" i="2" s="1"/>
  <c r="G51" i="1" a="1"/>
  <c r="G51" i="1" s="1"/>
  <c r="H86" i="2" s="1"/>
  <c r="G70" i="1" a="1"/>
  <c r="G70" i="1" s="1"/>
  <c r="AT86" i="2" s="1"/>
  <c r="G58" i="1" a="1"/>
  <c r="G58" i="1" s="1"/>
  <c r="V86" i="2" s="1"/>
  <c r="G52" i="1" a="1"/>
  <c r="G52" i="1" s="1"/>
  <c r="J86" i="2" s="1"/>
  <c r="G53" i="1" a="1"/>
  <c r="G53" i="1" s="1"/>
  <c r="L86" i="2" s="1"/>
  <c r="A332" i="5"/>
  <c r="A40" i="5"/>
  <c r="A41" i="5"/>
  <c r="A283" i="5"/>
  <c r="A42" i="5"/>
  <c r="A333" i="5"/>
  <c r="A44" i="5"/>
  <c r="A43" i="5"/>
  <c r="J59" i="28"/>
  <c r="C51" i="37" s="1"/>
  <c r="J71" i="28"/>
  <c r="C63" i="37" s="1"/>
  <c r="J53" i="28"/>
  <c r="C45" i="37" s="1"/>
  <c r="J41" i="28"/>
  <c r="C33" i="37" s="1"/>
  <c r="J65" i="28"/>
  <c r="C57" i="37" s="1"/>
  <c r="J47" i="28"/>
  <c r="C39" i="37" s="1"/>
  <c r="G54" i="1" a="1"/>
  <c r="G54" i="1" s="1"/>
  <c r="N86" i="2" s="1"/>
  <c r="F59" i="1" a="1"/>
  <c r="F59" i="1" s="1"/>
  <c r="F58" i="1" a="1"/>
  <c r="F58" i="1" s="1"/>
  <c r="F52" i="1" a="1"/>
  <c r="F52" i="1" s="1"/>
  <c r="F54" i="1" a="1"/>
  <c r="F54" i="1" s="1"/>
  <c r="F55" i="1" a="1"/>
  <c r="F55" i="1" s="1"/>
  <c r="F53" i="1" a="1"/>
  <c r="F53" i="1" s="1"/>
  <c r="F67" i="1" a="1"/>
  <c r="F67" i="1" s="1"/>
  <c r="F70" i="1" a="1"/>
  <c r="F70" i="1" s="1"/>
  <c r="J56" i="28"/>
  <c r="C48" i="37" s="1"/>
  <c r="J50" i="28"/>
  <c r="C42" i="37" s="1"/>
  <c r="J38" i="28"/>
  <c r="C30" i="37" s="1"/>
  <c r="J44" i="28"/>
  <c r="C36" i="37" s="1"/>
  <c r="J62" i="28"/>
  <c r="C54" i="37" s="1"/>
  <c r="J68" i="28"/>
  <c r="C60" i="37" s="1"/>
  <c r="A231" i="5"/>
  <c r="A230" i="5"/>
  <c r="A98" i="5"/>
  <c r="A10" i="5"/>
  <c r="A7" i="5"/>
  <c r="A63" i="5"/>
  <c r="A227" i="5"/>
  <c r="A62" i="5"/>
  <c r="A11" i="5"/>
  <c r="C11" i="1" a="1"/>
  <c r="C11" i="1" s="1"/>
  <c r="A232" i="5"/>
  <c r="A99" i="5"/>
  <c r="A229" i="5"/>
  <c r="A233" i="5"/>
  <c r="A8" i="5"/>
  <c r="A9" i="5"/>
  <c r="E9" i="1"/>
  <c r="E8" i="1"/>
  <c r="E6" i="1"/>
  <c r="A29" i="5"/>
  <c r="A28" i="5"/>
  <c r="A26" i="5"/>
  <c r="A25" i="5"/>
  <c r="A104" i="5"/>
  <c r="A105" i="5"/>
  <c r="A27" i="5"/>
  <c r="J49" i="28"/>
  <c r="C41" i="37" s="1"/>
  <c r="J61" i="28"/>
  <c r="C53" i="37" s="1"/>
  <c r="J37" i="28"/>
  <c r="C29" i="37" s="1"/>
  <c r="J43" i="28"/>
  <c r="C35" i="37" s="1"/>
  <c r="J55" i="28"/>
  <c r="C47" i="37" s="1"/>
  <c r="J67" i="28"/>
  <c r="C59" i="37" s="1"/>
  <c r="A34" i="5"/>
  <c r="A187" i="5"/>
  <c r="A32" i="5"/>
  <c r="A31" i="5"/>
  <c r="A183" i="5"/>
  <c r="A188" i="5"/>
  <c r="A189" i="5"/>
  <c r="A30" i="5"/>
  <c r="A190" i="5"/>
  <c r="A107" i="5"/>
  <c r="A184" i="5"/>
  <c r="A33" i="5"/>
  <c r="A106" i="5"/>
  <c r="A186" i="5"/>
  <c r="A185" i="5"/>
  <c r="A191" i="5"/>
  <c r="J70" i="28"/>
  <c r="C62" i="37" s="1"/>
  <c r="J40" i="28"/>
  <c r="C32" i="37" s="1"/>
  <c r="J64" i="28"/>
  <c r="C56" i="37" s="1"/>
  <c r="J58" i="28"/>
  <c r="C50" i="37" s="1"/>
  <c r="J52" i="28"/>
  <c r="C44" i="37" s="1"/>
  <c r="J46" i="28"/>
  <c r="C38" i="37" s="1"/>
  <c r="C13" i="1" a="1"/>
  <c r="C13" i="1" s="1"/>
  <c r="C5" i="2" s="1"/>
  <c r="C6" i="2" s="1"/>
  <c r="A15" i="2" s="1"/>
  <c r="A108" i="5"/>
  <c r="A279" i="5"/>
  <c r="A274" i="5"/>
  <c r="A35" i="5"/>
  <c r="A331" i="5"/>
  <c r="A38" i="5"/>
  <c r="A275" i="5"/>
  <c r="A36" i="5"/>
  <c r="A327" i="5"/>
  <c r="A39" i="5"/>
  <c r="A330" i="5"/>
  <c r="A37" i="5"/>
  <c r="A276" i="5"/>
  <c r="A329" i="5"/>
  <c r="A277" i="5"/>
  <c r="A273" i="5"/>
  <c r="A192" i="5"/>
  <c r="A328" i="5"/>
  <c r="A278" i="5"/>
  <c r="J45" i="28"/>
  <c r="C37" i="37" s="1"/>
  <c r="J51" i="28"/>
  <c r="C43" i="37" s="1"/>
  <c r="J39" i="28"/>
  <c r="C31" i="37" s="1"/>
  <c r="J63" i="28"/>
  <c r="C55" i="37" s="1"/>
  <c r="J57" i="28"/>
  <c r="C49" i="37" s="1"/>
  <c r="J69" i="28"/>
  <c r="C61" i="37" s="1"/>
  <c r="A288" i="5"/>
  <c r="A287" i="5"/>
  <c r="A48" i="5"/>
  <c r="A47" i="5"/>
  <c r="A289" i="5"/>
  <c r="A45" i="5"/>
  <c r="A46" i="5"/>
  <c r="A291" i="5"/>
  <c r="A290" i="5"/>
  <c r="J36" i="28"/>
  <c r="C28" i="37" s="1"/>
  <c r="J66" i="28"/>
  <c r="C58" i="37" s="1"/>
  <c r="J42" i="28"/>
  <c r="C34" i="37" s="1"/>
  <c r="J54" i="28"/>
  <c r="C46" i="37" s="1"/>
  <c r="J48" i="28"/>
  <c r="C40" i="37" s="1"/>
  <c r="J60" i="28"/>
  <c r="C52" i="37" s="1"/>
  <c r="F69" i="1" a="1"/>
  <c r="F69" i="1" s="1"/>
  <c r="F68" i="1" a="1"/>
  <c r="F68" i="1" s="1"/>
  <c r="G59" i="1" a="1"/>
  <c r="G59" i="1" s="1"/>
  <c r="X86" i="2" s="1"/>
  <c r="G55" i="1" a="1"/>
  <c r="G55" i="1" s="1"/>
  <c r="P86" i="2" s="1"/>
  <c r="B189" i="2" l="1"/>
  <c r="B91" i="37" s="1"/>
  <c r="B190" i="2"/>
  <c r="B360" i="10"/>
  <c r="B193" i="2"/>
  <c r="C54" i="8"/>
  <c r="C52" i="8"/>
  <c r="C53" i="8"/>
  <c r="C38" i="8"/>
  <c r="C272" i="10"/>
  <c r="B272" i="10"/>
  <c r="C211" i="10"/>
  <c r="B211" i="10"/>
  <c r="C458" i="10"/>
  <c r="B458" i="10"/>
  <c r="C365" i="10"/>
  <c r="B365" i="10"/>
  <c r="C51" i="10"/>
  <c r="C146" i="10"/>
  <c r="C38" i="10"/>
  <c r="C99" i="10"/>
  <c r="C49" i="10"/>
  <c r="C57" i="10"/>
  <c r="C163" i="10"/>
  <c r="C133" i="10"/>
  <c r="C94" i="10"/>
  <c r="C44" i="10"/>
  <c r="C53" i="10"/>
  <c r="C108" i="10"/>
  <c r="C160" i="10"/>
  <c r="C570" i="10"/>
  <c r="C465" i="10"/>
  <c r="C457" i="10"/>
  <c r="C340" i="10"/>
  <c r="C316" i="10"/>
  <c r="C292" i="10"/>
  <c r="C267" i="10"/>
  <c r="C243" i="10"/>
  <c r="C219" i="10"/>
  <c r="C194" i="10"/>
  <c r="C341" i="10"/>
  <c r="C317" i="10"/>
  <c r="C293" i="10"/>
  <c r="C268" i="10"/>
  <c r="C244" i="10"/>
  <c r="C228" i="10"/>
  <c r="C203" i="10"/>
  <c r="C179" i="10"/>
  <c r="C429" i="10"/>
  <c r="C405" i="10"/>
  <c r="C389" i="10"/>
  <c r="C366" i="10"/>
  <c r="C438" i="10"/>
  <c r="C430" i="10"/>
  <c r="C414" i="10"/>
  <c r="C398" i="10"/>
  <c r="C382" i="10"/>
  <c r="C374" i="10"/>
  <c r="C367" i="10"/>
  <c r="C672" i="10"/>
  <c r="C656" i="10"/>
  <c r="C665" i="10"/>
  <c r="C89" i="10"/>
  <c r="C39" i="10"/>
  <c r="C166" i="10"/>
  <c r="C156" i="10"/>
  <c r="C144" i="10"/>
  <c r="C136" i="10"/>
  <c r="C122" i="10"/>
  <c r="C100" i="10"/>
  <c r="C68" i="10"/>
  <c r="C50" i="10"/>
  <c r="C34" i="10"/>
  <c r="C12" i="10"/>
  <c r="C127" i="10"/>
  <c r="C73" i="10"/>
  <c r="C27" i="10"/>
  <c r="C115" i="10"/>
  <c r="C95" i="10"/>
  <c r="C63" i="10"/>
  <c r="C45" i="10"/>
  <c r="C29" i="10"/>
  <c r="C7" i="10"/>
  <c r="C93" i="10"/>
  <c r="C43" i="10"/>
  <c r="C170" i="10"/>
  <c r="C159" i="10"/>
  <c r="C147" i="10"/>
  <c r="C139" i="10"/>
  <c r="C129" i="10"/>
  <c r="C106" i="10"/>
  <c r="C90" i="10"/>
  <c r="C74" i="10"/>
  <c r="C58" i="10"/>
  <c r="C40" i="10"/>
  <c r="C22" i="10"/>
  <c r="C15" i="10"/>
  <c r="C107" i="10"/>
  <c r="C150" i="10"/>
  <c r="C118" i="10"/>
  <c r="C592" i="10"/>
  <c r="C471" i="10"/>
  <c r="C463" i="10"/>
  <c r="C454" i="10"/>
  <c r="C353" i="10"/>
  <c r="C472" i="10"/>
  <c r="C464" i="10"/>
  <c r="C455" i="10"/>
  <c r="C354" i="10"/>
  <c r="C346" i="10"/>
  <c r="C338" i="10"/>
  <c r="C330" i="10"/>
  <c r="C322" i="10"/>
  <c r="C314" i="10"/>
  <c r="C306" i="10"/>
  <c r="C298" i="10"/>
  <c r="C290" i="10"/>
  <c r="C282" i="10"/>
  <c r="C274" i="10"/>
  <c r="C265" i="10"/>
  <c r="C257" i="10"/>
  <c r="C249" i="10"/>
  <c r="C241" i="10"/>
  <c r="C233" i="10"/>
  <c r="C225" i="10"/>
  <c r="C217" i="10"/>
  <c r="C208" i="10"/>
  <c r="C200" i="10"/>
  <c r="C192" i="10"/>
  <c r="C184" i="10"/>
  <c r="C176" i="10"/>
  <c r="C339" i="10"/>
  <c r="C331" i="10"/>
  <c r="C323" i="10"/>
  <c r="C315" i="10"/>
  <c r="C307" i="10"/>
  <c r="C299" i="10"/>
  <c r="C291" i="10"/>
  <c r="C283" i="10"/>
  <c r="C275" i="10"/>
  <c r="C266" i="10"/>
  <c r="C258" i="10"/>
  <c r="C250" i="10"/>
  <c r="C242" i="10"/>
  <c r="C234" i="10"/>
  <c r="C226" i="10"/>
  <c r="C218" i="10"/>
  <c r="C209" i="10"/>
  <c r="C201" i="10"/>
  <c r="C193" i="10"/>
  <c r="C185" i="10"/>
  <c r="C177" i="10"/>
  <c r="C452" i="10"/>
  <c r="C443" i="10"/>
  <c r="C435" i="10"/>
  <c r="C427" i="10"/>
  <c r="C419" i="10"/>
  <c r="C411" i="10"/>
  <c r="C403" i="10"/>
  <c r="C395" i="10"/>
  <c r="C387" i="10"/>
  <c r="C379" i="10"/>
  <c r="C371" i="10"/>
  <c r="C363" i="10"/>
  <c r="C444" i="10"/>
  <c r="C436" i="10"/>
  <c r="C428" i="10"/>
  <c r="C420" i="10"/>
  <c r="C412" i="10"/>
  <c r="C404" i="10"/>
  <c r="C396" i="10"/>
  <c r="C388" i="10"/>
  <c r="C380" i="10"/>
  <c r="C372" i="10"/>
  <c r="C364" i="10"/>
  <c r="C450" i="10"/>
  <c r="C670" i="10"/>
  <c r="C662" i="10"/>
  <c r="C654" i="10"/>
  <c r="C671" i="10"/>
  <c r="C663" i="10"/>
  <c r="C655" i="10"/>
  <c r="C101" i="10"/>
  <c r="C158" i="10"/>
  <c r="C126" i="10"/>
  <c r="C72" i="10"/>
  <c r="C20" i="10"/>
  <c r="C33" i="10"/>
  <c r="C172" i="10"/>
  <c r="C141" i="10"/>
  <c r="C28" i="10"/>
  <c r="C16" i="10"/>
  <c r="C151" i="10"/>
  <c r="C473" i="10"/>
  <c r="C456" i="10"/>
  <c r="C347" i="10"/>
  <c r="C466" i="10"/>
  <c r="C348" i="10"/>
  <c r="C324" i="10"/>
  <c r="C300" i="10"/>
  <c r="C276" i="10"/>
  <c r="C251" i="10"/>
  <c r="C235" i="10"/>
  <c r="C202" i="10"/>
  <c r="C178" i="10"/>
  <c r="C333" i="10"/>
  <c r="C309" i="10"/>
  <c r="C285" i="10"/>
  <c r="C260" i="10"/>
  <c r="C236" i="10"/>
  <c r="C212" i="10"/>
  <c r="C187" i="10"/>
  <c r="C437" i="10"/>
  <c r="C421" i="10"/>
  <c r="C397" i="10"/>
  <c r="C373" i="10"/>
  <c r="C446" i="10"/>
  <c r="C422" i="10"/>
  <c r="C406" i="10"/>
  <c r="C390" i="10"/>
  <c r="C664" i="10"/>
  <c r="C657" i="10"/>
  <c r="C132" i="10"/>
  <c r="C21" i="10"/>
  <c r="C173" i="10"/>
  <c r="C164" i="10"/>
  <c r="C154" i="10"/>
  <c r="C142" i="10"/>
  <c r="C134" i="10"/>
  <c r="C116" i="10"/>
  <c r="C96" i="10"/>
  <c r="C64" i="10"/>
  <c r="C46" i="10"/>
  <c r="C30" i="10"/>
  <c r="C8" i="10"/>
  <c r="C113" i="10"/>
  <c r="C61" i="10"/>
  <c r="C9" i="10"/>
  <c r="C130" i="10"/>
  <c r="C111" i="10"/>
  <c r="C91" i="10"/>
  <c r="C75" i="10"/>
  <c r="C59" i="10"/>
  <c r="C41" i="10"/>
  <c r="C23" i="10"/>
  <c r="C31" i="10"/>
  <c r="C167" i="10"/>
  <c r="C157" i="10"/>
  <c r="C145" i="10"/>
  <c r="C137" i="10"/>
  <c r="C124" i="10"/>
  <c r="C102" i="10"/>
  <c r="C70" i="10"/>
  <c r="C52" i="10"/>
  <c r="C36" i="10"/>
  <c r="C14" i="10"/>
  <c r="C169" i="10"/>
  <c r="C18" i="10"/>
  <c r="C110" i="10"/>
  <c r="C153" i="10"/>
  <c r="C117" i="10"/>
  <c r="C623" i="10"/>
  <c r="C599" i="10"/>
  <c r="C591" i="10"/>
  <c r="C622" i="10"/>
  <c r="C598" i="10"/>
  <c r="C590" i="10"/>
  <c r="C469" i="10"/>
  <c r="C461" i="10"/>
  <c r="C361" i="10"/>
  <c r="C351" i="10"/>
  <c r="C470" i="10"/>
  <c r="C462" i="10"/>
  <c r="C453" i="10"/>
  <c r="C352" i="10"/>
  <c r="C344" i="10"/>
  <c r="C336" i="10"/>
  <c r="C328" i="10"/>
  <c r="C320" i="10"/>
  <c r="C312" i="10"/>
  <c r="C304" i="10"/>
  <c r="C296" i="10"/>
  <c r="C288" i="10"/>
  <c r="C280" i="10"/>
  <c r="C271" i="10"/>
  <c r="C263" i="10"/>
  <c r="C255" i="10"/>
  <c r="C247" i="10"/>
  <c r="C239" i="10"/>
  <c r="C231" i="10"/>
  <c r="C223" i="10"/>
  <c r="C215" i="10"/>
  <c r="C206" i="10"/>
  <c r="C198" i="10"/>
  <c r="C190" i="10"/>
  <c r="C182" i="10"/>
  <c r="C345" i="10"/>
  <c r="C337" i="10"/>
  <c r="C329" i="10"/>
  <c r="C321" i="10"/>
  <c r="C313" i="10"/>
  <c r="C305" i="10"/>
  <c r="C297" i="10"/>
  <c r="C289" i="10"/>
  <c r="C281" i="10"/>
  <c r="C273" i="10"/>
  <c r="C264" i="10"/>
  <c r="C256" i="10"/>
  <c r="C248" i="10"/>
  <c r="C240" i="10"/>
  <c r="C232" i="10"/>
  <c r="C224" i="10"/>
  <c r="C216" i="10"/>
  <c r="C207" i="10"/>
  <c r="C199" i="10"/>
  <c r="C191" i="10"/>
  <c r="C183" i="10"/>
  <c r="C175" i="10"/>
  <c r="C449" i="10"/>
  <c r="C441" i="10"/>
  <c r="C433" i="10"/>
  <c r="C425" i="10"/>
  <c r="C417" i="10"/>
  <c r="C409" i="10"/>
  <c r="C401" i="10"/>
  <c r="C393" i="10"/>
  <c r="C385" i="10"/>
  <c r="C377" i="10"/>
  <c r="C369" i="10"/>
  <c r="C451" i="10"/>
  <c r="C442" i="10"/>
  <c r="C434" i="10"/>
  <c r="C426" i="10"/>
  <c r="C418" i="10"/>
  <c r="C410" i="10"/>
  <c r="C402" i="10"/>
  <c r="C394" i="10"/>
  <c r="C386" i="10"/>
  <c r="C378" i="10"/>
  <c r="C370" i="10"/>
  <c r="C362" i="10"/>
  <c r="C359" i="10"/>
  <c r="C668" i="10"/>
  <c r="C660" i="10"/>
  <c r="C652" i="10"/>
  <c r="C669" i="10"/>
  <c r="C661" i="10"/>
  <c r="C653" i="10"/>
  <c r="C168" i="10"/>
  <c r="C138" i="10"/>
  <c r="C104" i="10"/>
  <c r="C56" i="10"/>
  <c r="C35" i="10"/>
  <c r="C121" i="10"/>
  <c r="C67" i="10"/>
  <c r="C11" i="10"/>
  <c r="C105" i="10"/>
  <c r="C149" i="10"/>
  <c r="C114" i="10"/>
  <c r="C62" i="10"/>
  <c r="C25" i="10"/>
  <c r="C643" i="10"/>
  <c r="C619" i="10"/>
  <c r="C618" i="10"/>
  <c r="C355" i="10"/>
  <c r="C332" i="10"/>
  <c r="C308" i="10"/>
  <c r="C284" i="10"/>
  <c r="C259" i="10"/>
  <c r="C227" i="10"/>
  <c r="C210" i="10"/>
  <c r="C186" i="10"/>
  <c r="C325" i="10"/>
  <c r="C301" i="10"/>
  <c r="C277" i="10"/>
  <c r="C252" i="10"/>
  <c r="C220" i="10"/>
  <c r="C195" i="10"/>
  <c r="C445" i="10"/>
  <c r="C413" i="10"/>
  <c r="C381" i="10"/>
  <c r="C119" i="10"/>
  <c r="C65" i="10"/>
  <c r="C171" i="10"/>
  <c r="C162" i="10"/>
  <c r="C148" i="10"/>
  <c r="C140" i="10"/>
  <c r="C131" i="10"/>
  <c r="C112" i="10"/>
  <c r="C92" i="10"/>
  <c r="C76" i="10"/>
  <c r="C60" i="10"/>
  <c r="C42" i="10"/>
  <c r="C24" i="10"/>
  <c r="C97" i="10"/>
  <c r="C47" i="10"/>
  <c r="C125" i="10"/>
  <c r="C103" i="10"/>
  <c r="C71" i="10"/>
  <c r="C55" i="10"/>
  <c r="C37" i="10"/>
  <c r="C19" i="10"/>
  <c r="C123" i="10"/>
  <c r="C69" i="10"/>
  <c r="C13" i="10"/>
  <c r="C174" i="10"/>
  <c r="C165" i="10"/>
  <c r="C155" i="10"/>
  <c r="C143" i="10"/>
  <c r="C135" i="10"/>
  <c r="C120" i="10"/>
  <c r="C98" i="10"/>
  <c r="C66" i="10"/>
  <c r="C48" i="10"/>
  <c r="C32" i="10"/>
  <c r="C10" i="10"/>
  <c r="C54" i="10"/>
  <c r="C128" i="10"/>
  <c r="C17" i="10"/>
  <c r="C109" i="10"/>
  <c r="C152" i="10"/>
  <c r="C26" i="10"/>
  <c r="C161" i="10"/>
  <c r="C621" i="10"/>
  <c r="C589" i="10"/>
  <c r="C620" i="10"/>
  <c r="C467" i="10"/>
  <c r="C459" i="10"/>
  <c r="C349" i="10"/>
  <c r="C468" i="10"/>
  <c r="C460" i="10"/>
  <c r="C350" i="10"/>
  <c r="C342" i="10"/>
  <c r="C334" i="10"/>
  <c r="C326" i="10"/>
  <c r="C318" i="10"/>
  <c r="C310" i="10"/>
  <c r="C294" i="10"/>
  <c r="C286" i="10"/>
  <c r="C278" i="10"/>
  <c r="C269" i="10"/>
  <c r="C261" i="10"/>
  <c r="C253" i="10"/>
  <c r="C245" i="10"/>
  <c r="C237" i="10"/>
  <c r="C229" i="10"/>
  <c r="C221" i="10"/>
  <c r="C213" i="10"/>
  <c r="C204" i="10"/>
  <c r="C196" i="10"/>
  <c r="C188" i="10"/>
  <c r="C180" i="10"/>
  <c r="C343" i="10"/>
  <c r="C335" i="10"/>
  <c r="C327" i="10"/>
  <c r="C319" i="10"/>
  <c r="C311" i="10"/>
  <c r="C303" i="10"/>
  <c r="C295" i="10"/>
  <c r="C287" i="10"/>
  <c r="C279" i="10"/>
  <c r="C270" i="10"/>
  <c r="C262" i="10"/>
  <c r="C254" i="10"/>
  <c r="C246" i="10"/>
  <c r="C238" i="10"/>
  <c r="C230" i="10"/>
  <c r="C222" i="10"/>
  <c r="C214" i="10"/>
  <c r="C205" i="10"/>
  <c r="C197" i="10"/>
  <c r="C189" i="10"/>
  <c r="C181" i="10"/>
  <c r="C447" i="10"/>
  <c r="C439" i="10"/>
  <c r="C431" i="10"/>
  <c r="C423" i="10"/>
  <c r="C415" i="10"/>
  <c r="C407" i="10"/>
  <c r="C399" i="10"/>
  <c r="C391" i="10"/>
  <c r="C383" i="10"/>
  <c r="C375" i="10"/>
  <c r="C368" i="10"/>
  <c r="C448" i="10"/>
  <c r="C440" i="10"/>
  <c r="C432" i="10"/>
  <c r="C424" i="10"/>
  <c r="C416" i="10"/>
  <c r="C408" i="10"/>
  <c r="C400" i="10"/>
  <c r="C392" i="10"/>
  <c r="C384" i="10"/>
  <c r="C376" i="10"/>
  <c r="C666" i="10"/>
  <c r="C658" i="10"/>
  <c r="C667" i="10"/>
  <c r="C659" i="10"/>
  <c r="C651" i="10"/>
  <c r="B153" i="2"/>
  <c r="C84" i="10"/>
  <c r="B148" i="2"/>
  <c r="C79" i="10"/>
  <c r="C635" i="10"/>
  <c r="C627" i="10"/>
  <c r="C611" i="10"/>
  <c r="C603" i="10"/>
  <c r="C595" i="10"/>
  <c r="C587" i="10"/>
  <c r="C575" i="10"/>
  <c r="C582" i="10"/>
  <c r="C650" i="10"/>
  <c r="C642" i="10"/>
  <c r="C634" i="10"/>
  <c r="C626" i="10"/>
  <c r="C610" i="10"/>
  <c r="C602" i="10"/>
  <c r="C594" i="10"/>
  <c r="C586" i="10"/>
  <c r="C571" i="10"/>
  <c r="C561" i="10"/>
  <c r="C553" i="10"/>
  <c r="C545" i="10"/>
  <c r="C537" i="10"/>
  <c r="C529" i="10"/>
  <c r="C521" i="10"/>
  <c r="C513" i="10"/>
  <c r="C505" i="10"/>
  <c r="C497" i="10"/>
  <c r="C489" i="10"/>
  <c r="C481" i="10"/>
  <c r="C562" i="10"/>
  <c r="C554" i="10"/>
  <c r="C546" i="10"/>
  <c r="C538" i="10"/>
  <c r="C530" i="10"/>
  <c r="C522" i="10"/>
  <c r="C514" i="10"/>
  <c r="C506" i="10"/>
  <c r="C498" i="10"/>
  <c r="C490" i="10"/>
  <c r="C482" i="10"/>
  <c r="C474" i="10"/>
  <c r="C356" i="10"/>
  <c r="B146" i="2"/>
  <c r="C77" i="10"/>
  <c r="B149" i="2"/>
  <c r="C80" i="10"/>
  <c r="B150" i="2"/>
  <c r="C81" i="10"/>
  <c r="B155" i="2"/>
  <c r="C86" i="10"/>
  <c r="C649" i="10"/>
  <c r="C641" i="10"/>
  <c r="C633" i="10"/>
  <c r="C625" i="10"/>
  <c r="C617" i="10"/>
  <c r="C609" i="10"/>
  <c r="C601" i="10"/>
  <c r="C593" i="10"/>
  <c r="C585" i="10"/>
  <c r="C572" i="10"/>
  <c r="C577" i="10"/>
  <c r="C648" i="10"/>
  <c r="C640" i="10"/>
  <c r="C632" i="10"/>
  <c r="C624" i="10"/>
  <c r="C616" i="10"/>
  <c r="C608" i="10"/>
  <c r="C600" i="10"/>
  <c r="C584" i="10"/>
  <c r="C567" i="10"/>
  <c r="C559" i="10"/>
  <c r="C551" i="10"/>
  <c r="C543" i="10"/>
  <c r="C535" i="10"/>
  <c r="C527" i="10"/>
  <c r="C519" i="10"/>
  <c r="C511" i="10"/>
  <c r="C503" i="10"/>
  <c r="C495" i="10"/>
  <c r="C487" i="10"/>
  <c r="C479" i="10"/>
  <c r="C568" i="10"/>
  <c r="C560" i="10"/>
  <c r="C552" i="10"/>
  <c r="C544" i="10"/>
  <c r="C536" i="10"/>
  <c r="C528" i="10"/>
  <c r="C520" i="10"/>
  <c r="C512" i="10"/>
  <c r="C504" i="10"/>
  <c r="C496" i="10"/>
  <c r="C488" i="10"/>
  <c r="C480" i="10"/>
  <c r="C358" i="10"/>
  <c r="B156" i="2"/>
  <c r="C87" i="10"/>
  <c r="B151" i="2"/>
  <c r="C82" i="10"/>
  <c r="C578" i="10"/>
  <c r="C647" i="10"/>
  <c r="C639" i="10"/>
  <c r="C631" i="10"/>
  <c r="C615" i="10"/>
  <c r="C607" i="10"/>
  <c r="C583" i="10"/>
  <c r="C581" i="10"/>
  <c r="C574" i="10"/>
  <c r="C646" i="10"/>
  <c r="C638" i="10"/>
  <c r="C630" i="10"/>
  <c r="C614" i="10"/>
  <c r="C606" i="10"/>
  <c r="C579" i="10"/>
  <c r="C565" i="10"/>
  <c r="C557" i="10"/>
  <c r="C549" i="10"/>
  <c r="C541" i="10"/>
  <c r="C533" i="10"/>
  <c r="C525" i="10"/>
  <c r="C517" i="10"/>
  <c r="C509" i="10"/>
  <c r="C501" i="10"/>
  <c r="C493" i="10"/>
  <c r="C485" i="10"/>
  <c r="C477" i="10"/>
  <c r="C566" i="10"/>
  <c r="C558" i="10"/>
  <c r="C550" i="10"/>
  <c r="C542" i="10"/>
  <c r="C534" i="10"/>
  <c r="C526" i="10"/>
  <c r="C518" i="10"/>
  <c r="C510" i="10"/>
  <c r="C502" i="10"/>
  <c r="C494" i="10"/>
  <c r="C486" i="10"/>
  <c r="C478" i="10"/>
  <c r="B157" i="2"/>
  <c r="C88" i="10"/>
  <c r="B154" i="2"/>
  <c r="C85" i="10"/>
  <c r="B152" i="2"/>
  <c r="C83" i="10"/>
  <c r="B147" i="2"/>
  <c r="C78" i="10"/>
  <c r="C645" i="10"/>
  <c r="C637" i="10"/>
  <c r="C629" i="10"/>
  <c r="C613" i="10"/>
  <c r="C605" i="10"/>
  <c r="C597" i="10"/>
  <c r="C580" i="10"/>
  <c r="C573" i="10"/>
  <c r="C569" i="10"/>
  <c r="C644" i="10"/>
  <c r="C636" i="10"/>
  <c r="C628" i="10"/>
  <c r="C612" i="10"/>
  <c r="C604" i="10"/>
  <c r="C596" i="10"/>
  <c r="C588" i="10"/>
  <c r="C576" i="10"/>
  <c r="C563" i="10"/>
  <c r="C555" i="10"/>
  <c r="C547" i="10"/>
  <c r="C539" i="10"/>
  <c r="C531" i="10"/>
  <c r="C523" i="10"/>
  <c r="C515" i="10"/>
  <c r="C507" i="10"/>
  <c r="C499" i="10"/>
  <c r="C491" i="10"/>
  <c r="C483" i="10"/>
  <c r="C475" i="10"/>
  <c r="C357" i="10"/>
  <c r="C564" i="10"/>
  <c r="C556" i="10"/>
  <c r="C548" i="10"/>
  <c r="C540" i="10"/>
  <c r="C532" i="10"/>
  <c r="C524" i="10"/>
  <c r="C516" i="10"/>
  <c r="C508" i="10"/>
  <c r="C500" i="10"/>
  <c r="C492" i="10"/>
  <c r="C484" i="10"/>
  <c r="C476" i="10"/>
  <c r="C360" i="10"/>
  <c r="C302" i="10"/>
  <c r="B49" i="5"/>
  <c r="B54" i="5"/>
  <c r="K163" i="6"/>
  <c r="K162" i="6"/>
  <c r="B113" i="5"/>
  <c r="B115" i="5"/>
  <c r="B112" i="5"/>
  <c r="B114" i="5"/>
  <c r="B109" i="5"/>
  <c r="B111" i="5"/>
  <c r="B108" i="5"/>
  <c r="B110" i="5"/>
  <c r="B101" i="5"/>
  <c r="B103" i="5"/>
  <c r="B100" i="5"/>
  <c r="B102" i="5"/>
  <c r="D195" i="5"/>
  <c r="D193" i="5"/>
  <c r="B193" i="5"/>
  <c r="D191" i="5"/>
  <c r="D192" i="5"/>
  <c r="B169" i="5"/>
  <c r="B156" i="5"/>
  <c r="B168" i="5"/>
  <c r="B155" i="5"/>
  <c r="B167" i="5"/>
  <c r="B154" i="5"/>
  <c r="B166" i="5"/>
  <c r="B153" i="5"/>
  <c r="B165" i="5"/>
  <c r="B152" i="5"/>
  <c r="B164" i="5"/>
  <c r="B151" i="5"/>
  <c r="B163" i="5"/>
  <c r="B150" i="5"/>
  <c r="B162" i="5"/>
  <c r="B149" i="5"/>
  <c r="B161" i="5"/>
  <c r="B148" i="5"/>
  <c r="B160" i="5"/>
  <c r="B147" i="5"/>
  <c r="B159" i="5"/>
  <c r="B146" i="5"/>
  <c r="B158" i="5"/>
  <c r="B145" i="5"/>
  <c r="B157" i="5"/>
  <c r="B144" i="5"/>
  <c r="B282" i="5"/>
  <c r="B286" i="5"/>
  <c r="B281" i="5"/>
  <c r="B285" i="5"/>
  <c r="B280" i="5"/>
  <c r="B284" i="5"/>
  <c r="B266" i="5"/>
  <c r="B274" i="5"/>
  <c r="B236" i="5"/>
  <c r="B273" i="5"/>
  <c r="B262" i="5"/>
  <c r="B265" i="5"/>
  <c r="B272" i="5"/>
  <c r="B235" i="5"/>
  <c r="B250" i="5"/>
  <c r="B268" i="5"/>
  <c r="B249" i="5"/>
  <c r="B267" i="5"/>
  <c r="B246" i="5"/>
  <c r="B264" i="5"/>
  <c r="B245" i="5"/>
  <c r="B263" i="5"/>
  <c r="B253" i="5"/>
  <c r="B248" i="5"/>
  <c r="B261" i="5"/>
  <c r="B252" i="5"/>
  <c r="B260" i="5"/>
  <c r="B251" i="5"/>
  <c r="B256" i="5"/>
  <c r="B247" i="5"/>
  <c r="B242" i="5"/>
  <c r="B259" i="5"/>
  <c r="B241" i="5"/>
  <c r="B258" i="5"/>
  <c r="B240" i="5"/>
  <c r="B257" i="5"/>
  <c r="B238" i="5"/>
  <c r="B255" i="5"/>
  <c r="B237" i="5"/>
  <c r="B254" i="5"/>
  <c r="B239" i="5"/>
  <c r="B234" i="5"/>
  <c r="B244" i="5"/>
  <c r="B233" i="5"/>
  <c r="B243" i="5"/>
  <c r="B311" i="5"/>
  <c r="B306" i="5"/>
  <c r="B310" i="5"/>
  <c r="B305" i="5"/>
  <c r="B309" i="5"/>
  <c r="B304" i="5"/>
  <c r="B308" i="5"/>
  <c r="B303" i="5"/>
  <c r="B307" i="5"/>
  <c r="B302" i="5"/>
  <c r="B341" i="5"/>
  <c r="B316" i="5"/>
  <c r="B345" i="5"/>
  <c r="B315" i="5"/>
  <c r="B344" i="5"/>
  <c r="B314" i="5"/>
  <c r="B343" i="5"/>
  <c r="B313" i="5"/>
  <c r="B342" i="5"/>
  <c r="B312" i="5"/>
  <c r="B336" i="5"/>
  <c r="B346" i="5"/>
  <c r="B335" i="5"/>
  <c r="B340" i="5"/>
  <c r="B334" i="5"/>
  <c r="B339" i="5"/>
  <c r="B333" i="5"/>
  <c r="B338" i="5"/>
  <c r="B332" i="5"/>
  <c r="B337" i="5"/>
  <c r="B326" i="5"/>
  <c r="B325" i="5"/>
  <c r="B324" i="5"/>
  <c r="B323" i="5"/>
  <c r="B322" i="5"/>
  <c r="B3" i="10"/>
  <c r="B84" i="5"/>
  <c r="B87" i="5"/>
  <c r="B83" i="5"/>
  <c r="B85" i="5"/>
  <c r="B80" i="5"/>
  <c r="B82" i="5"/>
  <c r="B78" i="5"/>
  <c r="B81" i="5"/>
  <c r="B77" i="5"/>
  <c r="B79" i="5"/>
  <c r="B76" i="5"/>
  <c r="B74" i="5"/>
  <c r="B69" i="5"/>
  <c r="B75" i="5"/>
  <c r="B68" i="5"/>
  <c r="B70" i="5"/>
  <c r="B71" i="5"/>
  <c r="B73" i="5"/>
  <c r="B66" i="5"/>
  <c r="B72" i="5"/>
  <c r="B65" i="5"/>
  <c r="B67" i="5"/>
  <c r="B64" i="5"/>
  <c r="B17" i="5"/>
  <c r="B23" i="5"/>
  <c r="B15" i="5"/>
  <c r="B21" i="5"/>
  <c r="B14" i="5"/>
  <c r="B20" i="5"/>
  <c r="B13" i="5"/>
  <c r="B19" i="5"/>
  <c r="B12" i="5"/>
  <c r="B24" i="5"/>
  <c r="B16" i="5"/>
  <c r="K159" i="6"/>
  <c r="K158" i="6"/>
  <c r="K157" i="6"/>
  <c r="K161" i="6"/>
  <c r="K160" i="6"/>
  <c r="K156" i="6"/>
  <c r="B6" i="10"/>
  <c r="C6" i="10"/>
  <c r="A548" i="10"/>
  <c r="A506" i="10"/>
  <c r="A463" i="10"/>
  <c r="A182" i="10"/>
  <c r="K155" i="6"/>
  <c r="C18" i="6"/>
  <c r="C24" i="36"/>
  <c r="AD24" i="36"/>
  <c r="AD6" i="36"/>
  <c r="AD14" i="36"/>
  <c r="C14" i="36"/>
  <c r="C6" i="36"/>
  <c r="C27" i="36"/>
  <c r="C26" i="36"/>
  <c r="C30" i="36"/>
  <c r="C25" i="36"/>
  <c r="AI33" i="36"/>
  <c r="C28" i="36"/>
  <c r="C29" i="36"/>
  <c r="AB28" i="36"/>
  <c r="AN28" i="36" s="1"/>
  <c r="AB29" i="36"/>
  <c r="AN29" i="36" s="1"/>
  <c r="AB26" i="36"/>
  <c r="AN26" i="36" s="1"/>
  <c r="AB27" i="36"/>
  <c r="AN27" i="36" s="1"/>
  <c r="AB24" i="36"/>
  <c r="AN24" i="36" s="1"/>
  <c r="AB25" i="36"/>
  <c r="AB21" i="36"/>
  <c r="AN21" i="36" s="1"/>
  <c r="AB22" i="36"/>
  <c r="AN22" i="36" s="1"/>
  <c r="AB19" i="36"/>
  <c r="AN19" i="36" s="1"/>
  <c r="AB20" i="36"/>
  <c r="AN20" i="36" s="1"/>
  <c r="AB17" i="36"/>
  <c r="AN17" i="36" s="1"/>
  <c r="AB18" i="36"/>
  <c r="AN18" i="36" s="1"/>
  <c r="AB15" i="36"/>
  <c r="AN15" i="36" s="1"/>
  <c r="AB16" i="36"/>
  <c r="AN16" i="36" s="1"/>
  <c r="AB14" i="36"/>
  <c r="AN14" i="36" s="1"/>
  <c r="AB12" i="36"/>
  <c r="AN12" i="36" s="1"/>
  <c r="AB13" i="36"/>
  <c r="AN13" i="36" s="1"/>
  <c r="AB10" i="36"/>
  <c r="AN10" i="36" s="1"/>
  <c r="AB11" i="36"/>
  <c r="AN11" i="36" s="1"/>
  <c r="AB8" i="36"/>
  <c r="AN8" i="36" s="1"/>
  <c r="AB9" i="36"/>
  <c r="AN9" i="36" s="1"/>
  <c r="AB6" i="36"/>
  <c r="AN6" i="36" s="1"/>
  <c r="AB7" i="36"/>
  <c r="AN7" i="36" s="1"/>
  <c r="S84" i="36"/>
  <c r="S81" i="36"/>
  <c r="S85" i="36"/>
  <c r="S82" i="36"/>
  <c r="P40" i="36"/>
  <c r="S83" i="36"/>
  <c r="G44" i="36"/>
  <c r="H44" i="36" s="1"/>
  <c r="AB44" i="36"/>
  <c r="AD44" i="36"/>
  <c r="AE44" i="36" s="1"/>
  <c r="AF44" i="36"/>
  <c r="G46" i="36"/>
  <c r="H46" i="36" s="1"/>
  <c r="AD46" i="36"/>
  <c r="AE46" i="36" s="1"/>
  <c r="AF46" i="36"/>
  <c r="AB46" i="36"/>
  <c r="H82" i="36"/>
  <c r="G82" i="36"/>
  <c r="AF82" i="36"/>
  <c r="AH82" i="36" s="1"/>
  <c r="AB82" i="36"/>
  <c r="AD82" i="36"/>
  <c r="X62" i="36"/>
  <c r="G49" i="36"/>
  <c r="H49" i="36" s="1"/>
  <c r="AB49" i="36"/>
  <c r="AD49" i="36"/>
  <c r="AE49" i="36" s="1"/>
  <c r="AF49" i="36"/>
  <c r="G85" i="36"/>
  <c r="AB85" i="36"/>
  <c r="H85" i="36"/>
  <c r="AF85" i="36"/>
  <c r="AH85" i="36" s="1"/>
  <c r="AD85" i="36"/>
  <c r="AE85" i="36" s="1"/>
  <c r="G81" i="36"/>
  <c r="AF81" i="36"/>
  <c r="AH81" i="36" s="1"/>
  <c r="AD81" i="36"/>
  <c r="AE81" i="36" s="1"/>
  <c r="H81" i="36"/>
  <c r="AB81" i="36"/>
  <c r="X65" i="36"/>
  <c r="G80" i="36"/>
  <c r="H80" i="36"/>
  <c r="G48" i="36"/>
  <c r="H48" i="36" s="1"/>
  <c r="AD48" i="36"/>
  <c r="AE48" i="36" s="1"/>
  <c r="AF48" i="36"/>
  <c r="AB48" i="36"/>
  <c r="G45" i="36"/>
  <c r="H45" i="36" s="1"/>
  <c r="AB45" i="36"/>
  <c r="AD45" i="36"/>
  <c r="AE45" i="36" s="1"/>
  <c r="AF45" i="36"/>
  <c r="G47" i="36"/>
  <c r="H47" i="36" s="1"/>
  <c r="AF47" i="36"/>
  <c r="AD47" i="36"/>
  <c r="AE47" i="36" s="1"/>
  <c r="AB47" i="36"/>
  <c r="AD84" i="36"/>
  <c r="AE84" i="36" s="1"/>
  <c r="H84" i="36"/>
  <c r="AB84" i="36"/>
  <c r="G84" i="36"/>
  <c r="AF84" i="36"/>
  <c r="AH84" i="36" s="1"/>
  <c r="X64" i="36"/>
  <c r="X63" i="36"/>
  <c r="AD79" i="36"/>
  <c r="H79" i="36"/>
  <c r="G79" i="36"/>
  <c r="G50" i="36"/>
  <c r="H50" i="36" s="1"/>
  <c r="AD50" i="36"/>
  <c r="AE50" i="36" s="1"/>
  <c r="AB50" i="36"/>
  <c r="AF50" i="36"/>
  <c r="AF83" i="36"/>
  <c r="AH83" i="36" s="1"/>
  <c r="AB83" i="36"/>
  <c r="AD83" i="36"/>
  <c r="AE83" i="36" s="1"/>
  <c r="G83" i="36"/>
  <c r="H83" i="36"/>
  <c r="X66" i="36"/>
  <c r="X67" i="36"/>
  <c r="AB43" i="36"/>
  <c r="AD43" i="36"/>
  <c r="AB42" i="36"/>
  <c r="AG42" i="36" s="1"/>
  <c r="AD42" i="36"/>
  <c r="AD78" i="36"/>
  <c r="AD77" i="36"/>
  <c r="AD76" i="36"/>
  <c r="S80" i="36"/>
  <c r="AD80" i="36"/>
  <c r="AB80" i="36"/>
  <c r="AD41" i="36"/>
  <c r="AD40" i="36"/>
  <c r="AB79" i="36"/>
  <c r="AB78" i="36"/>
  <c r="AB76" i="36"/>
  <c r="AH34" i="36" s="1"/>
  <c r="AB61" i="36"/>
  <c r="AI61" i="36" s="1"/>
  <c r="AB60" i="36"/>
  <c r="AB59" i="36"/>
  <c r="AI59" i="36" s="1"/>
  <c r="AB58" i="36"/>
  <c r="AB77" i="36"/>
  <c r="AC88" i="36"/>
  <c r="AC79" i="36"/>
  <c r="S77" i="36"/>
  <c r="S78" i="36"/>
  <c r="S79" i="36"/>
  <c r="S76" i="36"/>
  <c r="X59" i="36"/>
  <c r="X61" i="36"/>
  <c r="X60" i="36"/>
  <c r="X58" i="36"/>
  <c r="P44" i="36"/>
  <c r="P48" i="36"/>
  <c r="P49" i="36"/>
  <c r="P46" i="36"/>
  <c r="P47" i="36"/>
  <c r="P43" i="36"/>
  <c r="P45" i="36"/>
  <c r="P42" i="36"/>
  <c r="P41" i="36"/>
  <c r="A86" i="37"/>
  <c r="R15" i="33"/>
  <c r="A87" i="37"/>
  <c r="A26" i="11"/>
  <c r="AL18" i="33" s="1"/>
  <c r="A44" i="2"/>
  <c r="A45" i="2"/>
  <c r="A37" i="2"/>
  <c r="A36" i="2"/>
  <c r="A33" i="2"/>
  <c r="A34" i="2"/>
  <c r="A18" i="2"/>
  <c r="A19" i="2"/>
  <c r="A14" i="2"/>
  <c r="C191" i="9"/>
  <c r="C187" i="9"/>
  <c r="C188" i="9"/>
  <c r="C190" i="9"/>
  <c r="C186" i="9"/>
  <c r="C184" i="9"/>
  <c r="C189" i="9"/>
  <c r="C185" i="9"/>
  <c r="C149" i="9"/>
  <c r="C145" i="9"/>
  <c r="C142" i="9"/>
  <c r="C148" i="9"/>
  <c r="C144" i="9"/>
  <c r="C147" i="9"/>
  <c r="C143" i="9"/>
  <c r="C146" i="9"/>
  <c r="C107" i="9"/>
  <c r="C103" i="9"/>
  <c r="C106" i="9"/>
  <c r="C102" i="9"/>
  <c r="C105" i="9"/>
  <c r="C101" i="9"/>
  <c r="C104" i="9"/>
  <c r="C64" i="9"/>
  <c r="C65" i="9"/>
  <c r="C62" i="9"/>
  <c r="C63" i="9"/>
  <c r="C23" i="9"/>
  <c r="C17" i="9"/>
  <c r="C21" i="9"/>
  <c r="C22" i="9"/>
  <c r="C19" i="9"/>
  <c r="C20" i="9"/>
  <c r="C18" i="9"/>
  <c r="F60" i="2"/>
  <c r="F66" i="2"/>
  <c r="F59" i="2"/>
  <c r="F65" i="2"/>
  <c r="F58" i="2"/>
  <c r="F64" i="2"/>
  <c r="E57" i="2"/>
  <c r="E63" i="2"/>
  <c r="D57" i="2"/>
  <c r="D63" i="2"/>
  <c r="C57" i="2"/>
  <c r="C63" i="2"/>
  <c r="C27" i="2"/>
  <c r="N68" i="37"/>
  <c r="N71" i="37"/>
  <c r="N69" i="37"/>
  <c r="N72" i="37"/>
  <c r="B323" i="6"/>
  <c r="B333" i="6"/>
  <c r="B300" i="6"/>
  <c r="B312" i="6"/>
  <c r="B278" i="6"/>
  <c r="B289" i="6"/>
  <c r="B253" i="6"/>
  <c r="B266" i="6"/>
  <c r="B237" i="6"/>
  <c r="B182" i="6"/>
  <c r="B199" i="6"/>
  <c r="F292" i="6"/>
  <c r="F303" i="6"/>
  <c r="F270" i="6"/>
  <c r="F281" i="6"/>
  <c r="F241" i="6"/>
  <c r="F256" i="6"/>
  <c r="F203" i="6"/>
  <c r="F224" i="6"/>
  <c r="F170" i="6"/>
  <c r="F187" i="6"/>
  <c r="B189" i="6"/>
  <c r="C54" i="36"/>
  <c r="C37" i="36"/>
  <c r="AG34" i="28"/>
  <c r="AL34" i="28"/>
  <c r="AI83" i="28"/>
  <c r="AR14" i="28"/>
  <c r="J111" i="37"/>
  <c r="J110" i="37"/>
  <c r="G3" i="28"/>
  <c r="G17" i="28"/>
  <c r="J108" i="37"/>
  <c r="I4" i="28"/>
  <c r="I18" i="28"/>
  <c r="H4" i="28"/>
  <c r="H18" i="28"/>
  <c r="G5" i="28"/>
  <c r="G19" i="28"/>
  <c r="G4" i="28"/>
  <c r="G18" i="28"/>
  <c r="F4" i="28"/>
  <c r="E4" i="28"/>
  <c r="D5" i="28"/>
  <c r="D4" i="28"/>
  <c r="J101" i="37"/>
  <c r="J102" i="37"/>
  <c r="N5" i="37"/>
  <c r="J84" i="37"/>
  <c r="M6" i="37"/>
  <c r="I85" i="37"/>
  <c r="L6" i="37"/>
  <c r="H85" i="37"/>
  <c r="K6" i="37"/>
  <c r="G85" i="37"/>
  <c r="K5" i="37"/>
  <c r="G84" i="37"/>
  <c r="N34" i="37"/>
  <c r="N35" i="37"/>
  <c r="N39" i="37"/>
  <c r="N43" i="37"/>
  <c r="N47" i="37"/>
  <c r="N51" i="37"/>
  <c r="N55" i="37"/>
  <c r="N59" i="37"/>
  <c r="N63" i="37"/>
  <c r="N41" i="37"/>
  <c r="N49" i="37"/>
  <c r="N57" i="37"/>
  <c r="N42" i="37"/>
  <c r="N50" i="37"/>
  <c r="N54" i="37"/>
  <c r="N36" i="37"/>
  <c r="N40" i="37"/>
  <c r="N44" i="37"/>
  <c r="N48" i="37"/>
  <c r="N52" i="37"/>
  <c r="N56" i="37"/>
  <c r="N60" i="37"/>
  <c r="N37" i="37"/>
  <c r="N45" i="37"/>
  <c r="N53" i="37"/>
  <c r="N61" i="37"/>
  <c r="N38" i="37"/>
  <c r="N46" i="37"/>
  <c r="N58" i="37"/>
  <c r="N62" i="37"/>
  <c r="B44" i="1"/>
  <c r="B200" i="2" s="1"/>
  <c r="B111" i="37" s="1"/>
  <c r="E15" i="38"/>
  <c r="C25" i="38"/>
  <c r="G24" i="38"/>
  <c r="C15" i="38"/>
  <c r="G14" i="38"/>
  <c r="B29" i="28"/>
  <c r="B26" i="37" s="1"/>
  <c r="A43" i="11"/>
  <c r="AL25" i="33" s="1"/>
  <c r="R42" i="33"/>
  <c r="A5" i="37"/>
  <c r="B168" i="2"/>
  <c r="B104" i="37" s="1"/>
  <c r="B201" i="2"/>
  <c r="B112" i="37" s="1"/>
  <c r="B191" i="2"/>
  <c r="A74" i="37"/>
  <c r="A42" i="11"/>
  <c r="B42" i="11"/>
  <c r="B43" i="11"/>
  <c r="H185" i="2"/>
  <c r="F196" i="2"/>
  <c r="G185" i="2"/>
  <c r="E196" i="2"/>
  <c r="F185" i="2"/>
  <c r="D196" i="2"/>
  <c r="E185" i="2"/>
  <c r="C196" i="2"/>
  <c r="E184" i="2"/>
  <c r="C195" i="2"/>
  <c r="B158" i="2"/>
  <c r="F16" i="1"/>
  <c r="AH16" i="38"/>
  <c r="AM16" i="38" s="1"/>
  <c r="K23" i="38"/>
  <c r="K13" i="38"/>
  <c r="B13" i="38"/>
  <c r="F15" i="38"/>
  <c r="M14" i="38"/>
  <c r="H14" i="38"/>
  <c r="D25" i="38"/>
  <c r="J24" i="38"/>
  <c r="J14" i="38"/>
  <c r="F25" i="38"/>
  <c r="M24" i="38"/>
  <c r="H24" i="38"/>
  <c r="G13" i="38"/>
  <c r="L14" i="38"/>
  <c r="I24" i="38"/>
  <c r="I14" i="38"/>
  <c r="L24" i="38"/>
  <c r="E24" i="38"/>
  <c r="E14" i="38"/>
  <c r="I23" i="38"/>
  <c r="I13" i="38"/>
  <c r="L23" i="38"/>
  <c r="L13" i="38"/>
  <c r="C24" i="38"/>
  <c r="C14" i="38"/>
  <c r="B14" i="38"/>
  <c r="B24" i="38"/>
  <c r="G22" i="38"/>
  <c r="G12" i="38"/>
  <c r="B12" i="38"/>
  <c r="I12" i="38"/>
  <c r="I22" i="38"/>
  <c r="AE82" i="36"/>
  <c r="AP83" i="36"/>
  <c r="AP79" i="36"/>
  <c r="AP84" i="36"/>
  <c r="AP82" i="36"/>
  <c r="AP78" i="36"/>
  <c r="AP80" i="36"/>
  <c r="AP85" i="36"/>
  <c r="AP81" i="36"/>
  <c r="AP77" i="36"/>
  <c r="AP76" i="36"/>
  <c r="AO77" i="36"/>
  <c r="AO78" i="36"/>
  <c r="AO79" i="36"/>
  <c r="AO80" i="36"/>
  <c r="AO81" i="36"/>
  <c r="AO82" i="36"/>
  <c r="AO83" i="36"/>
  <c r="AO84" i="36"/>
  <c r="AO85" i="36"/>
  <c r="AO76" i="36"/>
  <c r="BK59" i="36"/>
  <c r="BJ59" i="36" s="1"/>
  <c r="BN59" i="36" s="1"/>
  <c r="BO59" i="36" s="1"/>
  <c r="BQ59" i="36" s="1"/>
  <c r="BK60" i="36"/>
  <c r="BJ60" i="36" s="1"/>
  <c r="BN60" i="36" s="1"/>
  <c r="BO60" i="36" s="1"/>
  <c r="BQ60" i="36" s="1"/>
  <c r="BK58" i="36"/>
  <c r="BJ58" i="36" s="1"/>
  <c r="BN58" i="36" s="1"/>
  <c r="BO58" i="36" s="1"/>
  <c r="BQ58" i="36" s="1"/>
  <c r="A40" i="7"/>
  <c r="A44" i="7"/>
  <c r="AP67" i="36"/>
  <c r="AE67" i="36"/>
  <c r="AO67" i="36"/>
  <c r="AE66" i="36"/>
  <c r="AO66" i="36"/>
  <c r="AE65" i="36"/>
  <c r="AO65" i="36"/>
  <c r="AE64" i="36"/>
  <c r="AO64" i="36"/>
  <c r="AE63" i="36"/>
  <c r="AO63" i="36"/>
  <c r="AE62" i="36"/>
  <c r="AO62" i="36"/>
  <c r="AO61" i="36"/>
  <c r="AU61" i="36" s="1"/>
  <c r="AP66" i="36"/>
  <c r="AP64" i="36"/>
  <c r="AP62" i="36"/>
  <c r="AP60" i="36"/>
  <c r="AP59" i="36"/>
  <c r="AP65" i="36"/>
  <c r="AP63" i="36"/>
  <c r="AP61" i="36"/>
  <c r="AP58" i="36"/>
  <c r="AO60" i="36"/>
  <c r="AO59" i="36"/>
  <c r="AO58" i="36"/>
  <c r="AH50" i="36"/>
  <c r="AO49" i="36"/>
  <c r="AZ49" i="36" s="1"/>
  <c r="AO47" i="36"/>
  <c r="AZ47" i="36" s="1"/>
  <c r="AO46" i="36"/>
  <c r="AZ46" i="36" s="1"/>
  <c r="AO45" i="36"/>
  <c r="AZ45" i="36" s="1"/>
  <c r="AO44" i="36"/>
  <c r="AZ44" i="36" s="1"/>
  <c r="E50" i="36" a="1"/>
  <c r="E50" i="36" s="1"/>
  <c r="AC50" i="36" s="1"/>
  <c r="AP48" i="36"/>
  <c r="AP47" i="36"/>
  <c r="AP46" i="36"/>
  <c r="AP45" i="36"/>
  <c r="AP42" i="36"/>
  <c r="AP44" i="36"/>
  <c r="AP43" i="36"/>
  <c r="AP49" i="36"/>
  <c r="AP41" i="36"/>
  <c r="AP40" i="36"/>
  <c r="AO43" i="36"/>
  <c r="AO42" i="36"/>
  <c r="AG41" i="36"/>
  <c r="AO41" i="36"/>
  <c r="AO40" i="36"/>
  <c r="AO48" i="36"/>
  <c r="AZ48" i="36" s="1"/>
  <c r="F73" i="36"/>
  <c r="F55" i="36"/>
  <c r="O74" i="36"/>
  <c r="R73" i="36"/>
  <c r="O56" i="36"/>
  <c r="N56" i="36"/>
  <c r="N74" i="36"/>
  <c r="N55" i="36"/>
  <c r="N73" i="36"/>
  <c r="N54" i="36"/>
  <c r="N72" i="36"/>
  <c r="P75" i="36"/>
  <c r="P57" i="36"/>
  <c r="AW58" i="36" s="1"/>
  <c r="P73" i="36"/>
  <c r="P55" i="36"/>
  <c r="M74" i="36"/>
  <c r="M56" i="36"/>
  <c r="L74" i="36"/>
  <c r="L56" i="36"/>
  <c r="G55" i="36"/>
  <c r="G73" i="36"/>
  <c r="J55" i="36"/>
  <c r="J73" i="36"/>
  <c r="K55" i="36"/>
  <c r="K73" i="36"/>
  <c r="I73" i="36"/>
  <c r="I55" i="36"/>
  <c r="F75" i="36"/>
  <c r="F57" i="36"/>
  <c r="L73" i="36"/>
  <c r="L55" i="36"/>
  <c r="K72" i="36"/>
  <c r="K54" i="36"/>
  <c r="F72" i="36"/>
  <c r="F54" i="36"/>
  <c r="G57" i="36"/>
  <c r="H57" i="36"/>
  <c r="M57" i="36"/>
  <c r="L57" i="36"/>
  <c r="G74" i="36"/>
  <c r="G56" i="36"/>
  <c r="H74" i="36"/>
  <c r="H56" i="36"/>
  <c r="H75" i="36"/>
  <c r="G75" i="36"/>
  <c r="M75" i="36"/>
  <c r="L75" i="36"/>
  <c r="B54" i="36"/>
  <c r="B72" i="36"/>
  <c r="S56" i="36"/>
  <c r="V56" i="36"/>
  <c r="T57" i="36"/>
  <c r="V57" i="36"/>
  <c r="U56" i="36"/>
  <c r="W56" i="36"/>
  <c r="R56" i="36"/>
  <c r="Q56" i="36"/>
  <c r="S57" i="36"/>
  <c r="K39" i="36"/>
  <c r="K38" i="36"/>
  <c r="J38" i="36"/>
  <c r="I38" i="36"/>
  <c r="H38" i="36"/>
  <c r="G39" i="36"/>
  <c r="G38" i="36"/>
  <c r="F39" i="36"/>
  <c r="F38" i="36"/>
  <c r="A52" i="36"/>
  <c r="F37" i="36"/>
  <c r="B37" i="36"/>
  <c r="B199" i="2"/>
  <c r="B110" i="37" s="1"/>
  <c r="C176" i="2"/>
  <c r="B17" i="37"/>
  <c r="A51" i="8"/>
  <c r="B8" i="37"/>
  <c r="S72" i="36"/>
  <c r="B5" i="37"/>
  <c r="B84" i="37"/>
  <c r="B78" i="28"/>
  <c r="A14" i="11"/>
  <c r="C23" i="11"/>
  <c r="AM15" i="33" s="1"/>
  <c r="AU15" i="33" s="1" a="1"/>
  <c r="AU15" i="33" s="1"/>
  <c r="E70" i="37"/>
  <c r="H24" i="11"/>
  <c r="AR16" i="33" s="1"/>
  <c r="H73" i="37"/>
  <c r="D23" i="11"/>
  <c r="AN15" i="33" s="1"/>
  <c r="D70" i="37"/>
  <c r="C24" i="11"/>
  <c r="AM16" i="33" s="1"/>
  <c r="AU16" i="33" s="1" a="1"/>
  <c r="AU16" i="33" s="1"/>
  <c r="E73" i="37"/>
  <c r="D24" i="11"/>
  <c r="AN16" i="33" s="1"/>
  <c r="D73" i="37"/>
  <c r="G23" i="11"/>
  <c r="AQ15" i="33" s="1"/>
  <c r="G70" i="37"/>
  <c r="G24" i="11"/>
  <c r="AQ16" i="33" s="1"/>
  <c r="G73" i="37"/>
  <c r="E23" i="11"/>
  <c r="AO15" i="33" s="1"/>
  <c r="F70" i="37"/>
  <c r="E24" i="11"/>
  <c r="AO16" i="33" s="1"/>
  <c r="F73" i="37"/>
  <c r="J23" i="11"/>
  <c r="AT15" i="33" s="1"/>
  <c r="J70" i="37"/>
  <c r="H23" i="11"/>
  <c r="AR15" i="33" s="1"/>
  <c r="H70" i="37"/>
  <c r="J24" i="11"/>
  <c r="AT16" i="33" s="1"/>
  <c r="J73" i="37"/>
  <c r="B78" i="37"/>
  <c r="B16" i="37"/>
  <c r="B27" i="37"/>
  <c r="B73" i="37"/>
  <c r="B70" i="37"/>
  <c r="B67" i="37"/>
  <c r="A44" i="11"/>
  <c r="AS18" i="28"/>
  <c r="E55" i="36"/>
  <c r="E73" i="36"/>
  <c r="D55" i="36"/>
  <c r="D73" i="36"/>
  <c r="D54" i="36"/>
  <c r="D72" i="36"/>
  <c r="C72" i="36"/>
  <c r="A54" i="36"/>
  <c r="A72" i="36"/>
  <c r="X54" i="36"/>
  <c r="E38" i="36"/>
  <c r="D38" i="36"/>
  <c r="D37" i="36"/>
  <c r="A56" i="36"/>
  <c r="AI91" i="28"/>
  <c r="H211" i="5"/>
  <c r="I224" i="5"/>
  <c r="G212" i="5"/>
  <c r="H225" i="5"/>
  <c r="F212" i="5"/>
  <c r="G225" i="5"/>
  <c r="E211" i="5"/>
  <c r="F225" i="5"/>
  <c r="C51" i="8"/>
  <c r="F34" i="8"/>
  <c r="F31" i="8"/>
  <c r="G32" i="8"/>
  <c r="F36" i="8"/>
  <c r="F32" i="8"/>
  <c r="F33" i="8"/>
  <c r="H32" i="8"/>
  <c r="F37" i="8"/>
  <c r="F35" i="8"/>
  <c r="A26" i="8"/>
  <c r="B29" i="8"/>
  <c r="A28" i="8"/>
  <c r="A29" i="8"/>
  <c r="A27" i="8"/>
  <c r="B28" i="8"/>
  <c r="M15" i="33"/>
  <c r="I15" i="33"/>
  <c r="G15" i="33"/>
  <c r="E15" i="33"/>
  <c r="O15" i="33"/>
  <c r="C15" i="33"/>
  <c r="A15" i="33"/>
  <c r="C4" i="2"/>
  <c r="D187" i="2" s="1"/>
  <c r="F10" i="33"/>
  <c r="E13" i="1"/>
  <c r="B10" i="11"/>
  <c r="E11" i="1"/>
  <c r="D188" i="2" l="1"/>
  <c r="D190" i="2"/>
  <c r="D186" i="2"/>
  <c r="B175" i="2"/>
  <c r="AH33" i="36"/>
  <c r="AN25" i="36"/>
  <c r="AF27" i="36"/>
  <c r="AI58" i="36"/>
  <c r="AZ84" i="36"/>
  <c r="BD84" i="36"/>
  <c r="AU84" i="36"/>
  <c r="BE84" i="36" s="1"/>
  <c r="AU80" i="36"/>
  <c r="BE80" i="36" s="1"/>
  <c r="AZ80" i="36"/>
  <c r="BD80" i="36"/>
  <c r="AS45" i="36"/>
  <c r="AU45" i="36"/>
  <c r="AQ45" i="36"/>
  <c r="AU47" i="36"/>
  <c r="AS47" i="36"/>
  <c r="AQ47" i="36"/>
  <c r="AZ62" i="36"/>
  <c r="AU62" i="36"/>
  <c r="BS62" i="36"/>
  <c r="AU64" i="36"/>
  <c r="BS64" i="36"/>
  <c r="AZ64" i="36"/>
  <c r="BS66" i="36"/>
  <c r="AU66" i="36"/>
  <c r="AZ66" i="36"/>
  <c r="BD83" i="36"/>
  <c r="AU83" i="36"/>
  <c r="BE83" i="36" s="1"/>
  <c r="AZ83" i="36"/>
  <c r="BD79" i="36"/>
  <c r="AZ79" i="36"/>
  <c r="AU79" i="36"/>
  <c r="BE79" i="36" s="1"/>
  <c r="BS60" i="36"/>
  <c r="AU60" i="36"/>
  <c r="BT60" i="36" s="1"/>
  <c r="AZ60" i="36"/>
  <c r="BD82" i="36"/>
  <c r="AZ82" i="36"/>
  <c r="AU82" i="36"/>
  <c r="BE82" i="36" s="1"/>
  <c r="AU49" i="36"/>
  <c r="AS49" i="36"/>
  <c r="AQ49" i="36"/>
  <c r="AU48" i="36"/>
  <c r="AQ48" i="36"/>
  <c r="AS48" i="36"/>
  <c r="AU44" i="36"/>
  <c r="AQ44" i="36"/>
  <c r="AS44" i="36"/>
  <c r="AU46" i="36"/>
  <c r="AS46" i="36"/>
  <c r="AQ46" i="36"/>
  <c r="BS63" i="36"/>
  <c r="AU63" i="36"/>
  <c r="AZ63" i="36"/>
  <c r="AU65" i="36"/>
  <c r="BT65" i="36" s="1"/>
  <c r="BS65" i="36"/>
  <c r="AZ65" i="36"/>
  <c r="AU67" i="36"/>
  <c r="AZ67" i="36"/>
  <c r="BS67" i="36"/>
  <c r="AU85" i="36"/>
  <c r="BE85" i="36" s="1"/>
  <c r="BD85" i="36"/>
  <c r="AZ85" i="36"/>
  <c r="AZ81" i="36"/>
  <c r="BD81" i="36"/>
  <c r="AU81" i="36"/>
  <c r="BE81" i="36" s="1"/>
  <c r="AU58" i="36"/>
  <c r="AU59" i="36"/>
  <c r="AU78" i="36"/>
  <c r="AU76" i="36"/>
  <c r="AU77" i="36"/>
  <c r="AU43" i="36"/>
  <c r="AS43" i="36"/>
  <c r="AQ43" i="36"/>
  <c r="AU42" i="36"/>
  <c r="AS42" i="36"/>
  <c r="AQ42" i="36"/>
  <c r="AS79" i="36"/>
  <c r="AU40" i="36"/>
  <c r="AU41" i="36"/>
  <c r="AS40" i="36"/>
  <c r="AS41" i="36"/>
  <c r="AQ40" i="36"/>
  <c r="AQ41" i="36"/>
  <c r="I81" i="36"/>
  <c r="I82" i="36"/>
  <c r="I84" i="36"/>
  <c r="I85" i="36"/>
  <c r="I83" i="36"/>
  <c r="AI60" i="36"/>
  <c r="AK6" i="36"/>
  <c r="C6" i="28" s="1"/>
  <c r="AK15" i="36"/>
  <c r="C21" i="28" s="1"/>
  <c r="P50" i="36"/>
  <c r="E14" i="2"/>
  <c r="E18" i="2"/>
  <c r="E22" i="2"/>
  <c r="E26" i="2"/>
  <c r="E34" i="2"/>
  <c r="E38" i="2"/>
  <c r="E42" i="2"/>
  <c r="E20" i="2"/>
  <c r="E28" i="2"/>
  <c r="E36" i="2"/>
  <c r="E44" i="2"/>
  <c r="E29" i="2"/>
  <c r="E37" i="2"/>
  <c r="E45" i="2"/>
  <c r="E15" i="2"/>
  <c r="E19" i="2"/>
  <c r="E23" i="2"/>
  <c r="E27" i="2"/>
  <c r="E39" i="2"/>
  <c r="E43" i="2"/>
  <c r="E24" i="2"/>
  <c r="E21" i="2"/>
  <c r="E25" i="2"/>
  <c r="E33" i="2"/>
  <c r="F28" i="2"/>
  <c r="F27" i="2"/>
  <c r="F26" i="2"/>
  <c r="AF22" i="36"/>
  <c r="M25" i="37" s="1"/>
  <c r="AG22" i="36"/>
  <c r="AK22" i="36"/>
  <c r="C28" i="28" s="1"/>
  <c r="AK9" i="36"/>
  <c r="C9" i="28" s="1"/>
  <c r="AF9" i="36"/>
  <c r="M11" i="37" s="1"/>
  <c r="AG9" i="36"/>
  <c r="AL16" i="38"/>
  <c r="AI16" i="38"/>
  <c r="AJ16" i="38"/>
  <c r="AK16" i="38" a="1"/>
  <c r="AK16" i="38" s="1"/>
  <c r="AG64" i="36"/>
  <c r="AI64" i="36"/>
  <c r="AR84" i="36"/>
  <c r="AT84" i="36" s="1"/>
  <c r="BC84" i="36"/>
  <c r="AS84" i="36"/>
  <c r="AY84" i="36"/>
  <c r="AQ84" i="36"/>
  <c r="AQ80" i="36"/>
  <c r="AR80" i="36"/>
  <c r="AT80" i="36" s="1"/>
  <c r="BC80" i="36"/>
  <c r="AS80" i="36"/>
  <c r="AG79" i="36"/>
  <c r="AI79" i="36"/>
  <c r="AY62" i="36"/>
  <c r="AR62" i="36"/>
  <c r="AT62" i="36" s="1"/>
  <c r="AS62" i="36"/>
  <c r="AQ62" i="36"/>
  <c r="AS64" i="36"/>
  <c r="AR64" i="36"/>
  <c r="AT64" i="36" s="1"/>
  <c r="AY64" i="36"/>
  <c r="AQ64" i="36"/>
  <c r="AR65" i="36"/>
  <c r="AT65" i="36" s="1"/>
  <c r="AQ65" i="36"/>
  <c r="AS65" i="36"/>
  <c r="AY65" i="36"/>
  <c r="AQ66" i="36"/>
  <c r="AS66" i="36"/>
  <c r="AY66" i="36"/>
  <c r="AR66" i="36"/>
  <c r="AT66" i="36" s="1"/>
  <c r="AR67" i="36"/>
  <c r="AT67" i="36" s="1"/>
  <c r="AY67" i="36"/>
  <c r="AS67" i="36"/>
  <c r="AQ67" i="36"/>
  <c r="BC85" i="36"/>
  <c r="AR85" i="36"/>
  <c r="AT85" i="36" s="1"/>
  <c r="AS85" i="36"/>
  <c r="AY85" i="36"/>
  <c r="AQ85" i="36"/>
  <c r="AI83" i="36"/>
  <c r="AG83" i="36"/>
  <c r="BC81" i="36"/>
  <c r="AR81" i="36"/>
  <c r="AT81" i="36" s="1"/>
  <c r="AS81" i="36"/>
  <c r="AY81" i="36"/>
  <c r="AQ81" i="36"/>
  <c r="AY63" i="36"/>
  <c r="AS63" i="36"/>
  <c r="AQ63" i="36"/>
  <c r="AR63" i="36"/>
  <c r="AT63" i="36" s="1"/>
  <c r="AI62" i="36"/>
  <c r="AG62" i="36"/>
  <c r="AI65" i="36"/>
  <c r="AG65" i="36"/>
  <c r="AI85" i="36"/>
  <c r="AG85" i="36"/>
  <c r="AI84" i="36"/>
  <c r="AG84" i="36"/>
  <c r="AY82" i="36"/>
  <c r="AR82" i="36"/>
  <c r="AT82" i="36" s="1"/>
  <c r="AQ82" i="36"/>
  <c r="BC82" i="36"/>
  <c r="AS82" i="36"/>
  <c r="AI81" i="36"/>
  <c r="AG81" i="36"/>
  <c r="AG80" i="36"/>
  <c r="AI80" i="36"/>
  <c r="AI63" i="36"/>
  <c r="AG63" i="36"/>
  <c r="AG66" i="36"/>
  <c r="AI66" i="36"/>
  <c r="AG67" i="36"/>
  <c r="AI67" i="36"/>
  <c r="BC83" i="36"/>
  <c r="AS83" i="36"/>
  <c r="AY83" i="36"/>
  <c r="AQ83" i="36"/>
  <c r="AR83" i="36"/>
  <c r="AT83" i="36" s="1"/>
  <c r="AI82" i="36"/>
  <c r="AG82" i="36"/>
  <c r="AQ79" i="36"/>
  <c r="AR79" i="36"/>
  <c r="AT79" i="36" s="1"/>
  <c r="AR78" i="36"/>
  <c r="AT78" i="36" s="1"/>
  <c r="AS78" i="36"/>
  <c r="AQ78" i="36"/>
  <c r="AQ77" i="36"/>
  <c r="AR77" i="36"/>
  <c r="AT77" i="36" s="1"/>
  <c r="AS77" i="36"/>
  <c r="AS76" i="36"/>
  <c r="AR76" i="36"/>
  <c r="AT76" i="36" s="1"/>
  <c r="AQ76" i="36"/>
  <c r="AI78" i="36"/>
  <c r="AG78" i="36"/>
  <c r="AG77" i="36"/>
  <c r="AI77" i="36"/>
  <c r="AI76" i="36"/>
  <c r="AG76" i="36"/>
  <c r="BK61" i="36"/>
  <c r="BJ61" i="36" s="1"/>
  <c r="BN61" i="36" s="1"/>
  <c r="BO61" i="36" s="1"/>
  <c r="BQ61" i="36" s="1"/>
  <c r="BK65" i="36"/>
  <c r="BJ65" i="36" s="1"/>
  <c r="BO65" i="36"/>
  <c r="BQ65" i="36" s="1"/>
  <c r="BR65" i="36" s="1"/>
  <c r="BK64" i="36"/>
  <c r="BJ64" i="36" s="1"/>
  <c r="BO64" i="36"/>
  <c r="BQ64" i="36" s="1"/>
  <c r="BR64" i="36" s="1"/>
  <c r="BK67" i="36"/>
  <c r="BJ67" i="36" s="1"/>
  <c r="BO67" i="36"/>
  <c r="BQ67" i="36" s="1"/>
  <c r="BR67" i="36" s="1"/>
  <c r="BK63" i="36"/>
  <c r="BJ63" i="36" s="1"/>
  <c r="BO63" i="36"/>
  <c r="BQ63" i="36" s="1"/>
  <c r="BR63" i="36" s="1"/>
  <c r="BK66" i="36"/>
  <c r="BJ66" i="36" s="1"/>
  <c r="BO66" i="36"/>
  <c r="BQ66" i="36" s="1"/>
  <c r="BR66" i="36" s="1"/>
  <c r="BK62" i="36"/>
  <c r="BJ62" i="36" s="1"/>
  <c r="BO62" i="36"/>
  <c r="BQ62" i="36" s="1"/>
  <c r="BR62" i="36" s="1"/>
  <c r="AR59" i="36"/>
  <c r="AT59" i="36" s="1"/>
  <c r="AS59" i="36"/>
  <c r="AR60" i="36"/>
  <c r="AT60" i="36" s="1"/>
  <c r="AS60" i="36"/>
  <c r="AR61" i="36"/>
  <c r="AT61" i="36" s="1"/>
  <c r="AS61" i="36"/>
  <c r="AR58" i="36"/>
  <c r="AT58" i="36" s="1"/>
  <c r="AS58" i="36"/>
  <c r="AQ61" i="36"/>
  <c r="AQ58" i="36"/>
  <c r="AQ59" i="36"/>
  <c r="AQ60" i="36"/>
  <c r="AG59" i="36"/>
  <c r="AG60" i="36"/>
  <c r="AG61" i="36"/>
  <c r="AG58" i="36"/>
  <c r="AI50" i="36"/>
  <c r="AG50" i="36"/>
  <c r="AG49" i="36"/>
  <c r="AI49" i="36"/>
  <c r="AH49" i="36"/>
  <c r="AR49" i="36"/>
  <c r="AT49" i="36" s="1"/>
  <c r="AG48" i="36"/>
  <c r="AI48" i="36"/>
  <c r="AR48" i="36"/>
  <c r="AT48" i="36" s="1"/>
  <c r="AG47" i="36"/>
  <c r="AI47" i="36"/>
  <c r="AR47" i="36"/>
  <c r="AT47" i="36" s="1"/>
  <c r="AH47" i="36"/>
  <c r="AG46" i="36"/>
  <c r="AI46" i="36"/>
  <c r="AH46" i="36"/>
  <c r="AR46" i="36"/>
  <c r="AT46" i="36" s="1"/>
  <c r="AH45" i="36"/>
  <c r="AR45" i="36"/>
  <c r="AT45" i="36" s="1"/>
  <c r="AG45" i="36"/>
  <c r="AI45" i="36"/>
  <c r="AG44" i="36"/>
  <c r="AI44" i="36"/>
  <c r="AH44" i="36"/>
  <c r="AR44" i="36"/>
  <c r="AT44" i="36" s="1"/>
  <c r="AR43" i="36"/>
  <c r="AT43" i="36" s="1"/>
  <c r="AG43" i="36"/>
  <c r="AI43" i="36"/>
  <c r="AR41" i="36"/>
  <c r="AT41" i="36" s="1"/>
  <c r="AR40" i="36"/>
  <c r="AT40" i="36" s="1"/>
  <c r="AR42" i="36"/>
  <c r="AT42" i="36" s="1"/>
  <c r="AI40" i="36"/>
  <c r="AG40" i="36"/>
  <c r="AI42" i="36"/>
  <c r="AI41" i="36"/>
  <c r="AF25" i="36"/>
  <c r="AF30" i="36"/>
  <c r="M33" i="37" s="1"/>
  <c r="AF26" i="36"/>
  <c r="M29" i="37" s="1"/>
  <c r="AK23" i="36"/>
  <c r="C29" i="28" s="1"/>
  <c r="AG19" i="36"/>
  <c r="AI19" i="36" s="1"/>
  <c r="AF19" i="36"/>
  <c r="M22" i="37" s="1"/>
  <c r="AG11" i="36"/>
  <c r="AI11" i="36" s="1"/>
  <c r="AF14" i="36"/>
  <c r="AF11" i="36"/>
  <c r="M13" i="37" s="1"/>
  <c r="AF6" i="36"/>
  <c r="AF7" i="36"/>
  <c r="M9" i="37" s="1"/>
  <c r="AG12" i="36"/>
  <c r="AI12" i="36" s="1"/>
  <c r="AF16" i="36"/>
  <c r="AF8" i="36"/>
  <c r="AG21" i="36"/>
  <c r="AI21" i="36" s="1"/>
  <c r="AF23" i="36"/>
  <c r="M26" i="37" s="1"/>
  <c r="AF13" i="36"/>
  <c r="M15" i="37" s="1"/>
  <c r="AG6" i="36"/>
  <c r="AI6" i="36" s="1"/>
  <c r="AK11" i="36"/>
  <c r="C11" i="28" s="1"/>
  <c r="AG20" i="36"/>
  <c r="AI20" i="36" s="1"/>
  <c r="AF15" i="36"/>
  <c r="AK12" i="36"/>
  <c r="C12" i="28" s="1"/>
  <c r="AK21" i="36"/>
  <c r="C27" i="28" s="1"/>
  <c r="AF18" i="36"/>
  <c r="M21" i="37" s="1"/>
  <c r="AF20" i="36"/>
  <c r="M23" i="37" s="1"/>
  <c r="AF12" i="36"/>
  <c r="M14" i="37" s="1"/>
  <c r="AF21" i="36"/>
  <c r="M24" i="37" s="1"/>
  <c r="AG15" i="36"/>
  <c r="AI15" i="36" s="1"/>
  <c r="AK13" i="36"/>
  <c r="C13" i="28" s="1"/>
  <c r="AF10" i="36"/>
  <c r="M12" i="37" s="1"/>
  <c r="AG13" i="36"/>
  <c r="AI13" i="36" s="1"/>
  <c r="AG18" i="36"/>
  <c r="AI18" i="36" s="1"/>
  <c r="AF17" i="36"/>
  <c r="AF29" i="36"/>
  <c r="M32" i="37" s="1"/>
  <c r="AF28" i="36"/>
  <c r="F24" i="11"/>
  <c r="AP16" i="33" s="1"/>
  <c r="F23" i="11"/>
  <c r="AP15" i="33" s="1"/>
  <c r="E9" i="2"/>
  <c r="F9" i="2"/>
  <c r="F45" i="2"/>
  <c r="F43" i="2"/>
  <c r="F39" i="2"/>
  <c r="F37" i="2"/>
  <c r="F33" i="2"/>
  <c r="F44" i="2"/>
  <c r="F42" i="2"/>
  <c r="F40" i="2"/>
  <c r="F38" i="2"/>
  <c r="F36" i="2"/>
  <c r="F34" i="2"/>
  <c r="F24" i="2"/>
  <c r="F18" i="2"/>
  <c r="F14" i="2"/>
  <c r="F29" i="2"/>
  <c r="F25" i="2"/>
  <c r="F23" i="2"/>
  <c r="F21" i="2"/>
  <c r="F19" i="2"/>
  <c r="F15" i="2"/>
  <c r="F13" i="2"/>
  <c r="F30" i="2"/>
  <c r="F22" i="2"/>
  <c r="F20" i="2"/>
  <c r="E13" i="2"/>
  <c r="AO91" i="28"/>
  <c r="AO83" i="28"/>
  <c r="D123" i="2" a="1"/>
  <c r="D121" i="2" a="1"/>
  <c r="D93" i="2" a="1"/>
  <c r="D135" i="2" a="1"/>
  <c r="D95" i="2" a="1"/>
  <c r="D122" i="2" a="1"/>
  <c r="D120" i="2" a="1"/>
  <c r="D134" i="2" a="1"/>
  <c r="D94" i="2" a="1"/>
  <c r="B109" i="2" a="1"/>
  <c r="D93" i="2" l="1"/>
  <c r="D121" i="2"/>
  <c r="D135" i="2"/>
  <c r="D94" i="2"/>
  <c r="D122" i="2"/>
  <c r="B109" i="2"/>
  <c r="D95" i="2"/>
  <c r="D134" i="2"/>
  <c r="D120" i="2"/>
  <c r="D123" i="2"/>
  <c r="BA82" i="36"/>
  <c r="M31" i="37"/>
  <c r="M17" i="37"/>
  <c r="BA60" i="36"/>
  <c r="BA65" i="36"/>
  <c r="BA62" i="36"/>
  <c r="BT62" i="36"/>
  <c r="BA63" i="36"/>
  <c r="BT63" i="36"/>
  <c r="BA67" i="36"/>
  <c r="BT67" i="36"/>
  <c r="BA66" i="36"/>
  <c r="BT66" i="36"/>
  <c r="BA64" i="36"/>
  <c r="BT64" i="36"/>
  <c r="BA85" i="36"/>
  <c r="BA83" i="36"/>
  <c r="BA84" i="36"/>
  <c r="BA79" i="36"/>
  <c r="BA81" i="36"/>
  <c r="BA80" i="36"/>
  <c r="AY80" i="36"/>
  <c r="M30" i="37"/>
  <c r="M28" i="37"/>
  <c r="BR58" i="36"/>
  <c r="BS58" i="36" s="1"/>
  <c r="BR61" i="36"/>
  <c r="BS61" i="36" s="1"/>
  <c r="BT61" i="36" s="1"/>
  <c r="AY61" i="36"/>
  <c r="AZ61" i="36" s="1"/>
  <c r="M8" i="37"/>
  <c r="M10" i="37"/>
  <c r="M18" i="37"/>
  <c r="M20" i="37"/>
  <c r="M19" i="37"/>
  <c r="AY58" i="36"/>
  <c r="AY79" i="36"/>
  <c r="BC79" i="36"/>
  <c r="AY60" i="36"/>
  <c r="G60" i="36" s="1"/>
  <c r="AI22" i="36"/>
  <c r="AO22" i="36"/>
  <c r="AH22" i="36" s="1"/>
  <c r="AJ22" i="36" s="1"/>
  <c r="AL22" i="36" s="1"/>
  <c r="AM22" i="36" s="1"/>
  <c r="AO9" i="36"/>
  <c r="AH9" i="36" s="1"/>
  <c r="AJ9" i="36" s="1"/>
  <c r="AL9" i="36" s="1"/>
  <c r="AM9" i="36" s="1"/>
  <c r="F9" i="36" s="1"/>
  <c r="E9" i="36" s="1"/>
  <c r="AI9" i="36"/>
  <c r="L16" i="38"/>
  <c r="N16" i="38" s="1"/>
  <c r="C165" i="2" s="1"/>
  <c r="D165" i="2" s="1"/>
  <c r="F5" i="38"/>
  <c r="G5" i="38" s="1"/>
  <c r="AY77" i="36"/>
  <c r="BC78" i="36"/>
  <c r="BD78" i="36" s="1"/>
  <c r="BE78" i="36" s="1"/>
  <c r="BC76" i="36"/>
  <c r="BD76" i="36" s="1"/>
  <c r="BE76" i="36" s="1"/>
  <c r="BC77" i="36"/>
  <c r="BD77" i="36" s="1"/>
  <c r="BE77" i="36" s="1"/>
  <c r="AY78" i="36"/>
  <c r="AY76" i="36"/>
  <c r="BR59" i="36"/>
  <c r="BS59" i="36" s="1"/>
  <c r="BT59" i="36" s="1"/>
  <c r="BR60" i="36"/>
  <c r="H60" i="36" s="1"/>
  <c r="AY59" i="36"/>
  <c r="AZ59" i="36" s="1"/>
  <c r="AY49" i="36"/>
  <c r="AH48" i="36"/>
  <c r="AY47" i="36"/>
  <c r="AY44" i="36"/>
  <c r="AY46" i="36"/>
  <c r="AY45" i="36"/>
  <c r="AY41" i="36"/>
  <c r="AZ41" i="36" s="1"/>
  <c r="AY40" i="36"/>
  <c r="AY43" i="36"/>
  <c r="AY42" i="36"/>
  <c r="AO12" i="36"/>
  <c r="AH12" i="36" s="1"/>
  <c r="AJ12" i="36" s="1"/>
  <c r="AL12" i="36" s="1"/>
  <c r="AM12" i="36" s="1"/>
  <c r="F12" i="36" s="1"/>
  <c r="AO21" i="36"/>
  <c r="AH21" i="36" s="1"/>
  <c r="AJ21" i="36" s="1"/>
  <c r="AL21" i="36" s="1"/>
  <c r="AM21" i="36" s="1"/>
  <c r="AF24" i="36"/>
  <c r="AO11" i="36"/>
  <c r="AH11" i="36" s="1"/>
  <c r="AJ11" i="36" s="1"/>
  <c r="AL11" i="36" s="1"/>
  <c r="AM11" i="36" s="1"/>
  <c r="F11" i="36" s="1"/>
  <c r="AY48" i="36"/>
  <c r="AO20" i="36"/>
  <c r="AH20" i="36" s="1"/>
  <c r="AJ20" i="36" s="1"/>
  <c r="AL20" i="36" s="1"/>
  <c r="AM20" i="36" s="1"/>
  <c r="AO6" i="36"/>
  <c r="AH6" i="36" s="1"/>
  <c r="AJ6" i="36" s="1"/>
  <c r="AL6" i="36" s="1"/>
  <c r="AM6" i="36" s="1"/>
  <c r="F6" i="36" s="1"/>
  <c r="AO18" i="36"/>
  <c r="AH18" i="36" s="1"/>
  <c r="AJ18" i="36" s="1"/>
  <c r="AL18" i="36" s="1"/>
  <c r="AM18" i="36" s="1"/>
  <c r="AO15" i="36"/>
  <c r="AH15" i="36" s="1"/>
  <c r="AJ15" i="36" s="1"/>
  <c r="AL15" i="36" s="1"/>
  <c r="AM15" i="36" s="1"/>
  <c r="AO13" i="36"/>
  <c r="AH13" i="36" s="1"/>
  <c r="AJ13" i="36" s="1"/>
  <c r="AL13" i="36" s="1"/>
  <c r="AM13" i="36" s="1"/>
  <c r="F13" i="36" s="1"/>
  <c r="AO19" i="36"/>
  <c r="AH19" i="36" s="1"/>
  <c r="AJ19" i="36" s="1"/>
  <c r="AL19" i="36" s="1"/>
  <c r="AM19" i="36" s="1"/>
  <c r="I23" i="11"/>
  <c r="AS15" i="33" s="1"/>
  <c r="I70" i="37"/>
  <c r="I24" i="11"/>
  <c r="AS16" i="33" s="1"/>
  <c r="I73" i="37"/>
  <c r="AZ43" i="36" l="1"/>
  <c r="BA43" i="36" s="1"/>
  <c r="G43" i="36" s="1"/>
  <c r="H43" i="36" s="1"/>
  <c r="AF43" i="36" s="1"/>
  <c r="AE43" i="36" s="1"/>
  <c r="AZ42" i="36"/>
  <c r="BA42" i="36" s="1"/>
  <c r="G42" i="36" s="1"/>
  <c r="H42" i="36" s="1"/>
  <c r="AF42" i="36" s="1"/>
  <c r="AZ40" i="36"/>
  <c r="BA40" i="36" s="1"/>
  <c r="AZ58" i="36"/>
  <c r="AZ76" i="36"/>
  <c r="BA76" i="36" s="1"/>
  <c r="H76" i="36"/>
  <c r="AZ77" i="36"/>
  <c r="BA77" i="36" s="1"/>
  <c r="AZ78" i="36"/>
  <c r="BA78" i="36" s="1"/>
  <c r="G78" i="36" s="1"/>
  <c r="I79" i="36"/>
  <c r="AF79" i="36" s="1"/>
  <c r="AH79" i="36" s="1"/>
  <c r="I80" i="36"/>
  <c r="AF80" i="36" s="1"/>
  <c r="I60" i="36"/>
  <c r="AF60" i="36" s="1"/>
  <c r="E6" i="36"/>
  <c r="K8" i="37"/>
  <c r="F15" i="36"/>
  <c r="E15" i="36" s="1"/>
  <c r="F21" i="36"/>
  <c r="E21" i="36" s="1"/>
  <c r="F22" i="36"/>
  <c r="E22" i="36" s="1"/>
  <c r="F20" i="36"/>
  <c r="E20" i="36" s="1"/>
  <c r="F19" i="36"/>
  <c r="K22" i="37" s="1"/>
  <c r="F18" i="36"/>
  <c r="E18" i="36" s="1"/>
  <c r="E11" i="36"/>
  <c r="E13" i="36"/>
  <c r="E12" i="36"/>
  <c r="K11" i="37"/>
  <c r="K14" i="37"/>
  <c r="K13" i="37"/>
  <c r="AK18" i="36"/>
  <c r="C24" i="28" s="1"/>
  <c r="AK20" i="36"/>
  <c r="C26" i="28" s="1"/>
  <c r="AK19" i="36"/>
  <c r="C25" i="28" s="1"/>
  <c r="L4" i="8"/>
  <c r="AI9" i="2"/>
  <c r="B121" i="2"/>
  <c r="J87" i="28"/>
  <c r="C111" i="9"/>
  <c r="B216" i="5"/>
  <c r="C200" i="9"/>
  <c r="R7" i="9"/>
  <c r="M91" i="9"/>
  <c r="C71" i="9"/>
  <c r="A3" i="7"/>
  <c r="F2" i="8"/>
  <c r="AN35" i="28"/>
  <c r="C33" i="8"/>
  <c r="I6" i="9"/>
  <c r="B178" i="9"/>
  <c r="B176" i="9"/>
  <c r="B177" i="9"/>
  <c r="AC12" i="2"/>
  <c r="B190" i="5"/>
  <c r="C207" i="9"/>
  <c r="AO9" i="2"/>
  <c r="AO74" i="2"/>
  <c r="AL105" i="2"/>
  <c r="AJ88" i="28"/>
  <c r="H94" i="5"/>
  <c r="B227" i="5"/>
  <c r="C130" i="6"/>
  <c r="R89" i="9"/>
  <c r="K130" i="9"/>
  <c r="AN105" i="2"/>
  <c r="AQ9" i="2"/>
  <c r="AQ74" i="2"/>
  <c r="B151" i="9"/>
  <c r="C164" i="9"/>
  <c r="D3" i="10"/>
  <c r="C73" i="9"/>
  <c r="F14" i="11"/>
  <c r="AP12" i="33" s="1"/>
  <c r="G13" i="33" s="1"/>
  <c r="F15" i="12"/>
  <c r="AT19" i="28"/>
  <c r="O5" i="10"/>
  <c r="G9" i="34"/>
  <c r="K89" i="9"/>
  <c r="B44" i="9"/>
  <c r="A208" i="5"/>
  <c r="A21" i="30"/>
  <c r="A123" i="5"/>
  <c r="B33" i="28"/>
  <c r="E299" i="5"/>
  <c r="G4" i="9"/>
  <c r="J3" i="31"/>
  <c r="E15" i="11"/>
  <c r="R90" i="9"/>
  <c r="I34" i="1"/>
  <c r="C124" i="6"/>
  <c r="A13" i="11"/>
  <c r="M4" i="28"/>
  <c r="B90" i="28"/>
  <c r="B69" i="37" s="1"/>
  <c r="B133" i="6"/>
  <c r="K154" i="6"/>
  <c r="I172" i="9"/>
  <c r="U5" i="10"/>
  <c r="B89" i="28"/>
  <c r="B68" i="37" s="1"/>
  <c r="B128" i="6"/>
  <c r="E120" i="5"/>
  <c r="M74" i="2"/>
  <c r="B95" i="9"/>
  <c r="B144" i="6"/>
  <c r="H15" i="11"/>
  <c r="I15" i="11"/>
  <c r="F15" i="11"/>
  <c r="G15" i="11"/>
  <c r="J15" i="11"/>
  <c r="A9" i="11"/>
  <c r="A9" i="33"/>
  <c r="B45" i="11"/>
  <c r="AG77" i="2"/>
  <c r="V18" i="28"/>
  <c r="R18" i="28"/>
  <c r="AA18" i="28"/>
  <c r="B74" i="9"/>
  <c r="B72" i="9"/>
  <c r="B73" i="9"/>
  <c r="G89" i="9"/>
  <c r="B30" i="1"/>
  <c r="A5" i="8"/>
  <c r="A6" i="30" s="1"/>
  <c r="B278" i="5"/>
  <c r="F144" i="2"/>
  <c r="B42" i="2"/>
  <c r="N86" i="28"/>
  <c r="B80" i="2"/>
  <c r="AK79" i="28"/>
  <c r="AT18" i="28"/>
  <c r="E95" i="28"/>
  <c r="AK87" i="28"/>
  <c r="N95" i="28"/>
  <c r="AN34" i="28"/>
  <c r="AT4" i="28"/>
  <c r="E5" i="37" s="1"/>
  <c r="B22" i="11"/>
  <c r="AA77" i="2"/>
  <c r="U78" i="28"/>
  <c r="X33" i="28"/>
  <c r="AD3" i="28"/>
  <c r="AD17" i="28"/>
  <c r="U86" i="28"/>
  <c r="B99" i="5"/>
  <c r="B105" i="5"/>
  <c r="J4" i="9"/>
  <c r="H226" i="5"/>
  <c r="C51" i="9"/>
  <c r="AC77" i="2"/>
  <c r="E3" i="5"/>
  <c r="R4" i="8"/>
  <c r="C193" i="9"/>
  <c r="M4" i="8"/>
  <c r="J88" i="9"/>
  <c r="B68" i="9"/>
  <c r="I223" i="5"/>
  <c r="B139" i="6"/>
  <c r="B31" i="28"/>
  <c r="E25" i="6"/>
  <c r="A29" i="14"/>
  <c r="C37" i="2"/>
  <c r="B45" i="9"/>
  <c r="E298" i="5"/>
  <c r="T77" i="2"/>
  <c r="G123" i="5"/>
  <c r="J174" i="9"/>
  <c r="C204" i="9"/>
  <c r="B41" i="11"/>
  <c r="S133" i="9"/>
  <c r="A23" i="28"/>
  <c r="A52" i="28"/>
  <c r="D105" i="2"/>
  <c r="C37" i="8"/>
  <c r="AD77" i="2"/>
  <c r="B73" i="2"/>
  <c r="S175" i="9"/>
  <c r="B189" i="5"/>
  <c r="D91" i="9"/>
  <c r="B33" i="5"/>
  <c r="B43" i="5"/>
  <c r="B38" i="5"/>
  <c r="B4" i="5"/>
  <c r="B128" i="9"/>
  <c r="D15" i="12"/>
  <c r="F164" i="2"/>
  <c r="AA3" i="10"/>
  <c r="AC3" i="10"/>
  <c r="D174" i="9"/>
  <c r="B137" i="5"/>
  <c r="B3" i="5"/>
  <c r="R174" i="9"/>
  <c r="F108" i="2"/>
  <c r="B30" i="14"/>
  <c r="C157" i="9"/>
  <c r="S6" i="9"/>
  <c r="C45" i="9"/>
  <c r="D3" i="6"/>
  <c r="B82" i="28"/>
  <c r="B72" i="37" s="1"/>
  <c r="I175" i="9"/>
  <c r="B115" i="9"/>
  <c r="B114" i="9"/>
  <c r="B116" i="9"/>
  <c r="B141" i="9"/>
  <c r="B120" i="9"/>
  <c r="G74" i="2"/>
  <c r="M9" i="2"/>
  <c r="G5" i="9"/>
  <c r="A1" i="33"/>
  <c r="C147" i="6"/>
  <c r="B162" i="9"/>
  <c r="I108" i="2"/>
  <c r="R131" i="9"/>
  <c r="B219" i="5"/>
  <c r="A298" i="5"/>
  <c r="E89" i="9"/>
  <c r="A100" i="7"/>
  <c r="F95" i="5"/>
  <c r="A210" i="5"/>
  <c r="B42" i="28"/>
  <c r="B34" i="37" s="1"/>
  <c r="B44" i="28"/>
  <c r="B45" i="28"/>
  <c r="B43" i="28"/>
  <c r="B47" i="28"/>
  <c r="B46" i="28"/>
  <c r="B35" i="2"/>
  <c r="A4" i="33"/>
  <c r="A4" i="11"/>
  <c r="X108" i="2"/>
  <c r="AJ80" i="28"/>
  <c r="E18" i="6"/>
  <c r="G61" i="5"/>
  <c r="O6" i="9"/>
  <c r="P6" i="9"/>
  <c r="F4" i="9"/>
  <c r="C141" i="9"/>
  <c r="B133" i="9"/>
  <c r="C74" i="9"/>
  <c r="R85" i="2"/>
  <c r="R87" i="2" s="1"/>
  <c r="AN85" i="2"/>
  <c r="AN87" i="2" s="1"/>
  <c r="AF85" i="2"/>
  <c r="AF87" i="2" s="1"/>
  <c r="B78" i="2"/>
  <c r="J85" i="2"/>
  <c r="J87" i="2" s="1"/>
  <c r="T85" i="2"/>
  <c r="T87" i="2" s="1"/>
  <c r="N85" i="2"/>
  <c r="N87" i="2" s="1"/>
  <c r="X85" i="2"/>
  <c r="X87" i="2" s="1"/>
  <c r="AD85" i="2"/>
  <c r="AD87" i="2" s="1"/>
  <c r="AH85" i="2"/>
  <c r="AH87" i="2" s="1"/>
  <c r="AB85" i="2"/>
  <c r="AB87" i="2" s="1"/>
  <c r="AL85" i="2"/>
  <c r="AL87" i="2" s="1"/>
  <c r="V85" i="2"/>
  <c r="V87" i="2" s="1"/>
  <c r="AP85" i="2"/>
  <c r="AP87" i="2" s="1"/>
  <c r="AR85" i="2"/>
  <c r="AR87" i="2" s="1"/>
  <c r="AJ85" i="2"/>
  <c r="AJ87" i="2" s="1"/>
  <c r="H85" i="2"/>
  <c r="H87" i="2" s="1"/>
  <c r="P85" i="2"/>
  <c r="P87" i="2" s="1"/>
  <c r="L85" i="2"/>
  <c r="L87" i="2" s="1"/>
  <c r="AT85" i="2"/>
  <c r="AT87" i="2" s="1"/>
  <c r="Z85" i="2"/>
  <c r="Z87" i="2" s="1"/>
  <c r="F16" i="12"/>
  <c r="B185" i="9"/>
  <c r="E145" i="2"/>
  <c r="G14" i="11"/>
  <c r="AQ12" i="33" s="1"/>
  <c r="I13" i="33" s="1"/>
  <c r="C197" i="9"/>
  <c r="O87" i="28"/>
  <c r="H77" i="2"/>
  <c r="B36" i="2"/>
  <c r="B93" i="37"/>
  <c r="F136" i="2"/>
  <c r="C134" i="9"/>
  <c r="F5" i="5"/>
  <c r="B35" i="11"/>
  <c r="E88" i="28"/>
  <c r="J108" i="2"/>
  <c r="C17" i="2"/>
  <c r="P133" i="9"/>
  <c r="B139" i="5"/>
  <c r="M87" i="28"/>
  <c r="B328" i="5"/>
  <c r="C196" i="9"/>
  <c r="H73" i="1"/>
  <c r="C132" i="2"/>
  <c r="X5" i="10"/>
  <c r="AL18" i="28"/>
  <c r="AG4" i="28"/>
  <c r="AB4" i="28"/>
  <c r="AL4" i="28"/>
  <c r="AG18" i="28"/>
  <c r="AQ18" i="28"/>
  <c r="S4" i="28"/>
  <c r="W4" i="28"/>
  <c r="AQ4" i="28"/>
  <c r="A14" i="32"/>
  <c r="A1" i="31"/>
  <c r="B48" i="1"/>
  <c r="C127" i="6"/>
  <c r="B143" i="9"/>
  <c r="H131" i="9"/>
  <c r="P131" i="9"/>
  <c r="O131" i="9"/>
  <c r="J173" i="9"/>
  <c r="B179" i="9"/>
  <c r="E133" i="2"/>
  <c r="E16" i="6"/>
  <c r="H49" i="1"/>
  <c r="A54" i="28"/>
  <c r="C3" i="5"/>
  <c r="Z105" i="2"/>
  <c r="E130" i="9"/>
  <c r="P12" i="2"/>
  <c r="F89" i="9"/>
  <c r="A30" i="7"/>
  <c r="B143" i="6"/>
  <c r="C94" i="28"/>
  <c r="B59" i="9"/>
  <c r="A23" i="30"/>
  <c r="Q47" i="9"/>
  <c r="C35" i="2"/>
  <c r="AF12" i="2"/>
  <c r="J4" i="28"/>
  <c r="D18" i="28"/>
  <c r="J18" i="28"/>
  <c r="M77" i="2"/>
  <c r="C115" i="9"/>
  <c r="B291" i="5"/>
  <c r="AH19" i="28"/>
  <c r="Y80" i="28"/>
  <c r="T80" i="28"/>
  <c r="T88" i="28"/>
  <c r="T18" i="28"/>
  <c r="AG35" i="28"/>
  <c r="AI18" i="28"/>
  <c r="AM19" i="28"/>
  <c r="AM5" i="28"/>
  <c r="AC5" i="28"/>
  <c r="X19" i="28"/>
  <c r="AN4" i="28"/>
  <c r="X5" i="28"/>
  <c r="AB35" i="28"/>
  <c r="AC19" i="28"/>
  <c r="R35" i="28"/>
  <c r="AI4" i="28"/>
  <c r="AI88" i="28"/>
  <c r="AD80" i="28"/>
  <c r="Y88" i="28"/>
  <c r="AD88" i="28"/>
  <c r="AN18" i="28"/>
  <c r="AR5" i="28"/>
  <c r="AD18" i="28"/>
  <c r="AI80" i="28"/>
  <c r="Y4" i="28"/>
  <c r="W35" i="28"/>
  <c r="AH5" i="28"/>
  <c r="Q4" i="28"/>
  <c r="AD4" i="28"/>
  <c r="AR19" i="28"/>
  <c r="AL35" i="28"/>
  <c r="T4" i="28"/>
  <c r="F21" i="12"/>
  <c r="C14" i="11"/>
  <c r="AM12" i="33" s="1"/>
  <c r="A13" i="33" s="1"/>
  <c r="C123" i="9"/>
  <c r="A16" i="8"/>
  <c r="A17" i="30" s="1"/>
  <c r="F111" i="2"/>
  <c r="I81" i="2"/>
  <c r="H96" i="2"/>
  <c r="E176" i="2"/>
  <c r="E84" i="37"/>
  <c r="H136" i="2"/>
  <c r="F125" i="2"/>
  <c r="R5" i="9"/>
  <c r="E4" i="5"/>
  <c r="B144" i="2"/>
  <c r="C224" i="5"/>
  <c r="B92" i="37"/>
  <c r="P90" i="9"/>
  <c r="O90" i="9"/>
  <c r="AE108" i="2"/>
  <c r="AD12" i="2"/>
  <c r="B58" i="5"/>
  <c r="N4" i="8"/>
  <c r="C2" i="8"/>
  <c r="D5" i="9"/>
  <c r="C143" i="6"/>
  <c r="Q172" i="9"/>
  <c r="AB77" i="2"/>
  <c r="F3" i="8"/>
  <c r="C18" i="28"/>
  <c r="AF105" i="2"/>
  <c r="W9" i="2"/>
  <c r="Q108" i="2"/>
  <c r="B77" i="1"/>
  <c r="B290" i="5"/>
  <c r="R12" i="2"/>
  <c r="D78" i="28"/>
  <c r="C210" i="5"/>
  <c r="B174" i="2"/>
  <c r="B198" i="9"/>
  <c r="B199" i="9"/>
  <c r="B200" i="9"/>
  <c r="M79" i="28"/>
  <c r="K132" i="9"/>
  <c r="C150" i="9"/>
  <c r="D4" i="5"/>
  <c r="B82" i="14"/>
  <c r="A94" i="5"/>
  <c r="F24" i="12"/>
  <c r="E144" i="2"/>
  <c r="A3" i="5"/>
  <c r="D41" i="12"/>
  <c r="C30" i="9"/>
  <c r="E127" i="5"/>
  <c r="F49" i="1"/>
  <c r="F5" i="10"/>
  <c r="B29" i="14"/>
  <c r="B35" i="5"/>
  <c r="B40" i="5"/>
  <c r="B30" i="5"/>
  <c r="F172" i="9"/>
  <c r="B66" i="9"/>
  <c r="C173" i="2"/>
  <c r="B82" i="2"/>
  <c r="C139" i="6"/>
  <c r="P95" i="28"/>
  <c r="AM87" i="28"/>
  <c r="AV4" i="28"/>
  <c r="G5" i="37" s="1"/>
  <c r="AM79" i="28"/>
  <c r="AV18" i="28"/>
  <c r="AP34" i="28"/>
  <c r="G95" i="28"/>
  <c r="B97" i="9"/>
  <c r="B98" i="9"/>
  <c r="B3" i="31"/>
  <c r="I88" i="9"/>
  <c r="G88" i="28"/>
  <c r="B73" i="1"/>
  <c r="D29" i="14"/>
  <c r="A21" i="8"/>
  <c r="Q4" i="9"/>
  <c r="G201" i="5"/>
  <c r="B15" i="28"/>
  <c r="O9" i="2"/>
  <c r="C24" i="9"/>
  <c r="K7" i="9"/>
  <c r="O89" i="9"/>
  <c r="P89" i="9"/>
  <c r="H6" i="9"/>
  <c r="B121" i="9"/>
  <c r="B13" i="2"/>
  <c r="B14" i="11"/>
  <c r="B214" i="5"/>
  <c r="B91" i="2"/>
  <c r="B33" i="12"/>
  <c r="B120" i="6"/>
  <c r="E119" i="2"/>
  <c r="D133" i="2"/>
  <c r="G37" i="8"/>
  <c r="U3" i="8"/>
  <c r="E14" i="6"/>
  <c r="B107" i="5"/>
  <c r="D9" i="2"/>
  <c r="C110" i="9"/>
  <c r="A3" i="30"/>
  <c r="B25" i="1"/>
  <c r="B18" i="12"/>
  <c r="I164" i="2"/>
  <c r="K145" i="2"/>
  <c r="X105" i="2"/>
  <c r="R49" i="9"/>
  <c r="C87" i="9"/>
  <c r="G120" i="5"/>
  <c r="N12" i="2"/>
  <c r="P172" i="9"/>
  <c r="P4" i="9"/>
  <c r="P88" i="9"/>
  <c r="P46" i="9"/>
  <c r="P130" i="9"/>
  <c r="C97" i="9"/>
  <c r="E3" i="31"/>
  <c r="O130" i="9"/>
  <c r="O46" i="9"/>
  <c r="O88" i="9"/>
  <c r="O4" i="9"/>
  <c r="O172" i="9"/>
  <c r="B130" i="6"/>
  <c r="B230" i="5"/>
  <c r="N5" i="10"/>
  <c r="B14" i="2"/>
  <c r="A20" i="8"/>
  <c r="G50" i="1"/>
  <c r="M175" i="9"/>
  <c r="M94" i="28"/>
  <c r="G80" i="28"/>
  <c r="C60" i="9"/>
  <c r="B99" i="28"/>
  <c r="B29" i="2"/>
  <c r="B287" i="5"/>
  <c r="B67" i="9"/>
  <c r="C144" i="2"/>
  <c r="C163" i="2"/>
  <c r="B23" i="11"/>
  <c r="B20" i="11"/>
  <c r="E199" i="5"/>
  <c r="B76" i="1"/>
  <c r="AB12" i="2"/>
  <c r="M132" i="9"/>
  <c r="B93" i="9"/>
  <c r="B94" i="9"/>
  <c r="B92" i="9"/>
  <c r="B131" i="6"/>
  <c r="AE86" i="28"/>
  <c r="AE78" i="28"/>
  <c r="AN3" i="28"/>
  <c r="AN17" i="28"/>
  <c r="AH33" i="28"/>
  <c r="C14" i="6"/>
  <c r="C82" i="9"/>
  <c r="V77" i="2"/>
  <c r="C9" i="34"/>
  <c r="C81" i="9"/>
  <c r="A7" i="8"/>
  <c r="A8" i="30" s="1"/>
  <c r="B104" i="2"/>
  <c r="AX18" i="28"/>
  <c r="AO87" i="28"/>
  <c r="AR34" i="28"/>
  <c r="I95" i="28"/>
  <c r="AO79" i="28"/>
  <c r="AX4" i="28"/>
  <c r="I5" i="37" s="1"/>
  <c r="R95" i="28"/>
  <c r="C136" i="9"/>
  <c r="C117" i="9"/>
  <c r="I14" i="11"/>
  <c r="AS12" i="33" s="1"/>
  <c r="M13" i="33" s="1"/>
  <c r="D145" i="2"/>
  <c r="Y18" i="28"/>
  <c r="Q18" i="28"/>
  <c r="C145" i="6"/>
  <c r="J33" i="28"/>
  <c r="P17" i="28"/>
  <c r="P3" i="28"/>
  <c r="B142" i="5"/>
  <c r="C183" i="9"/>
  <c r="F19" i="12"/>
  <c r="M96" i="28"/>
  <c r="B40" i="2"/>
  <c r="B38" i="9"/>
  <c r="B39" i="9"/>
  <c r="B40" i="9"/>
  <c r="C14" i="9"/>
  <c r="D42" i="12"/>
  <c r="B26" i="14"/>
  <c r="A16" i="7"/>
  <c r="A3" i="31"/>
  <c r="B95" i="2"/>
  <c r="D21" i="12"/>
  <c r="B133" i="5"/>
  <c r="C32" i="9"/>
  <c r="A37" i="11"/>
  <c r="D30" i="12"/>
  <c r="C55" i="9"/>
  <c r="T108" i="2"/>
  <c r="L4" i="28"/>
  <c r="F18" i="28"/>
  <c r="L18" i="28"/>
  <c r="AB105" i="2"/>
  <c r="C13" i="2"/>
  <c r="C121" i="9"/>
  <c r="G173" i="9"/>
  <c r="D132" i="2"/>
  <c r="E58" i="5"/>
  <c r="B29" i="1"/>
  <c r="A10" i="32"/>
  <c r="D88" i="9"/>
  <c r="T5" i="10"/>
  <c r="G77" i="2"/>
  <c r="F73" i="1"/>
  <c r="N105" i="2"/>
  <c r="B110" i="9"/>
  <c r="B184" i="5"/>
  <c r="A18" i="32"/>
  <c r="C202" i="9"/>
  <c r="C68" i="9"/>
  <c r="B37" i="11"/>
  <c r="S89" i="9"/>
  <c r="K2" i="8"/>
  <c r="E5" i="9"/>
  <c r="B3" i="6"/>
  <c r="G33" i="28"/>
  <c r="AI108" i="2"/>
  <c r="AQ108" i="2"/>
  <c r="AO108" i="2"/>
  <c r="AK108" i="2"/>
  <c r="AG108" i="2"/>
  <c r="AM108" i="2"/>
  <c r="B13" i="1"/>
  <c r="I9" i="2"/>
  <c r="F132" i="2"/>
  <c r="B46" i="5"/>
  <c r="C120" i="5"/>
  <c r="G299" i="5"/>
  <c r="D8" i="2"/>
  <c r="B338" i="6"/>
  <c r="AS74" i="2"/>
  <c r="AS9" i="2"/>
  <c r="AP105" i="2"/>
  <c r="C174" i="2"/>
  <c r="C201" i="9"/>
  <c r="B171" i="2"/>
  <c r="E91" i="2"/>
  <c r="B29" i="11"/>
  <c r="C58" i="9"/>
  <c r="E3" i="1"/>
  <c r="B138" i="9"/>
  <c r="AT12" i="2"/>
  <c r="AN12" i="2"/>
  <c r="AP12" i="2"/>
  <c r="AL12" i="2"/>
  <c r="AR12" i="2"/>
  <c r="AJ12" i="2"/>
  <c r="C45" i="2"/>
  <c r="I91" i="9"/>
  <c r="AL24" i="33"/>
  <c r="R41" i="33"/>
  <c r="F34" i="28"/>
  <c r="D173" i="2"/>
  <c r="D58" i="5"/>
  <c r="L6" i="9"/>
  <c r="A29" i="11"/>
  <c r="F121" i="5"/>
  <c r="H87" i="28"/>
  <c r="B208" i="9"/>
  <c r="B207" i="9"/>
  <c r="B206" i="9"/>
  <c r="S91" i="9"/>
  <c r="C4" i="5"/>
  <c r="C26" i="30"/>
  <c r="Q12" i="2"/>
  <c r="K33" i="28"/>
  <c r="C137" i="6"/>
  <c r="C203" i="9"/>
  <c r="F145" i="2"/>
  <c r="H5" i="9"/>
  <c r="D35" i="28"/>
  <c r="K90" i="9"/>
  <c r="E87" i="28"/>
  <c r="H4" i="10"/>
  <c r="A197" i="5"/>
  <c r="D91" i="2"/>
  <c r="AI74" i="2"/>
  <c r="C99" i="9"/>
  <c r="A6" i="8"/>
  <c r="A7" i="30" s="1"/>
  <c r="C142" i="12"/>
  <c r="D58" i="14"/>
  <c r="B25" i="9"/>
  <c r="B24" i="11"/>
  <c r="B21" i="11"/>
  <c r="F61" i="12"/>
  <c r="F60" i="12"/>
  <c r="C11" i="9"/>
  <c r="Z3" i="10"/>
  <c r="A60" i="12"/>
  <c r="A32" i="11"/>
  <c r="B36" i="9"/>
  <c r="A21" i="11"/>
  <c r="B34" i="2"/>
  <c r="A37" i="8"/>
  <c r="B79" i="9"/>
  <c r="C94" i="5"/>
  <c r="B201" i="9"/>
  <c r="Y77" i="2"/>
  <c r="C36" i="9"/>
  <c r="D4" i="8"/>
  <c r="G16" i="1"/>
  <c r="B8" i="2"/>
  <c r="E7" i="9"/>
  <c r="AJ86" i="28"/>
  <c r="B7" i="9"/>
  <c r="O79" i="28"/>
  <c r="C96" i="9"/>
  <c r="B5" i="1"/>
  <c r="B27" i="6"/>
  <c r="A21" i="32"/>
  <c r="U108" i="2"/>
  <c r="S49" i="9"/>
  <c r="R11" i="33"/>
  <c r="A16" i="11"/>
  <c r="AL14" i="33" s="1"/>
  <c r="A31" i="11"/>
  <c r="H14" i="11"/>
  <c r="AR12" i="33" s="1"/>
  <c r="K13" i="33" s="1"/>
  <c r="C150" i="12"/>
  <c r="B53" i="9"/>
  <c r="B6" i="2"/>
  <c r="B60" i="9"/>
  <c r="D2" i="8"/>
  <c r="Y9" i="2"/>
  <c r="C3" i="28"/>
  <c r="C141" i="6"/>
  <c r="C35" i="9"/>
  <c r="C118" i="9"/>
  <c r="D84" i="37"/>
  <c r="G136" i="2"/>
  <c r="G96" i="2"/>
  <c r="E111" i="2"/>
  <c r="H81" i="2"/>
  <c r="D176" i="2"/>
  <c r="E125" i="2"/>
  <c r="C13" i="9"/>
  <c r="B82" i="1"/>
  <c r="B5" i="2"/>
  <c r="I4" i="8"/>
  <c r="A1" i="8"/>
  <c r="R40" i="33"/>
  <c r="A40" i="11"/>
  <c r="AL23" i="33" s="1"/>
  <c r="F30" i="12"/>
  <c r="F223" i="5"/>
  <c r="A4" i="14"/>
  <c r="C15" i="6"/>
  <c r="C77" i="9"/>
  <c r="C58" i="5"/>
  <c r="B130" i="2"/>
  <c r="M90" i="9"/>
  <c r="C161" i="9"/>
  <c r="K48" i="9"/>
  <c r="A17" i="8"/>
  <c r="A18" i="30" s="1"/>
  <c r="J47" i="9"/>
  <c r="H113" i="2"/>
  <c r="H127" i="2"/>
  <c r="K83" i="2"/>
  <c r="J138" i="2"/>
  <c r="J98" i="2"/>
  <c r="G178" i="2"/>
  <c r="B78" i="1"/>
  <c r="A6" i="34"/>
  <c r="B35" i="9"/>
  <c r="D110" i="2"/>
  <c r="C9" i="6"/>
  <c r="G47" i="9"/>
  <c r="AJ78" i="28"/>
  <c r="C206" i="9"/>
  <c r="S48" i="9"/>
  <c r="B86" i="9"/>
  <c r="D111" i="2"/>
  <c r="F300" i="5"/>
  <c r="J79" i="28"/>
  <c r="F46" i="9"/>
  <c r="C112" i="9"/>
  <c r="Y108" i="2"/>
  <c r="M174" i="9"/>
  <c r="R48" i="9"/>
  <c r="B60" i="12"/>
  <c r="C165" i="9"/>
  <c r="C29" i="2"/>
  <c r="B145" i="6"/>
  <c r="F60" i="5"/>
  <c r="C3" i="30"/>
  <c r="K5" i="10"/>
  <c r="L90" i="9"/>
  <c r="B75" i="9"/>
  <c r="AE77" i="2"/>
  <c r="A18" i="11"/>
  <c r="A5" i="34"/>
  <c r="B204" i="5"/>
  <c r="AS77" i="2"/>
  <c r="AO77" i="2"/>
  <c r="AI77" i="2"/>
  <c r="AK77" i="2"/>
  <c r="AM77" i="2"/>
  <c r="AQ77" i="2"/>
  <c r="B340" i="6"/>
  <c r="M5" i="28"/>
  <c r="C33" i="9"/>
  <c r="R108" i="2"/>
  <c r="D3" i="5"/>
  <c r="B134" i="2"/>
  <c r="I173" i="9"/>
  <c r="B173" i="2"/>
  <c r="A1" i="34"/>
  <c r="J19" i="28"/>
  <c r="B117" i="9"/>
  <c r="K133" i="9"/>
  <c r="C147" i="12"/>
  <c r="G164" i="2"/>
  <c r="I145" i="2"/>
  <c r="H48" i="9"/>
  <c r="B11" i="9"/>
  <c r="C59" i="14"/>
  <c r="C135" i="6"/>
  <c r="H199" i="5"/>
  <c r="D33" i="28"/>
  <c r="B31" i="2"/>
  <c r="G34" i="8"/>
  <c r="T3" i="8"/>
  <c r="A28" i="14"/>
  <c r="B53" i="28"/>
  <c r="B52" i="28"/>
  <c r="B49" i="28"/>
  <c r="B50" i="28"/>
  <c r="B51" i="28"/>
  <c r="B48" i="28"/>
  <c r="B40" i="37" s="1"/>
  <c r="B153" i="9"/>
  <c r="B155" i="9"/>
  <c r="B154" i="9"/>
  <c r="C41" i="2"/>
  <c r="A60" i="14"/>
  <c r="K79" i="28"/>
  <c r="C20" i="2"/>
  <c r="J130" i="9"/>
  <c r="J131" i="9"/>
  <c r="B81" i="2"/>
  <c r="S12" i="2"/>
  <c r="F22" i="12"/>
  <c r="AD108" i="2"/>
  <c r="G108" i="2"/>
  <c r="C52" i="9"/>
  <c r="J88" i="28"/>
  <c r="C31" i="2"/>
  <c r="I89" i="9"/>
  <c r="A6" i="32"/>
  <c r="Q74" i="2"/>
  <c r="E4" i="10"/>
  <c r="C80" i="9"/>
  <c r="A53" i="28"/>
  <c r="A24" i="28"/>
  <c r="C10" i="34"/>
  <c r="D4" i="9"/>
  <c r="E132" i="2"/>
  <c r="B229" i="5"/>
  <c r="F87" i="28"/>
  <c r="B134" i="6"/>
  <c r="N4" i="28"/>
  <c r="A33" i="11"/>
  <c r="AB79" i="28"/>
  <c r="R79" i="28"/>
  <c r="W87" i="28"/>
  <c r="U34" i="28"/>
  <c r="P34" i="28"/>
  <c r="W79" i="28"/>
  <c r="Z34" i="28"/>
  <c r="AB87" i="28"/>
  <c r="AG87" i="28"/>
  <c r="AG79" i="28"/>
  <c r="AE34" i="28"/>
  <c r="AJ34" i="28"/>
  <c r="R87" i="28"/>
  <c r="L34" i="28"/>
  <c r="K101" i="28"/>
  <c r="A1" i="5"/>
  <c r="L4" i="5" s="1"/>
  <c r="A24" i="7"/>
  <c r="B14" i="9"/>
  <c r="B13" i="9"/>
  <c r="C78" i="9"/>
  <c r="B24" i="6"/>
  <c r="H79" i="28"/>
  <c r="G34" i="28"/>
  <c r="V108" i="2"/>
  <c r="D19" i="12"/>
  <c r="C108" i="9"/>
  <c r="B135" i="2"/>
  <c r="J145" i="2"/>
  <c r="S7" i="9"/>
  <c r="B56" i="9"/>
  <c r="B55" i="9"/>
  <c r="G88" i="9"/>
  <c r="C133" i="6"/>
  <c r="B289" i="5"/>
  <c r="D118" i="2"/>
  <c r="A27" i="11"/>
  <c r="AC4" i="10"/>
  <c r="Z4" i="10"/>
  <c r="D48" i="9"/>
  <c r="D47" i="12"/>
  <c r="C120" i="9"/>
  <c r="F4" i="5"/>
  <c r="B8" i="5"/>
  <c r="B140" i="6"/>
  <c r="J105" i="2"/>
  <c r="AD105" i="2"/>
  <c r="B84" i="1"/>
  <c r="E59" i="14"/>
  <c r="F59" i="5"/>
  <c r="A223" i="5"/>
  <c r="C2" i="14"/>
  <c r="S108" i="2"/>
  <c r="B17" i="1"/>
  <c r="A14" i="8"/>
  <c r="A15" i="30" s="1"/>
  <c r="A28" i="11"/>
  <c r="S47" i="9"/>
  <c r="C93" i="9"/>
  <c r="Q3" i="28"/>
  <c r="E15" i="6"/>
  <c r="N108" i="2"/>
  <c r="A199" i="5"/>
  <c r="B10" i="1"/>
  <c r="C95" i="9"/>
  <c r="B3" i="9"/>
  <c r="B39" i="11"/>
  <c r="H3" i="8"/>
  <c r="C89" i="1"/>
  <c r="C85" i="1"/>
  <c r="F96" i="5"/>
  <c r="I74" i="2"/>
  <c r="H127" i="5"/>
  <c r="E4" i="8"/>
  <c r="B140" i="5"/>
  <c r="B330" i="5"/>
  <c r="D130" i="9"/>
  <c r="B34" i="9"/>
  <c r="B30" i="2"/>
  <c r="O2" i="8"/>
  <c r="C22" i="2"/>
  <c r="AA9" i="2"/>
  <c r="B134" i="5"/>
  <c r="A25" i="30"/>
  <c r="G172" i="9"/>
  <c r="B19" i="1"/>
  <c r="E4" i="6"/>
  <c r="A3" i="34"/>
  <c r="C4" i="28"/>
  <c r="A1" i="11"/>
  <c r="B15" i="6"/>
  <c r="C87" i="28"/>
  <c r="A10" i="8"/>
  <c r="A11" i="30" s="1"/>
  <c r="J50" i="1"/>
  <c r="I46" i="9"/>
  <c r="C153" i="9"/>
  <c r="H132" i="9"/>
  <c r="E223" i="5"/>
  <c r="A2" i="32"/>
  <c r="K9" i="2"/>
  <c r="H3" i="9"/>
  <c r="H50" i="1"/>
  <c r="B23" i="6"/>
  <c r="B204" i="9"/>
  <c r="R133" i="9"/>
  <c r="C144" i="12"/>
  <c r="D43" i="12"/>
  <c r="C3" i="31"/>
  <c r="C3" i="1"/>
  <c r="Z12" i="2"/>
  <c r="O4" i="28"/>
  <c r="B139" i="9"/>
  <c r="B140" i="9"/>
  <c r="G128" i="5"/>
  <c r="B147" i="6"/>
  <c r="G3" i="5"/>
  <c r="G81" i="2"/>
  <c r="N87" i="28"/>
  <c r="C42" i="2"/>
  <c r="C34" i="28"/>
  <c r="C144" i="6"/>
  <c r="Q89" i="9"/>
  <c r="G60" i="5"/>
  <c r="I4" i="10"/>
  <c r="B194" i="9"/>
  <c r="F201" i="5"/>
  <c r="C208" i="9"/>
  <c r="P4" i="8"/>
  <c r="B2" i="10"/>
  <c r="D15" i="11"/>
  <c r="Q4" i="8"/>
  <c r="AC87" i="28"/>
  <c r="V34" i="28"/>
  <c r="S87" i="28"/>
  <c r="X79" i="28"/>
  <c r="AF34" i="28"/>
  <c r="AH87" i="28"/>
  <c r="AH79" i="28"/>
  <c r="AC79" i="28"/>
  <c r="AA34" i="28"/>
  <c r="AK34" i="28"/>
  <c r="S79" i="28"/>
  <c r="M34" i="28"/>
  <c r="Q34" i="28"/>
  <c r="X87" i="28"/>
  <c r="E58" i="14"/>
  <c r="C40" i="2"/>
  <c r="B183" i="9"/>
  <c r="G97" i="5"/>
  <c r="R173" i="9"/>
  <c r="B203" i="2"/>
  <c r="F42" i="12"/>
  <c r="F173" i="9"/>
  <c r="A33" i="8"/>
  <c r="AK12" i="2"/>
  <c r="AI12" i="2"/>
  <c r="AQ12" i="2"/>
  <c r="AM12" i="2"/>
  <c r="AS12" i="2"/>
  <c r="AO12" i="2"/>
  <c r="C223" i="5"/>
  <c r="C201" i="5"/>
  <c r="C24" i="1"/>
  <c r="C24" i="6"/>
  <c r="H164" i="2"/>
  <c r="V105" i="2"/>
  <c r="B22" i="1"/>
  <c r="K131" i="9"/>
  <c r="K6" i="9"/>
  <c r="C137" i="9"/>
  <c r="B192" i="5"/>
  <c r="C38" i="9"/>
  <c r="C91" i="2"/>
  <c r="E128" i="5"/>
  <c r="B106" i="2"/>
  <c r="B110" i="2"/>
  <c r="G177" i="2"/>
  <c r="J97" i="2"/>
  <c r="K82" i="2"/>
  <c r="J137" i="2"/>
  <c r="H126" i="2"/>
  <c r="H112" i="2"/>
  <c r="H174" i="9"/>
  <c r="E3" i="14"/>
  <c r="A30" i="14"/>
  <c r="C212" i="5"/>
  <c r="AA74" i="2"/>
  <c r="B79" i="2"/>
  <c r="C95" i="5"/>
  <c r="W77" i="2"/>
  <c r="S131" i="9"/>
  <c r="D210" i="5"/>
  <c r="P132" i="9"/>
  <c r="O132" i="9"/>
  <c r="O12" i="2"/>
  <c r="B210" i="5"/>
  <c r="D133" i="9"/>
  <c r="Q5" i="28"/>
  <c r="C86" i="28"/>
  <c r="G91" i="2"/>
  <c r="J172" i="9"/>
  <c r="B192" i="9"/>
  <c r="A58" i="5"/>
  <c r="B180" i="9"/>
  <c r="B7" i="1"/>
  <c r="A6" i="33"/>
  <c r="A6" i="11"/>
  <c r="B122" i="6"/>
  <c r="A47" i="7"/>
  <c r="G59" i="5"/>
  <c r="J5" i="9"/>
  <c r="B74" i="1"/>
  <c r="C127" i="5"/>
  <c r="B49" i="1"/>
  <c r="H90" i="9"/>
  <c r="B19" i="2"/>
  <c r="B89" i="37"/>
  <c r="N78" i="28"/>
  <c r="C12" i="9"/>
  <c r="A11" i="11"/>
  <c r="A11" i="33"/>
  <c r="C145" i="12"/>
  <c r="F128" i="5"/>
  <c r="L174" i="9"/>
  <c r="C198" i="9"/>
  <c r="D164" i="2"/>
  <c r="D20" i="12"/>
  <c r="U12" i="2"/>
  <c r="B175" i="9"/>
  <c r="H34" i="28"/>
  <c r="G8" i="34"/>
  <c r="C179" i="9"/>
  <c r="Q131" i="9"/>
  <c r="C3" i="10"/>
  <c r="C17" i="28"/>
  <c r="S3" i="8"/>
  <c r="G33" i="8"/>
  <c r="D30" i="14"/>
  <c r="D26" i="12"/>
  <c r="B112" i="9"/>
  <c r="B111" i="9"/>
  <c r="B113" i="9"/>
  <c r="B102" i="37"/>
  <c r="H45" i="9"/>
  <c r="C16" i="2"/>
  <c r="M95" i="28"/>
  <c r="AJ87" i="28"/>
  <c r="AS4" i="28"/>
  <c r="AJ79" i="28"/>
  <c r="D95" i="28"/>
  <c r="AM34" i="28"/>
  <c r="F96" i="2"/>
  <c r="B3" i="8"/>
  <c r="G12" i="2"/>
  <c r="S1" i="33"/>
  <c r="K14" i="11"/>
  <c r="B119" i="9"/>
  <c r="M49" i="9"/>
  <c r="B122" i="2"/>
  <c r="J80" i="28"/>
  <c r="B126" i="6"/>
  <c r="W74" i="2"/>
  <c r="I3" i="31"/>
  <c r="A23" i="32"/>
  <c r="C24" i="2"/>
  <c r="G133" i="2"/>
  <c r="A28" i="30"/>
  <c r="L87" i="28"/>
  <c r="M48" i="9"/>
  <c r="C135" i="9"/>
  <c r="B86" i="28"/>
  <c r="E73" i="1"/>
  <c r="A8" i="2"/>
  <c r="B20" i="2"/>
  <c r="B170" i="9"/>
  <c r="B171" i="9"/>
  <c r="H2" i="8"/>
  <c r="I48" i="9"/>
  <c r="Q7" i="9"/>
  <c r="C146" i="6"/>
  <c r="D144" i="2"/>
  <c r="Y12" i="2"/>
  <c r="B9" i="6"/>
  <c r="K80" i="28"/>
  <c r="B53" i="14"/>
  <c r="AR77" i="2"/>
  <c r="AT77" i="2"/>
  <c r="AN77" i="2"/>
  <c r="AL77" i="2"/>
  <c r="AJ77" i="2"/>
  <c r="AP77" i="2"/>
  <c r="AC33" i="28"/>
  <c r="AI3" i="28"/>
  <c r="AI17" i="28"/>
  <c r="Z78" i="28"/>
  <c r="Z86" i="28"/>
  <c r="B6" i="5"/>
  <c r="K12" i="2"/>
  <c r="C57" i="9"/>
  <c r="Q77" i="2"/>
  <c r="I47" i="9"/>
  <c r="D47" i="9"/>
  <c r="AE9" i="2"/>
  <c r="A3" i="8"/>
  <c r="B205" i="2"/>
  <c r="C25" i="6"/>
  <c r="B218" i="5"/>
  <c r="C162" i="9"/>
  <c r="C37" i="9"/>
  <c r="F120" i="5"/>
  <c r="M19" i="28"/>
  <c r="D174" i="2"/>
  <c r="B100" i="28"/>
  <c r="AK9" i="2"/>
  <c r="AK74" i="2"/>
  <c r="AH105" i="2"/>
  <c r="B18" i="11"/>
  <c r="D7" i="9"/>
  <c r="C129" i="5"/>
  <c r="AF18" i="28"/>
  <c r="AK4" i="28"/>
  <c r="AF4" i="28"/>
  <c r="R4" i="28"/>
  <c r="AA4" i="28"/>
  <c r="AP4" i="28"/>
  <c r="V4" i="28"/>
  <c r="AK18" i="28"/>
  <c r="AP18" i="28"/>
  <c r="C192" i="9"/>
  <c r="K88" i="28"/>
  <c r="B209" i="2"/>
  <c r="C124" i="9"/>
  <c r="O77" i="2"/>
  <c r="D44" i="12"/>
  <c r="B350" i="5"/>
  <c r="B80" i="1"/>
  <c r="C72" i="9"/>
  <c r="B62" i="9"/>
  <c r="I132" i="9"/>
  <c r="E19" i="6"/>
  <c r="L108" i="2"/>
  <c r="Q9" i="2"/>
  <c r="B3" i="14"/>
  <c r="C28" i="30"/>
  <c r="D46" i="9"/>
  <c r="H200" i="5"/>
  <c r="B84" i="28"/>
  <c r="D3" i="8"/>
  <c r="G96" i="5"/>
  <c r="C76" i="9"/>
  <c r="P175" i="9"/>
  <c r="R21" i="33"/>
  <c r="A30" i="11"/>
  <c r="AL20" i="33" s="1"/>
  <c r="B59" i="14"/>
  <c r="Q88" i="9"/>
  <c r="E18" i="28"/>
  <c r="K18" i="28"/>
  <c r="K4" i="28"/>
  <c r="AM74" i="2"/>
  <c r="AJ105" i="2"/>
  <c r="AM9" i="2"/>
  <c r="D79" i="28"/>
  <c r="C199" i="5"/>
  <c r="O3" i="8"/>
  <c r="B184" i="9"/>
  <c r="B142" i="2"/>
  <c r="I174" i="9"/>
  <c r="D22" i="12"/>
  <c r="H120" i="5"/>
  <c r="A125" i="5"/>
  <c r="G131" i="9"/>
  <c r="G7" i="34"/>
  <c r="B27" i="5"/>
  <c r="B9" i="5"/>
  <c r="B62" i="5"/>
  <c r="H173" i="9"/>
  <c r="G8" i="2"/>
  <c r="O74" i="2"/>
  <c r="V5" i="10"/>
  <c r="AH108" i="2"/>
  <c r="AL108" i="2"/>
  <c r="AN108" i="2"/>
  <c r="AJ108" i="2"/>
  <c r="AF108" i="2"/>
  <c r="AP108" i="2"/>
  <c r="I131" i="9"/>
  <c r="D171" i="9"/>
  <c r="B33" i="11"/>
  <c r="B71" i="2"/>
  <c r="D23" i="12"/>
  <c r="B199" i="5"/>
  <c r="B18" i="2"/>
  <c r="C134" i="6"/>
  <c r="B81" i="1"/>
  <c r="C16" i="6"/>
  <c r="L79" i="28"/>
  <c r="D94" i="28"/>
  <c r="C298" i="5"/>
  <c r="B109" i="9"/>
  <c r="C152" i="9"/>
  <c r="B49" i="9"/>
  <c r="F43" i="12"/>
  <c r="C195" i="9"/>
  <c r="B89" i="2"/>
  <c r="B34" i="5"/>
  <c r="B44" i="5"/>
  <c r="B39" i="5"/>
  <c r="C128" i="5"/>
  <c r="B132" i="5"/>
  <c r="B72" i="1"/>
  <c r="E3" i="8"/>
  <c r="AS17" i="28"/>
  <c r="N77" i="2"/>
  <c r="C119" i="5"/>
  <c r="AH77" i="2"/>
  <c r="B58" i="14"/>
  <c r="B70" i="28"/>
  <c r="B69" i="28"/>
  <c r="B68" i="28"/>
  <c r="B66" i="28"/>
  <c r="B58" i="37" s="1"/>
  <c r="B67" i="28"/>
  <c r="B71" i="28"/>
  <c r="AK80" i="28"/>
  <c r="D2" i="14"/>
  <c r="D87" i="28"/>
  <c r="B298" i="5"/>
  <c r="C18" i="2"/>
  <c r="B51" i="9"/>
  <c r="B50" i="9"/>
  <c r="B52" i="9"/>
  <c r="B118" i="9"/>
  <c r="C159" i="9"/>
  <c r="B10" i="9"/>
  <c r="B8" i="9"/>
  <c r="B9" i="9"/>
  <c r="B217" i="5"/>
  <c r="B223" i="5"/>
  <c r="B48" i="5"/>
  <c r="AE74" i="2"/>
  <c r="B16" i="6"/>
  <c r="B119" i="5"/>
  <c r="B228" i="5"/>
  <c r="D34" i="28"/>
  <c r="C21" i="2"/>
  <c r="H4" i="8"/>
  <c r="U77" i="2"/>
  <c r="L132" i="9"/>
  <c r="A31" i="8"/>
  <c r="B191" i="5"/>
  <c r="O5" i="9"/>
  <c r="P5" i="9"/>
  <c r="C109" i="9"/>
  <c r="D45" i="9"/>
  <c r="D119" i="5"/>
  <c r="J90" i="9"/>
  <c r="C129" i="6"/>
  <c r="B129" i="6"/>
  <c r="G211" i="5"/>
  <c r="A127" i="5"/>
  <c r="Z77" i="2"/>
  <c r="B2" i="7"/>
  <c r="G79" i="28"/>
  <c r="A15" i="32"/>
  <c r="AC9" i="2"/>
  <c r="B16" i="1"/>
  <c r="K4" i="9"/>
  <c r="G80" i="2"/>
  <c r="J5" i="28"/>
  <c r="G130" i="5"/>
  <c r="B36" i="5"/>
  <c r="B31" i="5"/>
  <c r="B41" i="5"/>
  <c r="M3" i="8"/>
  <c r="C126" i="6"/>
  <c r="K5" i="9"/>
  <c r="C205" i="9"/>
  <c r="B96" i="9"/>
  <c r="K88" i="9"/>
  <c r="H224" i="5"/>
  <c r="G9" i="2"/>
  <c r="B76" i="9"/>
  <c r="B127" i="5"/>
  <c r="C132" i="6"/>
  <c r="C39" i="2"/>
  <c r="B16" i="2"/>
  <c r="M133" i="9"/>
  <c r="C70" i="9"/>
  <c r="I50" i="1"/>
  <c r="E60" i="12"/>
  <c r="B211" i="2"/>
  <c r="G224" i="5"/>
  <c r="C6" i="34"/>
  <c r="C15" i="9"/>
  <c r="A3" i="14"/>
  <c r="C141" i="12"/>
  <c r="A17" i="11"/>
  <c r="F299" i="5"/>
  <c r="Q130" i="9"/>
  <c r="AG74" i="2"/>
  <c r="C33" i="28"/>
  <c r="B231" i="5"/>
  <c r="C30" i="2"/>
  <c r="G202" i="5"/>
  <c r="W5" i="10"/>
  <c r="N18" i="28"/>
  <c r="B47" i="5"/>
  <c r="A59" i="12"/>
  <c r="A12" i="8"/>
  <c r="A13" i="30" s="1"/>
  <c r="C142" i="6"/>
  <c r="B182" i="2"/>
  <c r="B135" i="6"/>
  <c r="E4" i="9"/>
  <c r="E24" i="6"/>
  <c r="C61" i="9"/>
  <c r="C49" i="1"/>
  <c r="A8" i="33"/>
  <c r="A8" i="11"/>
  <c r="B9" i="1"/>
  <c r="C53" i="9"/>
  <c r="O173" i="9"/>
  <c r="P173" i="9"/>
  <c r="G200" i="5"/>
  <c r="D3" i="31"/>
  <c r="K35" i="28"/>
  <c r="C155" i="9"/>
  <c r="B33" i="9"/>
  <c r="B1" i="28"/>
  <c r="A9" i="2"/>
  <c r="E9" i="6"/>
  <c r="E79" i="28"/>
  <c r="B14" i="6"/>
  <c r="K91" i="9"/>
  <c r="R6" i="9"/>
  <c r="C194" i="9"/>
  <c r="F47" i="12"/>
  <c r="H119" i="5"/>
  <c r="C23" i="6"/>
  <c r="F176" i="2"/>
  <c r="G111" i="2"/>
  <c r="I96" i="2"/>
  <c r="G125" i="2"/>
  <c r="I136" i="2"/>
  <c r="F84" i="37"/>
  <c r="J81" i="2"/>
  <c r="F86" i="28"/>
  <c r="B39" i="2"/>
  <c r="C26" i="9"/>
  <c r="B21" i="1"/>
  <c r="G3" i="31"/>
  <c r="D92" i="2"/>
  <c r="C148" i="12"/>
  <c r="E92" i="2"/>
  <c r="E95" i="5"/>
  <c r="C36" i="2"/>
  <c r="Q173" i="9"/>
  <c r="A19" i="11"/>
  <c r="B81" i="28"/>
  <c r="B71" i="37" s="1"/>
  <c r="A25" i="11"/>
  <c r="AL17" i="33" s="1"/>
  <c r="C98" i="9"/>
  <c r="C139" i="9"/>
  <c r="B36" i="11"/>
  <c r="B41" i="1"/>
  <c r="L48" i="9"/>
  <c r="C54" i="9"/>
  <c r="S174" i="9"/>
  <c r="AA108" i="2"/>
  <c r="C19" i="2"/>
  <c r="AC74" i="2"/>
  <c r="B57" i="9"/>
  <c r="I90" i="9"/>
  <c r="B44" i="2"/>
  <c r="B94" i="28"/>
  <c r="C3" i="8"/>
  <c r="Q17" i="28"/>
  <c r="G59" i="2"/>
  <c r="B1" i="1"/>
  <c r="Q133" i="9"/>
  <c r="C146" i="12"/>
  <c r="B25" i="11"/>
  <c r="O48" i="9"/>
  <c r="P48" i="9"/>
  <c r="C3" i="14"/>
  <c r="R36" i="33"/>
  <c r="A38" i="11"/>
  <c r="AL22" i="33" s="1"/>
  <c r="B331" i="5"/>
  <c r="F91" i="2"/>
  <c r="F47" i="9"/>
  <c r="A117" i="5"/>
  <c r="C29" i="14"/>
  <c r="C34" i="9"/>
  <c r="E108" i="2"/>
  <c r="W108" i="2"/>
  <c r="D3" i="14"/>
  <c r="A23" i="11"/>
  <c r="AL15" i="33" s="1"/>
  <c r="R13" i="33"/>
  <c r="A8" i="32"/>
  <c r="K173" i="9"/>
  <c r="A15" i="8"/>
  <c r="A16" i="30" s="1"/>
  <c r="A9" i="8"/>
  <c r="A10" i="30" s="1"/>
  <c r="A22" i="11"/>
  <c r="C125" i="6"/>
  <c r="AA12" i="2"/>
  <c r="G129" i="5"/>
  <c r="A58" i="14"/>
  <c r="B20" i="6"/>
  <c r="A5" i="11"/>
  <c r="A5" i="33"/>
  <c r="B6" i="1"/>
  <c r="G4" i="5"/>
  <c r="W3" i="8"/>
  <c r="G35" i="8"/>
  <c r="C30" i="14"/>
  <c r="A1" i="30"/>
  <c r="A221" i="5"/>
  <c r="C59" i="5"/>
  <c r="B29" i="9"/>
  <c r="B27" i="9"/>
  <c r="B28" i="9"/>
  <c r="B1" i="9"/>
  <c r="AR4" i="28"/>
  <c r="Y79" i="28"/>
  <c r="T79" i="28"/>
  <c r="AH18" i="28"/>
  <c r="AI87" i="28"/>
  <c r="AM4" i="28"/>
  <c r="AB34" i="28"/>
  <c r="X18" i="28"/>
  <c r="AD87" i="28"/>
  <c r="Y87" i="28"/>
  <c r="AC18" i="28"/>
  <c r="R34" i="28"/>
  <c r="AD79" i="28"/>
  <c r="AC4" i="28"/>
  <c r="AM18" i="28"/>
  <c r="X4" i="28"/>
  <c r="T87" i="28"/>
  <c r="W34" i="28"/>
  <c r="AI79" i="28"/>
  <c r="AH4" i="28"/>
  <c r="AR18" i="28"/>
  <c r="D298" i="5"/>
  <c r="B77" i="9"/>
  <c r="B160" i="9"/>
  <c r="G5" i="10"/>
  <c r="A1" i="32"/>
  <c r="O96" i="28"/>
  <c r="P96" i="28"/>
  <c r="Q96" i="28"/>
  <c r="R96" i="28"/>
  <c r="S96" i="28"/>
  <c r="C69" i="9"/>
  <c r="A57" i="14"/>
  <c r="S18" i="28"/>
  <c r="W18" i="28"/>
  <c r="AB18" i="28"/>
  <c r="J89" i="9"/>
  <c r="B29" i="5"/>
  <c r="B11" i="5"/>
  <c r="B21" i="2"/>
  <c r="C130" i="12"/>
  <c r="C44" i="2"/>
  <c r="B2" i="14"/>
  <c r="B143" i="5"/>
  <c r="B57" i="28"/>
  <c r="B54" i="28"/>
  <c r="B46" i="37" s="1"/>
  <c r="B58" i="28"/>
  <c r="B59" i="28"/>
  <c r="B56" i="28"/>
  <c r="B55" i="28"/>
  <c r="B120" i="2"/>
  <c r="C177" i="9"/>
  <c r="R1" i="33"/>
  <c r="AL13" i="33"/>
  <c r="F4" i="8"/>
  <c r="A20" i="32"/>
  <c r="B4" i="2"/>
  <c r="P108" i="2"/>
  <c r="P105" i="2"/>
  <c r="AL87" i="28"/>
  <c r="AU4" i="28"/>
  <c r="F5" i="37" s="1"/>
  <c r="F95" i="28"/>
  <c r="AL79" i="28"/>
  <c r="O95" i="28"/>
  <c r="AU18" i="28"/>
  <c r="AO34" i="28"/>
  <c r="F7" i="9"/>
  <c r="J3" i="28"/>
  <c r="C4" i="30"/>
  <c r="E173" i="9"/>
  <c r="B123" i="5"/>
  <c r="A19" i="8"/>
  <c r="A20" i="30" s="1"/>
  <c r="H59" i="5"/>
  <c r="B87" i="9"/>
  <c r="G132" i="2"/>
  <c r="G60" i="12"/>
  <c r="B185" i="5"/>
  <c r="H4" i="9"/>
  <c r="C122" i="12"/>
  <c r="C73" i="2"/>
  <c r="AW5" i="28"/>
  <c r="H6" i="37" s="1"/>
  <c r="AY5" i="28"/>
  <c r="J6" i="37" s="1"/>
  <c r="AV5" i="28"/>
  <c r="G6" i="37" s="1"/>
  <c r="AS5" i="28"/>
  <c r="D6" i="37" s="1"/>
  <c r="AX5" i="28"/>
  <c r="I6" i="37" s="1"/>
  <c r="C122" i="9"/>
  <c r="F50" i="1"/>
  <c r="B20" i="1"/>
  <c r="C92" i="9"/>
  <c r="C38" i="2"/>
  <c r="F79" i="28"/>
  <c r="B141" i="5"/>
  <c r="C140" i="6"/>
  <c r="J6" i="9"/>
  <c r="B90" i="37"/>
  <c r="A7" i="11"/>
  <c r="B8" i="1"/>
  <c r="A7" i="33"/>
  <c r="B3" i="1"/>
  <c r="S74" i="2"/>
  <c r="I73" i="1"/>
  <c r="D175" i="9"/>
  <c r="B206" i="5"/>
  <c r="I78" i="28"/>
  <c r="B33" i="2"/>
  <c r="F3" i="31"/>
  <c r="R132" i="9"/>
  <c r="Q3" i="8"/>
  <c r="F41" i="12"/>
  <c r="B75" i="1"/>
  <c r="AC108" i="2"/>
  <c r="G122" i="5"/>
  <c r="C39" i="9"/>
  <c r="E14" i="11"/>
  <c r="AO12" i="33" s="1"/>
  <c r="E13" i="33" s="1"/>
  <c r="B106" i="5"/>
  <c r="C122" i="6"/>
  <c r="G145" i="2"/>
  <c r="A2" i="14"/>
  <c r="W12" i="2"/>
  <c r="B61" i="9"/>
  <c r="C5" i="28"/>
  <c r="B94" i="5"/>
  <c r="B97" i="28"/>
  <c r="E29" i="14"/>
  <c r="C96" i="28"/>
  <c r="L49" i="9"/>
  <c r="H95" i="5"/>
  <c r="U74" i="2"/>
  <c r="AM33" i="28"/>
  <c r="B163" i="9"/>
  <c r="B18" i="1"/>
  <c r="K49" i="9"/>
  <c r="F224" i="5"/>
  <c r="D46" i="12"/>
  <c r="D86" i="28"/>
  <c r="B58" i="9"/>
  <c r="V12" i="2"/>
  <c r="M108" i="2"/>
  <c r="C143" i="12"/>
  <c r="AP87" i="28"/>
  <c r="AS34" i="28"/>
  <c r="J95" i="28"/>
  <c r="AY18" i="28"/>
  <c r="AY4" i="28"/>
  <c r="J5" i="37" s="1"/>
  <c r="AP79" i="28"/>
  <c r="S95" i="28"/>
  <c r="O108" i="2"/>
  <c r="C79" i="9"/>
  <c r="B24" i="9"/>
  <c r="A20" i="11"/>
  <c r="B329" i="5"/>
  <c r="E30" i="14"/>
  <c r="B203" i="9"/>
  <c r="A3" i="11"/>
  <c r="A3" i="33"/>
  <c r="F88" i="9"/>
  <c r="B54" i="9"/>
  <c r="M6" i="9"/>
  <c r="A2" i="8"/>
  <c r="D16" i="1"/>
  <c r="A35" i="8"/>
  <c r="G46" i="9"/>
  <c r="B12" i="9"/>
  <c r="C138" i="6"/>
  <c r="F5" i="9"/>
  <c r="D127" i="5"/>
  <c r="B279" i="5"/>
  <c r="J132" i="9"/>
  <c r="B123" i="2"/>
  <c r="M17" i="28"/>
  <c r="D49" i="9"/>
  <c r="C136" i="6"/>
  <c r="C8" i="34"/>
  <c r="E172" i="9"/>
  <c r="C15" i="2"/>
  <c r="C10" i="9"/>
  <c r="F92" i="2"/>
  <c r="N96" i="28"/>
  <c r="B215" i="5"/>
  <c r="H89" i="9"/>
  <c r="B92" i="28"/>
  <c r="I7" i="9"/>
  <c r="A10" i="33"/>
  <c r="A10" i="11"/>
  <c r="K108" i="2"/>
  <c r="C138" i="9"/>
  <c r="A26" i="30"/>
  <c r="B76" i="28"/>
  <c r="I5" i="9"/>
  <c r="B17" i="9"/>
  <c r="I130" i="9"/>
  <c r="C94" i="9"/>
  <c r="C113" i="9"/>
  <c r="B187" i="5"/>
  <c r="C131" i="6"/>
  <c r="B197" i="9"/>
  <c r="B195" i="9"/>
  <c r="B196" i="9"/>
  <c r="T17" i="28"/>
  <c r="N33" i="28"/>
  <c r="T3" i="28"/>
  <c r="H87" i="9"/>
  <c r="C154" i="9"/>
  <c r="I87" i="28"/>
  <c r="B142" i="9"/>
  <c r="P49" i="9"/>
  <c r="B327" i="5"/>
  <c r="L175" i="9"/>
  <c r="F129" i="5"/>
  <c r="A41" i="11"/>
  <c r="J48" i="9"/>
  <c r="B161" i="9"/>
  <c r="B136" i="6"/>
  <c r="K46" i="9"/>
  <c r="B30" i="9"/>
  <c r="B31" i="9"/>
  <c r="B32" i="9"/>
  <c r="D199" i="5"/>
  <c r="D173" i="9"/>
  <c r="C25" i="30"/>
  <c r="G121" i="5"/>
  <c r="B4" i="30"/>
  <c r="C156" i="9"/>
  <c r="F54" i="12"/>
  <c r="P77" i="2"/>
  <c r="S132" i="9"/>
  <c r="B86" i="1"/>
  <c r="B90" i="1"/>
  <c r="AF77" i="2"/>
  <c r="C29" i="9"/>
  <c r="A26" i="32"/>
  <c r="R91" i="9"/>
  <c r="H3" i="31"/>
  <c r="B205" i="5"/>
  <c r="C67" i="9"/>
  <c r="Q49" i="9"/>
  <c r="B12" i="1"/>
  <c r="F55" i="12"/>
  <c r="K95" i="28"/>
  <c r="A24" i="11"/>
  <c r="AL16" i="33" s="1"/>
  <c r="R14" i="33"/>
  <c r="F131" i="9"/>
  <c r="D4" i="10"/>
  <c r="C19" i="28"/>
  <c r="B186" i="5"/>
  <c r="G213" i="5"/>
  <c r="C27" i="9"/>
  <c r="I4" i="9"/>
  <c r="C171" i="9"/>
  <c r="A3" i="10"/>
  <c r="J14" i="11"/>
  <c r="AT12" i="33" s="1"/>
  <c r="O13" i="33" s="1"/>
  <c r="A31" i="14"/>
  <c r="T12" i="2"/>
  <c r="C34" i="8"/>
  <c r="M7" i="9"/>
  <c r="H129" i="9"/>
  <c r="B138" i="5"/>
  <c r="E2" i="14"/>
  <c r="K172" i="9"/>
  <c r="C182" i="9"/>
  <c r="H298" i="5"/>
  <c r="C3" i="6"/>
  <c r="B166" i="9"/>
  <c r="B164" i="9"/>
  <c r="B165" i="9"/>
  <c r="C181" i="9"/>
  <c r="C178" i="9"/>
  <c r="A12" i="32"/>
  <c r="B276" i="5"/>
  <c r="B137" i="9"/>
  <c r="C31" i="9"/>
  <c r="K87" i="28"/>
  <c r="A22" i="32"/>
  <c r="Y17" i="28"/>
  <c r="P86" i="28"/>
  <c r="Y3" i="28"/>
  <c r="P78" i="28"/>
  <c r="S33" i="28"/>
  <c r="H108" i="2"/>
  <c r="C59" i="9"/>
  <c r="B3" i="12"/>
  <c r="P7" i="9"/>
  <c r="B183" i="5"/>
  <c r="B89" i="1"/>
  <c r="B3" i="28"/>
  <c r="D119" i="2"/>
  <c r="G73" i="1"/>
  <c r="D45" i="12"/>
  <c r="D3" i="9"/>
  <c r="A67" i="7"/>
  <c r="A27" i="30"/>
  <c r="B188" i="5"/>
  <c r="K49" i="1"/>
  <c r="B32" i="11"/>
  <c r="A31" i="32"/>
  <c r="B205" i="9"/>
  <c r="M5" i="10"/>
  <c r="E119" i="5"/>
  <c r="H12" i="2"/>
  <c r="B17" i="2"/>
  <c r="I133" i="9"/>
  <c r="B181" i="9"/>
  <c r="B182" i="9"/>
  <c r="B159" i="9"/>
  <c r="H130" i="9"/>
  <c r="B37" i="9"/>
  <c r="G95" i="5"/>
  <c r="B17" i="11"/>
  <c r="D6" i="9"/>
  <c r="C129" i="9"/>
  <c r="M12" i="2"/>
  <c r="B108" i="9"/>
  <c r="C78" i="28"/>
  <c r="B135" i="5"/>
  <c r="B81" i="9"/>
  <c r="B80" i="9"/>
  <c r="B82" i="9"/>
  <c r="B127" i="6"/>
  <c r="C32" i="2"/>
  <c r="M3" i="28"/>
  <c r="C180" i="9"/>
  <c r="B98" i="28"/>
  <c r="B40" i="1"/>
  <c r="D60" i="12"/>
  <c r="S9" i="2"/>
  <c r="B99" i="9"/>
  <c r="E5" i="10"/>
  <c r="C114" i="9"/>
  <c r="X77" i="2"/>
  <c r="A17" i="32"/>
  <c r="B156" i="9"/>
  <c r="B158" i="9"/>
  <c r="B157" i="9"/>
  <c r="AQ35" i="28"/>
  <c r="AU5" i="28"/>
  <c r="F6" i="37" s="1"/>
  <c r="AN80" i="28"/>
  <c r="AS35" i="28"/>
  <c r="AO80" i="28"/>
  <c r="AM80" i="28"/>
  <c r="AO35" i="28"/>
  <c r="AP80" i="28"/>
  <c r="AR35" i="28"/>
  <c r="AP35" i="28"/>
  <c r="AL80" i="28"/>
  <c r="AU19" i="28"/>
  <c r="C40" i="9"/>
  <c r="A5" i="9"/>
  <c r="J77" i="2"/>
  <c r="P91" i="9"/>
  <c r="H80" i="28"/>
  <c r="C50" i="9"/>
  <c r="C73" i="1"/>
  <c r="K4" i="10"/>
  <c r="A34" i="11"/>
  <c r="AL21" i="33" s="1"/>
  <c r="R26" i="33"/>
  <c r="F130" i="9"/>
  <c r="C199" i="9"/>
  <c r="B94" i="2"/>
  <c r="I12" i="2"/>
  <c r="B138" i="6"/>
  <c r="B62" i="28"/>
  <c r="B61" i="28"/>
  <c r="B63" i="28"/>
  <c r="B65" i="28"/>
  <c r="B64" i="28"/>
  <c r="B60" i="28"/>
  <c r="B52" i="37" s="1"/>
  <c r="B136" i="5"/>
  <c r="D104" i="2"/>
  <c r="D122" i="6"/>
  <c r="B15" i="9"/>
  <c r="B38" i="2"/>
  <c r="L133" i="9"/>
  <c r="B91" i="9"/>
  <c r="C3" i="9"/>
  <c r="F26" i="12"/>
  <c r="E210" i="5"/>
  <c r="B32" i="5"/>
  <c r="B42" i="5"/>
  <c r="B37" i="5"/>
  <c r="A119" i="5"/>
  <c r="AY19" i="28"/>
  <c r="AS19" i="28"/>
  <c r="AV19" i="28"/>
  <c r="AW19" i="28"/>
  <c r="AX19" i="28"/>
  <c r="B132" i="2"/>
  <c r="W4" i="10"/>
  <c r="D19" i="28"/>
  <c r="K3" i="8"/>
  <c r="AT5" i="28"/>
  <c r="E6" i="37" s="1"/>
  <c r="R47" i="9"/>
  <c r="B26" i="6"/>
  <c r="C116" i="9"/>
  <c r="A11" i="8"/>
  <c r="A12" i="30" s="1"/>
  <c r="E46" i="9"/>
  <c r="C16" i="9"/>
  <c r="X12" i="2"/>
  <c r="A2" i="7"/>
  <c r="Q175" i="9"/>
  <c r="B4" i="1"/>
  <c r="G7" i="9"/>
  <c r="O174" i="9"/>
  <c r="P174" i="9"/>
  <c r="L91" i="9"/>
  <c r="C66" i="9"/>
  <c r="Q5" i="9"/>
  <c r="C8" i="9"/>
  <c r="A35" i="11"/>
  <c r="D87" i="9"/>
  <c r="B85" i="1"/>
  <c r="L7" i="9"/>
  <c r="R175" i="9"/>
  <c r="B23" i="1"/>
  <c r="B101" i="37"/>
  <c r="E47" i="9"/>
  <c r="B232" i="5"/>
  <c r="H210" i="5"/>
  <c r="C160" i="9"/>
  <c r="G4" i="8"/>
  <c r="D184" i="5"/>
  <c r="D187" i="5"/>
  <c r="D183" i="5"/>
  <c r="F46" i="12"/>
  <c r="C149" i="12"/>
  <c r="U87" i="28"/>
  <c r="U79" i="28"/>
  <c r="AH34" i="28"/>
  <c r="AE87" i="28"/>
  <c r="AC34" i="28"/>
  <c r="Z79" i="28"/>
  <c r="K34" i="28"/>
  <c r="X34" i="28"/>
  <c r="P79" i="28"/>
  <c r="Z87" i="28"/>
  <c r="N34" i="28"/>
  <c r="P87" i="28"/>
  <c r="AE79" i="28"/>
  <c r="S34" i="28"/>
  <c r="C58" i="14"/>
  <c r="C100" i="9"/>
  <c r="D186" i="5"/>
  <c r="D190" i="5"/>
  <c r="D185" i="5"/>
  <c r="D188" i="5"/>
  <c r="D189" i="5"/>
  <c r="A5" i="32"/>
  <c r="B42" i="1"/>
  <c r="AN88" i="28"/>
  <c r="AP88" i="28"/>
  <c r="AL88" i="28"/>
  <c r="AM88" i="28"/>
  <c r="AO88" i="28"/>
  <c r="B32" i="2"/>
  <c r="C8" i="2"/>
  <c r="F23" i="12"/>
  <c r="L77" i="2"/>
  <c r="C60" i="12"/>
  <c r="C79" i="28"/>
  <c r="L105" i="2"/>
  <c r="X3" i="8"/>
  <c r="C158" i="9"/>
  <c r="C23" i="2"/>
  <c r="D17" i="28"/>
  <c r="E200" i="5"/>
  <c r="A25" i="32"/>
  <c r="B203" i="5"/>
  <c r="A59" i="14"/>
  <c r="A39" i="11"/>
  <c r="A8" i="8"/>
  <c r="A9" i="30" s="1"/>
  <c r="H172" i="9"/>
  <c r="K74" i="2"/>
  <c r="D89" i="9"/>
  <c r="B78" i="9"/>
  <c r="A4" i="9"/>
  <c r="L105" i="9" s="1"/>
  <c r="H171" i="9"/>
  <c r="E88" i="9"/>
  <c r="B141" i="6"/>
  <c r="AM35" i="28"/>
  <c r="D4" i="6"/>
  <c r="E20" i="6"/>
  <c r="D131" i="9"/>
  <c r="F44" i="12"/>
  <c r="B107" i="2"/>
  <c r="B26" i="9"/>
  <c r="D108" i="2"/>
  <c r="B124" i="9"/>
  <c r="B123" i="9"/>
  <c r="B122" i="9"/>
  <c r="B142" i="6"/>
  <c r="B129" i="9"/>
  <c r="C9" i="9"/>
  <c r="L12" i="2"/>
  <c r="B124" i="6"/>
  <c r="X2" i="8"/>
  <c r="B7" i="5"/>
  <c r="B25" i="5"/>
  <c r="E23" i="6"/>
  <c r="J46" i="9"/>
  <c r="C25" i="9"/>
  <c r="E34" i="28"/>
  <c r="A18" i="8"/>
  <c r="A19" i="30" s="1"/>
  <c r="H299" i="5"/>
  <c r="E16" i="1"/>
  <c r="C151" i="9"/>
  <c r="B2" i="9"/>
  <c r="B202" i="9"/>
  <c r="O18" i="28"/>
  <c r="K175" i="9"/>
  <c r="C166" i="9"/>
  <c r="R105" i="2"/>
  <c r="B104" i="5"/>
  <c r="B98" i="5"/>
  <c r="A34" i="32"/>
  <c r="I34" i="28"/>
  <c r="B131" i="5"/>
  <c r="G130" i="9"/>
  <c r="B132" i="6"/>
  <c r="K4" i="8"/>
  <c r="A19" i="7"/>
  <c r="D129" i="9"/>
  <c r="R77" i="2"/>
  <c r="A56" i="5"/>
  <c r="C75" i="9"/>
  <c r="C163" i="9"/>
  <c r="B28" i="5"/>
  <c r="B10" i="5"/>
  <c r="Y3" i="8"/>
  <c r="D172" i="9"/>
  <c r="E131" i="9"/>
  <c r="J12" i="2"/>
  <c r="B28" i="12"/>
  <c r="B28" i="11"/>
  <c r="B31" i="11"/>
  <c r="O47" i="9"/>
  <c r="P47" i="9"/>
  <c r="I86" i="28"/>
  <c r="F20" i="12"/>
  <c r="C20" i="6"/>
  <c r="J17" i="28"/>
  <c r="N79" i="28"/>
  <c r="B137" i="6"/>
  <c r="J3" i="8"/>
  <c r="Q95" i="28"/>
  <c r="H95" i="28"/>
  <c r="AQ34" i="28"/>
  <c r="AN87" i="28"/>
  <c r="AW4" i="28"/>
  <c r="H5" i="37" s="1"/>
  <c r="AW18" i="28"/>
  <c r="AN79" i="28"/>
  <c r="B1" i="2"/>
  <c r="H46" i="9"/>
  <c r="D224" i="5"/>
  <c r="I49" i="9"/>
  <c r="H105" i="2"/>
  <c r="B15" i="2"/>
  <c r="AG12" i="2"/>
  <c r="E49" i="1"/>
  <c r="H88" i="9"/>
  <c r="C118" i="2"/>
  <c r="C5" i="30"/>
  <c r="C211" i="5"/>
  <c r="B1" i="6"/>
  <c r="B125" i="6"/>
  <c r="F53" i="12"/>
  <c r="AS3" i="28"/>
  <c r="Z108" i="2"/>
  <c r="B36" i="28"/>
  <c r="B28" i="37" s="1"/>
  <c r="B37" i="28"/>
  <c r="B40" i="28"/>
  <c r="B39" i="28"/>
  <c r="B41" i="28"/>
  <c r="B38" i="28"/>
  <c r="J99" i="2"/>
  <c r="G179" i="2"/>
  <c r="H128" i="2"/>
  <c r="F85" i="37"/>
  <c r="J139" i="2"/>
  <c r="H114" i="2"/>
  <c r="K84" i="2"/>
  <c r="B93" i="2"/>
  <c r="A28" i="32"/>
  <c r="C27" i="30"/>
  <c r="AE12" i="2"/>
  <c r="O4" i="8"/>
  <c r="C43" i="2"/>
  <c r="F78" i="28"/>
  <c r="C28" i="9"/>
  <c r="H88" i="28"/>
  <c r="AK88" i="28"/>
  <c r="K47" i="9"/>
  <c r="L5" i="10"/>
  <c r="K174" i="9"/>
  <c r="C140" i="9"/>
  <c r="C7" i="34"/>
  <c r="C128" i="6"/>
  <c r="G87" i="28"/>
  <c r="M18" i="28"/>
  <c r="B40" i="11"/>
  <c r="B16" i="9"/>
  <c r="B41" i="2"/>
  <c r="A13" i="7"/>
  <c r="J4" i="10"/>
  <c r="B152" i="9"/>
  <c r="F133" i="2"/>
  <c r="S90" i="9"/>
  <c r="C340" i="6"/>
  <c r="Y5" i="10"/>
  <c r="S2" i="8"/>
  <c r="Q46" i="9"/>
  <c r="D90" i="9"/>
  <c r="E59" i="5"/>
  <c r="B25" i="6"/>
  <c r="H58" i="5"/>
  <c r="B63" i="5"/>
  <c r="A13" i="8"/>
  <c r="A14" i="30" s="1"/>
  <c r="C35" i="8"/>
  <c r="K77" i="2"/>
  <c r="S5" i="10"/>
  <c r="AH12" i="2"/>
  <c r="A4" i="30"/>
  <c r="D14" i="11"/>
  <c r="AN12" i="33" s="1"/>
  <c r="C13" i="33" s="1"/>
  <c r="U9" i="2"/>
  <c r="B71" i="9"/>
  <c r="B70" i="9"/>
  <c r="B69" i="9"/>
  <c r="Z18" i="28"/>
  <c r="V87" i="28"/>
  <c r="Y34" i="28"/>
  <c r="AF87" i="28"/>
  <c r="AI34" i="28"/>
  <c r="AJ4" i="28"/>
  <c r="U18" i="28"/>
  <c r="AJ18" i="28"/>
  <c r="AA87" i="28"/>
  <c r="AO18" i="28"/>
  <c r="AO4" i="28"/>
  <c r="AE4" i="28"/>
  <c r="T34" i="28"/>
  <c r="AF79" i="28"/>
  <c r="Q87" i="28"/>
  <c r="AE18" i="28"/>
  <c r="AD34" i="28"/>
  <c r="AA79" i="28"/>
  <c r="Z4" i="28"/>
  <c r="Q79" i="28"/>
  <c r="O34" i="28"/>
  <c r="V79" i="28"/>
  <c r="C56" i="9"/>
  <c r="C15" i="11"/>
  <c r="A56" i="7"/>
  <c r="A24" i="32"/>
  <c r="C33" i="2"/>
  <c r="J4" i="8"/>
  <c r="S173" i="9"/>
  <c r="B150" i="9"/>
  <c r="C119" i="9"/>
  <c r="B277" i="5"/>
  <c r="D59" i="14"/>
  <c r="A33" i="32"/>
  <c r="AB108" i="2"/>
  <c r="C14" i="2"/>
  <c r="G36" i="8"/>
  <c r="V3" i="8"/>
  <c r="C176" i="9"/>
  <c r="B193" i="9"/>
  <c r="D132" i="9"/>
  <c r="A32" i="32"/>
  <c r="G300" i="5"/>
  <c r="B37" i="2"/>
  <c r="D24" i="12"/>
  <c r="Q91" i="9"/>
  <c r="A92" i="5"/>
  <c r="F105" i="2"/>
  <c r="B79" i="1"/>
  <c r="H47" i="9"/>
  <c r="A36" i="11"/>
  <c r="B17" i="28"/>
  <c r="A2" i="34"/>
  <c r="A34" i="8"/>
  <c r="D124" i="2"/>
  <c r="F45" i="12"/>
  <c r="T105" i="2"/>
  <c r="I77" i="2"/>
  <c r="G301" i="5"/>
  <c r="S5" i="9"/>
  <c r="F211" i="5"/>
  <c r="D94" i="5"/>
  <c r="B288" i="5"/>
  <c r="H145" i="2"/>
  <c r="C95" i="28"/>
  <c r="B100" i="9"/>
  <c r="B136" i="9"/>
  <c r="B134" i="9"/>
  <c r="B135" i="9"/>
  <c r="F56" i="12"/>
  <c r="G35" i="28"/>
  <c r="A29" i="32"/>
  <c r="B275" i="5"/>
  <c r="B11" i="1"/>
  <c r="S77" i="2"/>
  <c r="B45" i="5"/>
  <c r="B146" i="6"/>
  <c r="Q19" i="28"/>
  <c r="B43" i="2"/>
  <c r="C34" i="2"/>
  <c r="D53" i="12"/>
  <c r="H128" i="5"/>
  <c r="E164" i="2"/>
  <c r="G40" i="36" l="1"/>
  <c r="H40" i="36" s="1"/>
  <c r="AF40" i="36" s="1"/>
  <c r="AE40" i="36" s="1"/>
  <c r="H61" i="36"/>
  <c r="H78" i="36"/>
  <c r="AH42" i="36"/>
  <c r="AK14" i="36" s="1"/>
  <c r="C20" i="28" s="1"/>
  <c r="AY20" i="28" s="1"/>
  <c r="J17" i="37" s="1"/>
  <c r="AE42" i="36"/>
  <c r="G77" i="36"/>
  <c r="AE80" i="36"/>
  <c r="AH80" i="36"/>
  <c r="H77" i="36"/>
  <c r="BA41" i="36"/>
  <c r="G41" i="36" s="1"/>
  <c r="H41" i="36" s="1"/>
  <c r="K18" i="37"/>
  <c r="K21" i="37"/>
  <c r="K23" i="37"/>
  <c r="K24" i="37"/>
  <c r="K25" i="37"/>
  <c r="E19" i="36"/>
  <c r="K15" i="37"/>
  <c r="L20" i="9"/>
  <c r="M20" i="9" s="1"/>
  <c r="M105" i="9"/>
  <c r="L19" i="9"/>
  <c r="M19" i="9" s="1"/>
  <c r="L22" i="9"/>
  <c r="M22" i="9" s="1"/>
  <c r="L23" i="9"/>
  <c r="M23" i="9" s="1"/>
  <c r="L65" i="9"/>
  <c r="M65" i="9" s="1"/>
  <c r="L21" i="9"/>
  <c r="M21" i="9" s="1"/>
  <c r="L63" i="9"/>
  <c r="M63" i="9" s="1"/>
  <c r="L64" i="9"/>
  <c r="M64" i="9" s="1"/>
  <c r="L62" i="9"/>
  <c r="M62" i="9" s="1"/>
  <c r="L61" i="9"/>
  <c r="M61" i="9" s="1"/>
  <c r="L59" i="9"/>
  <c r="M59" i="9" s="1"/>
  <c r="L58" i="9"/>
  <c r="M58" i="9" s="1"/>
  <c r="L17" i="9"/>
  <c r="M17" i="9" s="1"/>
  <c r="L16" i="9"/>
  <c r="M16" i="9" s="1"/>
  <c r="AK7" i="36"/>
  <c r="C7" i="28" s="1"/>
  <c r="AS7" i="28" s="1"/>
  <c r="D9" i="37" s="1"/>
  <c r="D85" i="37"/>
  <c r="E85" i="37"/>
  <c r="D5" i="37"/>
  <c r="C28" i="1"/>
  <c r="B77" i="37"/>
  <c r="C27" i="1"/>
  <c r="B76" i="37"/>
  <c r="C26" i="1"/>
  <c r="B75" i="37"/>
  <c r="C25" i="1"/>
  <c r="B74" i="37"/>
  <c r="G36" i="37"/>
  <c r="B36" i="37"/>
  <c r="B31" i="37"/>
  <c r="I53" i="37"/>
  <c r="B53" i="37"/>
  <c r="I48" i="37"/>
  <c r="B48" i="37"/>
  <c r="H49" i="37"/>
  <c r="B49" i="37"/>
  <c r="F43" i="37"/>
  <c r="B43" i="37"/>
  <c r="H45" i="37"/>
  <c r="B45" i="37"/>
  <c r="G39" i="37"/>
  <c r="B39" i="37"/>
  <c r="B33" i="37"/>
  <c r="F62" i="37"/>
  <c r="B62" i="37"/>
  <c r="B32" i="37"/>
  <c r="E56" i="37"/>
  <c r="B56" i="37"/>
  <c r="J54" i="37"/>
  <c r="B54" i="37"/>
  <c r="F51" i="37"/>
  <c r="B51" i="37"/>
  <c r="J60" i="37"/>
  <c r="B60" i="37"/>
  <c r="J42" i="37"/>
  <c r="B42" i="37"/>
  <c r="J35" i="37"/>
  <c r="B35" i="37"/>
  <c r="D55" i="37"/>
  <c r="B55" i="37"/>
  <c r="I47" i="37"/>
  <c r="B47" i="37"/>
  <c r="G59" i="37"/>
  <c r="B59" i="37"/>
  <c r="D44" i="37"/>
  <c r="B44" i="37"/>
  <c r="G38" i="37"/>
  <c r="B38" i="37"/>
  <c r="B30" i="37"/>
  <c r="B29" i="37"/>
  <c r="D57" i="37"/>
  <c r="B57" i="37"/>
  <c r="H50" i="37"/>
  <c r="B50" i="37"/>
  <c r="E63" i="37"/>
  <c r="B63" i="37"/>
  <c r="E61" i="37"/>
  <c r="B61" i="37"/>
  <c r="J41" i="37"/>
  <c r="B41" i="37"/>
  <c r="F37" i="37"/>
  <c r="B37" i="37"/>
  <c r="G58" i="37"/>
  <c r="H52" i="37"/>
  <c r="H46" i="37"/>
  <c r="G40" i="37"/>
  <c r="E34" i="37"/>
  <c r="L25" i="9"/>
  <c r="M25" i="9" s="1"/>
  <c r="L119" i="9"/>
  <c r="M119" i="9" s="1"/>
  <c r="L28" i="9"/>
  <c r="M28" i="9" s="1"/>
  <c r="D33" i="2" s="1"/>
  <c r="L114" i="9"/>
  <c r="M114" i="9" s="1"/>
  <c r="L180" i="9"/>
  <c r="M180" i="9" s="1"/>
  <c r="F17" i="2" s="1"/>
  <c r="L54" i="9"/>
  <c r="M54" i="9" s="1"/>
  <c r="L194" i="9"/>
  <c r="M194" i="9" s="1"/>
  <c r="F31" i="2" s="1"/>
  <c r="L109" i="9"/>
  <c r="M109" i="9" s="1"/>
  <c r="L152" i="9"/>
  <c r="M152" i="9" s="1"/>
  <c r="E31" i="2" s="1"/>
  <c r="L78" i="9"/>
  <c r="M78" i="9" s="1"/>
  <c r="L161" i="9"/>
  <c r="M161" i="9" s="1"/>
  <c r="E40" i="2" s="1"/>
  <c r="L77" i="9"/>
  <c r="M77" i="9" s="1"/>
  <c r="D40" i="2" s="1"/>
  <c r="L111" i="9"/>
  <c r="M111" i="9" s="1"/>
  <c r="L102" i="9"/>
  <c r="M102" i="9" s="1"/>
  <c r="L67" i="9"/>
  <c r="M67" i="9" s="1"/>
  <c r="L195" i="9"/>
  <c r="M195" i="9" s="1"/>
  <c r="F32" i="2" s="1"/>
  <c r="L72" i="9"/>
  <c r="M72" i="9" s="1"/>
  <c r="L179" i="9"/>
  <c r="M179" i="9" s="1"/>
  <c r="F16" i="2" s="1"/>
  <c r="L153" i="9"/>
  <c r="M153" i="9" s="1"/>
  <c r="E32" i="2" s="1"/>
  <c r="L95" i="9"/>
  <c r="M95" i="9" s="1"/>
  <c r="L99" i="9"/>
  <c r="M99" i="9" s="1"/>
  <c r="L68" i="9"/>
  <c r="M68" i="9" s="1"/>
  <c r="L156" i="9"/>
  <c r="M156" i="9" s="1"/>
  <c r="E35" i="2" s="1"/>
  <c r="L53" i="9"/>
  <c r="M53" i="9" s="1"/>
  <c r="D16" i="2" s="1"/>
  <c r="L198" i="9"/>
  <c r="M198" i="9" s="1"/>
  <c r="F35" i="2" s="1"/>
  <c r="L96" i="9"/>
  <c r="M96" i="9" s="1"/>
  <c r="L121" i="9"/>
  <c r="M121" i="9" s="1"/>
  <c r="L204" i="9"/>
  <c r="M204" i="9" s="1"/>
  <c r="F41" i="2" s="1"/>
  <c r="L151" i="9"/>
  <c r="M151" i="9" s="1"/>
  <c r="E30" i="2" s="1"/>
  <c r="L9" i="9"/>
  <c r="M9" i="9" s="1"/>
  <c r="D14" i="2" s="1"/>
  <c r="L138" i="9"/>
  <c r="M138" i="9" s="1"/>
  <c r="E17" i="2" s="1"/>
  <c r="L79" i="9"/>
  <c r="M79" i="9" s="1"/>
  <c r="L69" i="9"/>
  <c r="M69" i="9" s="1"/>
  <c r="L162" i="9"/>
  <c r="M162" i="9" s="1"/>
  <c r="E41" i="2" s="1"/>
  <c r="L57" i="9"/>
  <c r="M57" i="9" s="1"/>
  <c r="L137" i="9"/>
  <c r="M137" i="9" s="1"/>
  <c r="E16" i="2" s="1"/>
  <c r="L120" i="9"/>
  <c r="M120" i="9" s="1"/>
  <c r="L60" i="9"/>
  <c r="M60" i="9" s="1"/>
  <c r="L110" i="9"/>
  <c r="M110" i="9" s="1"/>
  <c r="L39" i="9"/>
  <c r="M39" i="9" s="1"/>
  <c r="D44" i="2" s="1"/>
  <c r="L34" i="9"/>
  <c r="M34" i="9" s="1"/>
  <c r="D39" i="2" s="1"/>
  <c r="L15" i="9"/>
  <c r="M15" i="9" s="1"/>
  <c r="D20" i="2" s="1"/>
  <c r="L32" i="9"/>
  <c r="M32" i="9" s="1"/>
  <c r="D37" i="2" s="1"/>
  <c r="L40" i="9"/>
  <c r="M40" i="9" s="1"/>
  <c r="D45" i="2" s="1"/>
  <c r="L31" i="9"/>
  <c r="M31" i="9" s="1"/>
  <c r="D36" i="2" s="1"/>
  <c r="L29" i="9"/>
  <c r="M29" i="9" s="1"/>
  <c r="D34" i="2" s="1"/>
  <c r="L10" i="9"/>
  <c r="M10" i="9" s="1"/>
  <c r="D15" i="2" s="1"/>
  <c r="L38" i="9"/>
  <c r="M38" i="9" s="1"/>
  <c r="D43" i="2" s="1"/>
  <c r="L14" i="9"/>
  <c r="M14" i="9" s="1"/>
  <c r="D19" i="2" s="1"/>
  <c r="L27" i="9"/>
  <c r="M27" i="9" s="1"/>
  <c r="L26" i="9"/>
  <c r="M26" i="9" s="1"/>
  <c r="L33" i="9"/>
  <c r="M33" i="9" s="1"/>
  <c r="D38" i="2" s="1"/>
  <c r="L13" i="9"/>
  <c r="M13" i="9" s="1"/>
  <c r="L18" i="9"/>
  <c r="M18" i="9" s="1"/>
  <c r="D23" i="2" s="1"/>
  <c r="L24" i="9"/>
  <c r="M24" i="9" s="1"/>
  <c r="D29" i="2" s="1"/>
  <c r="L30" i="9"/>
  <c r="M30" i="9" s="1"/>
  <c r="D35" i="2" s="1"/>
  <c r="AQ13" i="33"/>
  <c r="AR13" i="33"/>
  <c r="AM13" i="33"/>
  <c r="AS13" i="33"/>
  <c r="AP13" i="33"/>
  <c r="AO13" i="33"/>
  <c r="AL19" i="33"/>
  <c r="R20" i="33" s="1"/>
  <c r="AX12" i="28"/>
  <c r="I14" i="37" s="1"/>
  <c r="AY12" i="28"/>
  <c r="J14" i="37" s="1"/>
  <c r="AT12" i="28"/>
  <c r="E14" i="37" s="1"/>
  <c r="AW12" i="28"/>
  <c r="H14" i="37" s="1"/>
  <c r="AV12" i="28"/>
  <c r="G14" i="37" s="1"/>
  <c r="AS12" i="28"/>
  <c r="D14" i="37" s="1"/>
  <c r="AU12" i="28"/>
  <c r="F14" i="37" s="1"/>
  <c r="AW26" i="28"/>
  <c r="H23" i="37" s="1"/>
  <c r="AS26" i="28"/>
  <c r="D23" i="37" s="1"/>
  <c r="AV26" i="28"/>
  <c r="G23" i="37" s="1"/>
  <c r="AT26" i="28"/>
  <c r="E23" i="37" s="1"/>
  <c r="AY26" i="28"/>
  <c r="J23" i="37" s="1"/>
  <c r="AX26" i="28"/>
  <c r="I23" i="37" s="1"/>
  <c r="AU26" i="28"/>
  <c r="F23" i="37" s="1"/>
  <c r="AV25" i="28"/>
  <c r="G22" i="37" s="1"/>
  <c r="AS25" i="28"/>
  <c r="D22" i="37" s="1"/>
  <c r="AY25" i="28"/>
  <c r="J22" i="37" s="1"/>
  <c r="AU25" i="28"/>
  <c r="F22" i="37" s="1"/>
  <c r="AW25" i="28"/>
  <c r="H22" i="37" s="1"/>
  <c r="AT25" i="28"/>
  <c r="E22" i="37" s="1"/>
  <c r="AX25" i="28"/>
  <c r="I22" i="37" s="1"/>
  <c r="AS11" i="28"/>
  <c r="D13" i="37" s="1"/>
  <c r="AT11" i="28"/>
  <c r="E13" i="37" s="1"/>
  <c r="AV11" i="28"/>
  <c r="G13" i="37" s="1"/>
  <c r="AW11" i="28"/>
  <c r="H13" i="37" s="1"/>
  <c r="AU11" i="28"/>
  <c r="F13" i="37" s="1"/>
  <c r="AY11" i="28"/>
  <c r="J13" i="37" s="1"/>
  <c r="AX11" i="28"/>
  <c r="I13" i="37" s="1"/>
  <c r="AW9" i="28"/>
  <c r="H11" i="37" s="1"/>
  <c r="AY9" i="28"/>
  <c r="J11" i="37" s="1"/>
  <c r="AX9" i="28"/>
  <c r="I11" i="37" s="1"/>
  <c r="AS9" i="28"/>
  <c r="D11" i="37" s="1"/>
  <c r="AT9" i="28"/>
  <c r="E11" i="37" s="1"/>
  <c r="AV9" i="28"/>
  <c r="G11" i="37" s="1"/>
  <c r="AU9" i="28"/>
  <c r="F11" i="37" s="1"/>
  <c r="AX6" i="28"/>
  <c r="I8" i="37" s="1"/>
  <c r="AT6" i="28"/>
  <c r="E8" i="37" s="1"/>
  <c r="AW6" i="28"/>
  <c r="H8" i="37" s="1"/>
  <c r="AV6" i="28"/>
  <c r="G8" i="37" s="1"/>
  <c r="AY6" i="28"/>
  <c r="J8" i="37" s="1"/>
  <c r="AU6" i="28"/>
  <c r="F8" i="37" s="1"/>
  <c r="AS6" i="28"/>
  <c r="D8" i="37" s="1"/>
  <c r="AT13" i="33"/>
  <c r="AV27" i="28"/>
  <c r="G24" i="37" s="1"/>
  <c r="AU27" i="28"/>
  <c r="F24" i="37" s="1"/>
  <c r="AY27" i="28"/>
  <c r="J24" i="37" s="1"/>
  <c r="AW27" i="28"/>
  <c r="H24" i="37" s="1"/>
  <c r="AS27" i="28"/>
  <c r="D24" i="37" s="1"/>
  <c r="AT27" i="28"/>
  <c r="E24" i="37" s="1"/>
  <c r="AX27" i="28"/>
  <c r="I24" i="37" s="1"/>
  <c r="AY24" i="28"/>
  <c r="J21" i="37" s="1"/>
  <c r="AS24" i="28"/>
  <c r="D21" i="37" s="1"/>
  <c r="AW24" i="28"/>
  <c r="H21" i="37" s="1"/>
  <c r="AT24" i="28"/>
  <c r="E21" i="37" s="1"/>
  <c r="AU24" i="28"/>
  <c r="F21" i="37" s="1"/>
  <c r="AX24" i="28"/>
  <c r="I21" i="37" s="1"/>
  <c r="AV24" i="28"/>
  <c r="G21" i="37" s="1"/>
  <c r="AT13" i="28"/>
  <c r="E15" i="37" s="1"/>
  <c r="AV13" i="28"/>
  <c r="G15" i="37" s="1"/>
  <c r="AU13" i="28"/>
  <c r="F15" i="37" s="1"/>
  <c r="AS13" i="28"/>
  <c r="D15" i="37" s="1"/>
  <c r="AY13" i="28"/>
  <c r="J15" i="37" s="1"/>
  <c r="AX13" i="28"/>
  <c r="I15" i="37" s="1"/>
  <c r="AW13" i="28"/>
  <c r="H15" i="37" s="1"/>
  <c r="AU21" i="28"/>
  <c r="F18" i="37" s="1"/>
  <c r="AX21" i="28"/>
  <c r="I18" i="37" s="1"/>
  <c r="AY21" i="28"/>
  <c r="J18" i="37" s="1"/>
  <c r="AT21" i="28"/>
  <c r="E18" i="37" s="1"/>
  <c r="AW21" i="28"/>
  <c r="H18" i="37" s="1"/>
  <c r="AV21" i="28"/>
  <c r="G18" i="37" s="1"/>
  <c r="AS21" i="28"/>
  <c r="D18" i="37" s="1"/>
  <c r="AN13" i="33"/>
  <c r="AT28" i="28"/>
  <c r="E25" i="37" s="1"/>
  <c r="AU28" i="28"/>
  <c r="F25" i="37" s="1"/>
  <c r="AX28" i="28"/>
  <c r="I25" i="37" s="1"/>
  <c r="AW28" i="28"/>
  <c r="H25" i="37" s="1"/>
  <c r="AS28" i="28"/>
  <c r="D25" i="37" s="1"/>
  <c r="AY28" i="28"/>
  <c r="J25" i="37" s="1"/>
  <c r="AV28" i="28"/>
  <c r="G25" i="37" s="1"/>
  <c r="D41" i="2" l="1"/>
  <c r="D28" i="2"/>
  <c r="D26" i="2"/>
  <c r="D42" i="2"/>
  <c r="D17" i="2"/>
  <c r="D30" i="2"/>
  <c r="D21" i="2"/>
  <c r="D31" i="2"/>
  <c r="D27" i="2"/>
  <c r="D24" i="2"/>
  <c r="D22" i="2"/>
  <c r="D32" i="2"/>
  <c r="D25" i="2"/>
  <c r="AT43" i="2"/>
  <c r="I77" i="36"/>
  <c r="AF77" i="36" s="1"/>
  <c r="AH77" i="36" s="1"/>
  <c r="AT20" i="28"/>
  <c r="E17" i="37" s="1"/>
  <c r="AW20" i="28"/>
  <c r="H17" i="37" s="1"/>
  <c r="AV20" i="28"/>
  <c r="G17" i="37" s="1"/>
  <c r="AS20" i="28"/>
  <c r="D17" i="37" s="1"/>
  <c r="AX20" i="28"/>
  <c r="I17" i="37" s="1"/>
  <c r="AU20" i="28"/>
  <c r="F17" i="37" s="1"/>
  <c r="I78" i="36"/>
  <c r="AF78" i="36" s="1"/>
  <c r="AF41" i="36"/>
  <c r="AH41" i="36" s="1"/>
  <c r="AG7" i="36"/>
  <c r="AO7" i="36" s="1"/>
  <c r="AG23" i="36"/>
  <c r="AO23" i="36" s="1"/>
  <c r="AH23" i="36" s="1"/>
  <c r="AJ23" i="36" s="1"/>
  <c r="AL23" i="36" s="1"/>
  <c r="AM23" i="36" s="1"/>
  <c r="AG8" i="36"/>
  <c r="AE79" i="36"/>
  <c r="N8" i="37"/>
  <c r="N11" i="37"/>
  <c r="N18" i="37"/>
  <c r="N25" i="37"/>
  <c r="N24" i="37"/>
  <c r="N21" i="37"/>
  <c r="N23" i="37"/>
  <c r="N15" i="37"/>
  <c r="N13" i="37"/>
  <c r="N14" i="37"/>
  <c r="N22" i="37"/>
  <c r="AU13" i="33" a="1"/>
  <c r="AU13" i="33" s="1"/>
  <c r="AE77" i="36"/>
  <c r="AS29" i="28"/>
  <c r="D26" i="37" s="1"/>
  <c r="AT29" i="28"/>
  <c r="E26" i="37" s="1"/>
  <c r="AW29" i="28"/>
  <c r="H26" i="37" s="1"/>
  <c r="AY29" i="28"/>
  <c r="J26" i="37" s="1"/>
  <c r="AX29" i="28"/>
  <c r="I26" i="37" s="1"/>
  <c r="AV29" i="28"/>
  <c r="G26" i="37" s="1"/>
  <c r="AH40" i="36"/>
  <c r="AK8" i="36" s="1"/>
  <c r="C8" i="28" s="1"/>
  <c r="AV7" i="28"/>
  <c r="G9" i="37" s="1"/>
  <c r="AX7" i="28"/>
  <c r="I9" i="37" s="1"/>
  <c r="AW7" i="28"/>
  <c r="H9" i="37" s="1"/>
  <c r="AU7" i="28"/>
  <c r="F9" i="37" s="1"/>
  <c r="AT7" i="28"/>
  <c r="E9" i="37" s="1"/>
  <c r="AY7" i="28"/>
  <c r="J9" i="37" s="1"/>
  <c r="J57" i="37"/>
  <c r="J44" i="37"/>
  <c r="G47" i="37"/>
  <c r="G49" i="37"/>
  <c r="I60" i="37"/>
  <c r="I35" i="37"/>
  <c r="F58" i="37"/>
  <c r="I36" i="37"/>
  <c r="D49" i="37"/>
  <c r="J53" i="37"/>
  <c r="J45" i="37"/>
  <c r="E44" i="37"/>
  <c r="H63" i="37"/>
  <c r="G41" i="37"/>
  <c r="D35" i="37"/>
  <c r="D53" i="37"/>
  <c r="G45" i="37"/>
  <c r="J36" i="37"/>
  <c r="J47" i="37"/>
  <c r="E35" i="37"/>
  <c r="I58" i="37"/>
  <c r="E53" i="37"/>
  <c r="F53" i="37"/>
  <c r="F45" i="37"/>
  <c r="I45" i="37"/>
  <c r="F49" i="37"/>
  <c r="E49" i="37"/>
  <c r="D36" i="37"/>
  <c r="F36" i="37"/>
  <c r="I44" i="37"/>
  <c r="F63" i="37"/>
  <c r="H47" i="37"/>
  <c r="F47" i="37"/>
  <c r="E57" i="37"/>
  <c r="H41" i="37"/>
  <c r="G60" i="37"/>
  <c r="H54" i="37"/>
  <c r="G35" i="37"/>
  <c r="H35" i="37"/>
  <c r="D58" i="37"/>
  <c r="H58" i="37"/>
  <c r="H53" i="37"/>
  <c r="G53" i="37"/>
  <c r="G34" i="37"/>
  <c r="D45" i="37"/>
  <c r="E45" i="37"/>
  <c r="I49" i="37"/>
  <c r="E36" i="37"/>
  <c r="G44" i="37"/>
  <c r="F44" i="37"/>
  <c r="D63" i="37"/>
  <c r="D47" i="37"/>
  <c r="H57" i="37"/>
  <c r="F41" i="37"/>
  <c r="I54" i="37"/>
  <c r="F35" i="37"/>
  <c r="E58" i="37"/>
  <c r="J58" i="37"/>
  <c r="D34" i="37"/>
  <c r="J49" i="37"/>
  <c r="H36" i="37"/>
  <c r="H44" i="37"/>
  <c r="G63" i="37"/>
  <c r="E47" i="37"/>
  <c r="I57" i="37"/>
  <c r="F60" i="37"/>
  <c r="G54" i="37"/>
  <c r="J56" i="37"/>
  <c r="D48" i="37"/>
  <c r="J51" i="37"/>
  <c r="J63" i="37"/>
  <c r="G57" i="37"/>
  <c r="F57" i="37"/>
  <c r="D41" i="37"/>
  <c r="E60" i="37"/>
  <c r="H60" i="37"/>
  <c r="E54" i="37"/>
  <c r="D54" i="37"/>
  <c r="G62" i="37"/>
  <c r="E41" i="37"/>
  <c r="I38" i="37"/>
  <c r="G37" i="37"/>
  <c r="D42" i="37"/>
  <c r="H61" i="37"/>
  <c r="D51" i="37"/>
  <c r="J43" i="37"/>
  <c r="D62" i="37"/>
  <c r="I50" i="37"/>
  <c r="H43" i="37"/>
  <c r="I55" i="37"/>
  <c r="F50" i="37"/>
  <c r="H42" i="37"/>
  <c r="H39" i="37"/>
  <c r="D59" i="37"/>
  <c r="E48" i="37"/>
  <c r="E55" i="37"/>
  <c r="E38" i="37"/>
  <c r="D61" i="37"/>
  <c r="E37" i="37"/>
  <c r="G42" i="37"/>
  <c r="E39" i="37"/>
  <c r="D43" i="37"/>
  <c r="H62" i="37"/>
  <c r="E59" i="37"/>
  <c r="H48" i="37"/>
  <c r="H55" i="37"/>
  <c r="H38" i="37"/>
  <c r="I56" i="37"/>
  <c r="E42" i="37"/>
  <c r="E51" i="37"/>
  <c r="D39" i="37"/>
  <c r="G43" i="37"/>
  <c r="E62" i="37"/>
  <c r="I59" i="37"/>
  <c r="G48" i="37"/>
  <c r="J55" i="37"/>
  <c r="F38" i="37"/>
  <c r="G61" i="37"/>
  <c r="I63" i="37"/>
  <c r="I37" i="37"/>
  <c r="I41" i="37"/>
  <c r="D60" i="37"/>
  <c r="E50" i="37"/>
  <c r="F54" i="37"/>
  <c r="F56" i="37"/>
  <c r="F61" i="37"/>
  <c r="J37" i="37"/>
  <c r="D50" i="37"/>
  <c r="I51" i="37"/>
  <c r="G51" i="37"/>
  <c r="J39" i="37"/>
  <c r="E43" i="37"/>
  <c r="I62" i="37"/>
  <c r="H59" i="37"/>
  <c r="F59" i="37"/>
  <c r="J48" i="37"/>
  <c r="G55" i="37"/>
  <c r="J38" i="37"/>
  <c r="D38" i="37"/>
  <c r="I61" i="37"/>
  <c r="D37" i="37"/>
  <c r="J50" i="37"/>
  <c r="D56" i="37"/>
  <c r="G56" i="37"/>
  <c r="I42" i="37"/>
  <c r="F42" i="37"/>
  <c r="H51" i="37"/>
  <c r="I39" i="37"/>
  <c r="I43" i="37"/>
  <c r="J62" i="37"/>
  <c r="F48" i="37"/>
  <c r="F55" i="37"/>
  <c r="J61" i="37"/>
  <c r="H37" i="37"/>
  <c r="G50" i="37"/>
  <c r="H56" i="37"/>
  <c r="G46" i="37"/>
  <c r="F46" i="37"/>
  <c r="J46" i="37"/>
  <c r="J52" i="37"/>
  <c r="I46" i="37"/>
  <c r="I52" i="37"/>
  <c r="G52" i="37"/>
  <c r="J40" i="37"/>
  <c r="E52" i="37"/>
  <c r="D52" i="37"/>
  <c r="I40" i="37"/>
  <c r="F52" i="37"/>
  <c r="F40" i="37"/>
  <c r="I34" i="37"/>
  <c r="E46" i="37"/>
  <c r="D46" i="37"/>
  <c r="J34" i="37"/>
  <c r="H40" i="37"/>
  <c r="E40" i="37"/>
  <c r="D40" i="37"/>
  <c r="F34" i="37"/>
  <c r="H34" i="37"/>
  <c r="AF43" i="2"/>
  <c r="A12" i="1"/>
  <c r="C12" i="1" s="1" a="1"/>
  <c r="C12" i="1" s="1"/>
  <c r="E12" i="1" s="1"/>
  <c r="D4" i="2"/>
  <c r="Q2" i="1"/>
  <c r="C78" i="2"/>
  <c r="Z43" i="2" l="1"/>
  <c r="T43" i="2"/>
  <c r="P43" i="2"/>
  <c r="H43" i="2"/>
  <c r="AB43" i="2"/>
  <c r="J43" i="2"/>
  <c r="N43" i="2"/>
  <c r="AN43" i="2"/>
  <c r="AH43" i="2"/>
  <c r="V43" i="2"/>
  <c r="AP43" i="2"/>
  <c r="AJ43" i="2"/>
  <c r="AD43" i="2"/>
  <c r="X43" i="2"/>
  <c r="R43" i="2"/>
  <c r="L43" i="2"/>
  <c r="AR43" i="2"/>
  <c r="AL43" i="2"/>
  <c r="R2" i="1"/>
  <c r="R4" i="1" s="1"/>
  <c r="S2" i="1"/>
  <c r="AK10" i="36"/>
  <c r="C10" i="28" s="1"/>
  <c r="AV10" i="28" s="1"/>
  <c r="G12" i="37" s="1"/>
  <c r="AK30" i="36"/>
  <c r="AI23" i="36"/>
  <c r="AE78" i="36"/>
  <c r="AH78" i="36"/>
  <c r="AE41" i="36"/>
  <c r="AG30" i="36" s="1"/>
  <c r="AO30" i="36" s="1"/>
  <c r="AH30" i="36" s="1"/>
  <c r="F23" i="36"/>
  <c r="E23" i="36" s="1"/>
  <c r="AU8" i="28"/>
  <c r="F10" i="37" s="1"/>
  <c r="AT8" i="28"/>
  <c r="E10" i="37" s="1"/>
  <c r="AX8" i="28"/>
  <c r="I10" i="37" s="1"/>
  <c r="AY8" i="28"/>
  <c r="J10" i="37" s="1"/>
  <c r="AS8" i="28"/>
  <c r="D10" i="37" s="1"/>
  <c r="AV8" i="28"/>
  <c r="G10" i="37" s="1"/>
  <c r="AW8" i="28"/>
  <c r="H10" i="37" s="1"/>
  <c r="AO8" i="36"/>
  <c r="AH8" i="36" s="1"/>
  <c r="AJ8" i="36" s="1"/>
  <c r="AL8" i="36" s="1"/>
  <c r="AM8" i="36" s="1"/>
  <c r="F8" i="36" s="1"/>
  <c r="AI8" i="36"/>
  <c r="AI7" i="36"/>
  <c r="AH7" i="36"/>
  <c r="AJ7" i="36" s="1"/>
  <c r="AL7" i="36" s="1"/>
  <c r="AM7" i="36" s="1"/>
  <c r="J59" i="37"/>
  <c r="F39" i="37"/>
  <c r="B11" i="11"/>
  <c r="F11" i="33"/>
  <c r="D175" i="2"/>
  <c r="D177" i="2" s="1"/>
  <c r="C79" i="2"/>
  <c r="C80" i="2"/>
  <c r="C82" i="2"/>
  <c r="C81" i="2"/>
  <c r="AU10" i="28" l="1"/>
  <c r="F12" i="37" s="1"/>
  <c r="AS10" i="28"/>
  <c r="D12" i="37" s="1"/>
  <c r="AY10" i="28"/>
  <c r="J12" i="37" s="1"/>
  <c r="AI30" i="36"/>
  <c r="AX10" i="28"/>
  <c r="I12" i="37" s="1"/>
  <c r="AW10" i="28"/>
  <c r="H12" i="37" s="1"/>
  <c r="AT10" i="28"/>
  <c r="E12" i="37" s="1"/>
  <c r="AG10" i="36"/>
  <c r="AI10" i="36" s="1"/>
  <c r="AG29" i="36"/>
  <c r="K26" i="37"/>
  <c r="AV14" i="28"/>
  <c r="G16" i="37" s="1"/>
  <c r="E8" i="36"/>
  <c r="K10" i="37"/>
  <c r="N10" i="37" s="1"/>
  <c r="F7" i="36"/>
  <c r="K9" i="37" s="1"/>
  <c r="N9" i="37" s="1"/>
  <c r="R5" i="1"/>
  <c r="R6" i="1" s="1"/>
  <c r="R7" i="1" s="1"/>
  <c r="R8" i="1" s="1"/>
  <c r="R9" i="1" s="1"/>
  <c r="R10" i="1" s="1"/>
  <c r="R11" i="1" s="1"/>
  <c r="R12" i="1" s="1"/>
  <c r="R13" i="1" s="1"/>
  <c r="R14" i="1" s="1"/>
  <c r="R15" i="1" s="1"/>
  <c r="R16" i="1" s="1"/>
  <c r="R17" i="1" s="1"/>
  <c r="R18" i="1" s="1"/>
  <c r="R19" i="1" s="1"/>
  <c r="R20" i="1" s="1"/>
  <c r="R21" i="1" s="1"/>
  <c r="R22" i="1" s="1"/>
  <c r="R23" i="1" s="1"/>
  <c r="R24" i="1" s="1"/>
  <c r="R25" i="1" s="1"/>
  <c r="R26" i="1" s="1"/>
  <c r="R27" i="1" s="1"/>
  <c r="R28" i="1" s="1"/>
  <c r="R29" i="1" s="1"/>
  <c r="R30" i="1" s="1"/>
  <c r="R31" i="1" s="1"/>
  <c r="R32" i="1" s="1"/>
  <c r="R33" i="1" s="1"/>
  <c r="R34" i="1" s="1"/>
  <c r="R35" i="1" s="1"/>
  <c r="R36" i="1" s="1"/>
  <c r="Q4" i="1" a="1"/>
  <c r="Q4" i="1" s="1"/>
  <c r="F177" i="2"/>
  <c r="F178" i="2" s="1"/>
  <c r="F179" i="2" s="1"/>
  <c r="F107" i="37" s="1"/>
  <c r="E177" i="2"/>
  <c r="E178" i="2" s="1"/>
  <c r="E179" i="2" s="1"/>
  <c r="E107" i="37" s="1"/>
  <c r="D178" i="2"/>
  <c r="D179" i="2" s="1"/>
  <c r="C40" i="11" s="1"/>
  <c r="AS14" i="28" l="1"/>
  <c r="D16" i="37" s="1"/>
  <c r="AU14" i="28"/>
  <c r="F16" i="37" s="1"/>
  <c r="AY14" i="28"/>
  <c r="J16" i="37" s="1"/>
  <c r="AW14" i="28"/>
  <c r="H16" i="37" s="1"/>
  <c r="AX14" i="28"/>
  <c r="I16" i="37" s="1"/>
  <c r="AT14" i="28"/>
  <c r="E16" i="37" s="1"/>
  <c r="AO10" i="36"/>
  <c r="AH10" i="36" s="1"/>
  <c r="AJ10" i="36" s="1"/>
  <c r="AL10" i="36" s="1"/>
  <c r="AM10" i="36" s="1"/>
  <c r="F10" i="36" s="1"/>
  <c r="K12" i="37" s="1"/>
  <c r="N12" i="37" s="1"/>
  <c r="AI29" i="36"/>
  <c r="AO29" i="36"/>
  <c r="AH29" i="36" s="1"/>
  <c r="G17" i="11"/>
  <c r="E7" i="36"/>
  <c r="R37" i="1"/>
  <c r="R38" i="1" s="1"/>
  <c r="R39" i="1" s="1"/>
  <c r="R40" i="1" s="1"/>
  <c r="R41" i="1" s="1"/>
  <c r="R42" i="1" s="1"/>
  <c r="R43" i="1" s="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R92" i="1" s="1"/>
  <c r="R93" i="1" s="1"/>
  <c r="R94" i="1" s="1"/>
  <c r="R95" i="1" s="1"/>
  <c r="R96" i="1" s="1"/>
  <c r="Q36" i="1" a="1"/>
  <c r="Q36" i="1" s="1"/>
  <c r="D107" i="37"/>
  <c r="D40" i="11"/>
  <c r="AN23" i="33" s="1"/>
  <c r="I40" i="11"/>
  <c r="AS23" i="33" s="1"/>
  <c r="Q5" i="1" a="1"/>
  <c r="Q5" i="1" s="1"/>
  <c r="J17" i="11" l="1"/>
  <c r="D17" i="11"/>
  <c r="E17" i="11"/>
  <c r="C17" i="11"/>
  <c r="H17" i="11"/>
  <c r="I17" i="11"/>
  <c r="E10" i="36"/>
  <c r="R97" i="1"/>
  <c r="R98" i="1" s="1"/>
  <c r="Q96" i="1" a="1"/>
  <c r="Q96" i="1" s="1"/>
  <c r="Q16" i="1" a="1"/>
  <c r="Q16" i="1" s="1"/>
  <c r="AM23" i="33"/>
  <c r="Q6" i="1" a="1"/>
  <c r="Q6" i="1" s="1"/>
  <c r="Q98" i="1" l="1" a="1"/>
  <c r="Q98" i="1" s="1"/>
  <c r="R99" i="1"/>
  <c r="F17" i="11"/>
  <c r="Q97" i="1" a="1"/>
  <c r="Q97" i="1" s="1"/>
  <c r="Q17" i="1" a="1"/>
  <c r="Q17" i="1" s="1"/>
  <c r="F40" i="11"/>
  <c r="AP23" i="33" s="1"/>
  <c r="AU23" i="33" s="1" a="1"/>
  <c r="AU23" i="33" s="1"/>
  <c r="Q7" i="1" a="1"/>
  <c r="Q7" i="1" s="1"/>
  <c r="Q99" i="1" l="1" a="1"/>
  <c r="Q99" i="1" s="1"/>
  <c r="R100" i="1"/>
  <c r="Q18" i="1" a="1"/>
  <c r="Q18" i="1" s="1"/>
  <c r="Q8" i="1" a="1"/>
  <c r="Q8" i="1" s="1"/>
  <c r="Q100" i="1" l="1" a="1"/>
  <c r="Q100" i="1" s="1"/>
  <c r="R101" i="1"/>
  <c r="Q19" i="1" a="1"/>
  <c r="Q19" i="1" s="1"/>
  <c r="Q9" i="1" a="1"/>
  <c r="Q9" i="1" s="1"/>
  <c r="Q101" i="1" l="1" a="1"/>
  <c r="Q101" i="1" s="1"/>
  <c r="R102" i="1"/>
  <c r="Q20" i="1" a="1"/>
  <c r="Q20" i="1" s="1"/>
  <c r="Q10" i="1" a="1"/>
  <c r="Q10" i="1" s="1"/>
  <c r="R103" i="1" l="1"/>
  <c r="Q102" i="1" a="1"/>
  <c r="Q102" i="1" s="1"/>
  <c r="Q21" i="1" a="1"/>
  <c r="Q21" i="1" s="1"/>
  <c r="Q11" i="1" a="1"/>
  <c r="Q11" i="1" s="1"/>
  <c r="Q103" i="1" l="1" a="1"/>
  <c r="Q103" i="1" s="1"/>
  <c r="R104" i="1"/>
  <c r="Q22" i="1" a="1"/>
  <c r="Q22" i="1" s="1"/>
  <c r="Q12" i="1" a="1"/>
  <c r="Q12" i="1" s="1"/>
  <c r="R105" i="1" l="1"/>
  <c r="Q104" i="1" a="1"/>
  <c r="Q104" i="1" s="1"/>
  <c r="Q23" i="1" a="1"/>
  <c r="Q23" i="1" s="1"/>
  <c r="Q13" i="1" a="1"/>
  <c r="Q13" i="1" s="1"/>
  <c r="Q105" i="1" l="1" a="1"/>
  <c r="Q105" i="1" s="1"/>
  <c r="R106" i="1"/>
  <c r="Q24" i="1" a="1"/>
  <c r="Q24" i="1" s="1"/>
  <c r="Q14" i="1" a="1"/>
  <c r="Q14" i="1" s="1"/>
  <c r="R107" i="1" l="1"/>
  <c r="Q106" i="1" a="1"/>
  <c r="Q106" i="1" s="1"/>
  <c r="Q25" i="1" a="1"/>
  <c r="Q25" i="1" s="1"/>
  <c r="Q15" i="1" a="1"/>
  <c r="Q15" i="1" s="1"/>
  <c r="R108" i="1" l="1"/>
  <c r="Q107" i="1" a="1"/>
  <c r="Q107" i="1" s="1"/>
  <c r="Q26" i="1" a="1"/>
  <c r="Q26" i="1" s="1"/>
  <c r="R109" i="1" l="1"/>
  <c r="Q108" i="1" a="1"/>
  <c r="Q108" i="1" s="1"/>
  <c r="Q27" i="1" a="1"/>
  <c r="Q27" i="1" s="1"/>
  <c r="Q109" i="1" l="1" a="1"/>
  <c r="Q109" i="1" s="1"/>
  <c r="R110" i="1"/>
  <c r="Q28" i="1" a="1"/>
  <c r="Q28" i="1" s="1"/>
  <c r="R111" i="1" l="1"/>
  <c r="Q110" i="1" a="1"/>
  <c r="Q110" i="1" s="1"/>
  <c r="Q29" i="1" a="1"/>
  <c r="Q29" i="1" s="1"/>
  <c r="Q111" i="1" l="1" a="1"/>
  <c r="Q111" i="1" s="1"/>
  <c r="R112" i="1"/>
  <c r="Q112" i="1" s="1" a="1"/>
  <c r="Q112" i="1" s="1"/>
  <c r="Q30" i="1" a="1"/>
  <c r="Q30" i="1" s="1"/>
  <c r="Q34" i="1" l="1" a="1"/>
  <c r="Q34" i="1" s="1"/>
  <c r="Q31" i="1" a="1"/>
  <c r="Q31" i="1" s="1"/>
  <c r="Q32" i="1" a="1"/>
  <c r="Q32" i="1" s="1"/>
  <c r="Q33" i="1" a="1"/>
  <c r="Q33" i="1" s="1"/>
  <c r="Q35" i="1" l="1" a="1"/>
  <c r="Q35" i="1" s="1"/>
  <c r="E165" i="2"/>
  <c r="H165" i="2"/>
  <c r="F165" i="2"/>
  <c r="Q37" i="1" l="1" a="1"/>
  <c r="Q37" i="1" s="1"/>
  <c r="D197" i="2"/>
  <c r="G165" i="2"/>
  <c r="D101" i="37"/>
  <c r="I165" i="2"/>
  <c r="Q38" i="1" l="1" a="1"/>
  <c r="Q38" i="1" s="1"/>
  <c r="D201" i="2"/>
  <c r="D108" i="37"/>
  <c r="E101" i="37"/>
  <c r="F101" i="37"/>
  <c r="Q39" i="1" l="1" a="1"/>
  <c r="Q39" i="1" s="1"/>
  <c r="D112" i="37"/>
  <c r="C43" i="11"/>
  <c r="Q40" i="1" l="1" a="1"/>
  <c r="Q40" i="1" s="1"/>
  <c r="F43" i="11"/>
  <c r="AP25" i="33" s="1"/>
  <c r="AM25" i="33"/>
  <c r="AU25" i="33" s="1" a="1"/>
  <c r="AU25" i="33" s="1"/>
  <c r="Q41" i="1" l="1" a="1"/>
  <c r="Q41" i="1" s="1"/>
  <c r="AH43" i="36"/>
  <c r="AK29" i="36" s="1"/>
  <c r="U26" i="38"/>
  <c r="Z26" i="38" s="1"/>
  <c r="AC26" i="38" s="1"/>
  <c r="AE26" i="38" s="1"/>
  <c r="AG26" i="38" s="1"/>
  <c r="I26" i="38" s="1"/>
  <c r="Q42" i="1" l="1" a="1"/>
  <c r="Q42" i="1" s="1"/>
  <c r="AF26" i="38"/>
  <c r="AM26" i="38" s="1"/>
  <c r="Q43" i="1" l="1" a="1"/>
  <c r="Q43" i="1" s="1"/>
  <c r="AJ26" i="38"/>
  <c r="AK26" i="38" a="1"/>
  <c r="AK26" i="38" s="1"/>
  <c r="AL26" i="38"/>
  <c r="AI26" i="38"/>
  <c r="Q44" i="1" l="1" a="1"/>
  <c r="Q44" i="1" s="1"/>
  <c r="L26" i="38"/>
  <c r="N26" i="38" s="1"/>
  <c r="C166" i="2" s="1"/>
  <c r="F6" i="38"/>
  <c r="F7" i="38" s="1"/>
  <c r="Q45" i="1" l="1" a="1"/>
  <c r="Q45" i="1" s="1"/>
  <c r="C168" i="2"/>
  <c r="D166" i="2"/>
  <c r="D168" i="2" s="1"/>
  <c r="G6" i="38"/>
  <c r="G7" i="38" s="1"/>
  <c r="Q46" i="1" l="1" a="1"/>
  <c r="Q46" i="1" s="1"/>
  <c r="E166" i="2"/>
  <c r="D102" i="37" s="1"/>
  <c r="H166" i="2"/>
  <c r="H168" i="2" s="1"/>
  <c r="F166" i="2"/>
  <c r="G166" i="2" s="1"/>
  <c r="Q47" i="1" l="1" a="1"/>
  <c r="Q47" i="1" s="1"/>
  <c r="I166" i="2"/>
  <c r="F102" i="37" s="1"/>
  <c r="E168" i="2"/>
  <c r="D104" i="37" s="1"/>
  <c r="F168" i="2"/>
  <c r="E102" i="37"/>
  <c r="G168" i="2"/>
  <c r="Q48" i="1" l="1" a="1"/>
  <c r="Q48" i="1" s="1"/>
  <c r="C37" i="11"/>
  <c r="I168" i="2"/>
  <c r="I37" i="11" s="1"/>
  <c r="D37" i="11"/>
  <c r="E104" i="37"/>
  <c r="Q49" i="1" l="1" a="1"/>
  <c r="Q49" i="1" s="1"/>
  <c r="F104" i="37"/>
  <c r="F37" i="11"/>
  <c r="Q50" i="1" l="1" a="1"/>
  <c r="Q50" i="1" s="1"/>
  <c r="Q51" i="1" l="1" a="1"/>
  <c r="Q51" i="1" s="1"/>
  <c r="Q52" i="1" l="1" a="1"/>
  <c r="Q52" i="1" s="1"/>
  <c r="Q53" i="1" l="1" a="1"/>
  <c r="Q53" i="1" s="1"/>
  <c r="Q54" i="1" l="1" a="1"/>
  <c r="Q54" i="1" s="1"/>
  <c r="Q55" i="1" l="1" a="1"/>
  <c r="Q55" i="1" s="1"/>
  <c r="Q56" i="1" l="1" a="1"/>
  <c r="Q56" i="1" s="1"/>
  <c r="Q57" i="1" l="1" a="1"/>
  <c r="Q57" i="1" s="1"/>
  <c r="Q58" i="1" l="1" a="1"/>
  <c r="Q58" i="1" s="1"/>
  <c r="Q59" i="1" l="1" a="1"/>
  <c r="Q59" i="1" s="1"/>
  <c r="Q60" i="1" l="1" a="1"/>
  <c r="Q60" i="1" s="1"/>
  <c r="AH60" i="36" l="1"/>
  <c r="AK16" i="36" s="1"/>
  <c r="C22" i="28" s="1"/>
  <c r="Q61" i="1" a="1"/>
  <c r="Q61" i="1" s="1"/>
  <c r="AS22" i="28" l="1"/>
  <c r="AW22" i="28"/>
  <c r="AU22" i="28"/>
  <c r="AX22" i="28"/>
  <c r="AT22" i="28"/>
  <c r="AV22" i="28"/>
  <c r="AY22" i="28"/>
  <c r="AE60" i="36"/>
  <c r="AG16" i="36" s="1"/>
  <c r="Q62" i="1" a="1"/>
  <c r="Q62" i="1" s="1"/>
  <c r="AO16" i="36" l="1"/>
  <c r="AH16" i="36" s="1"/>
  <c r="AJ16" i="36" s="1"/>
  <c r="AL16" i="36" s="1"/>
  <c r="AM16" i="36" s="1"/>
  <c r="AI16" i="36"/>
  <c r="E19" i="37"/>
  <c r="G19" i="37"/>
  <c r="I19" i="37"/>
  <c r="J19" i="37"/>
  <c r="F19" i="37"/>
  <c r="H19" i="37"/>
  <c r="D19" i="37"/>
  <c r="Q63" i="1" a="1"/>
  <c r="Q63" i="1" s="1"/>
  <c r="F16" i="36" l="1"/>
  <c r="E16" i="36" s="1"/>
  <c r="Q64" i="1" a="1"/>
  <c r="Q64" i="1" s="1"/>
  <c r="K19" i="37" l="1"/>
  <c r="N19" i="37" s="1"/>
  <c r="Q65" i="1" a="1"/>
  <c r="Q65" i="1" s="1"/>
  <c r="Q66" i="1" l="1" a="1"/>
  <c r="Q66" i="1" s="1"/>
  <c r="Q67" i="1" l="1" a="1"/>
  <c r="Q67" i="1" s="1"/>
  <c r="Q68" i="1" l="1" a="1"/>
  <c r="Q68" i="1" s="1"/>
  <c r="D8" i="9"/>
  <c r="I8" i="9"/>
  <c r="Q69" i="1" l="1" a="1"/>
  <c r="Q69" i="1" s="1"/>
  <c r="J8" i="9"/>
  <c r="K8" i="9" s="1"/>
  <c r="Q70" i="1" l="1" a="1"/>
  <c r="Q70" i="1" s="1"/>
  <c r="L8" i="9"/>
  <c r="M8" i="9" s="1"/>
  <c r="D13" i="2" s="1"/>
  <c r="Q71" i="1" l="1" a="1"/>
  <c r="Q71" i="1" s="1"/>
  <c r="Q72" i="1" l="1" a="1"/>
  <c r="Q72" i="1" s="1"/>
  <c r="Q73" i="1" l="1" a="1"/>
  <c r="Q73" i="1" s="1"/>
  <c r="Q74" i="1" l="1" a="1"/>
  <c r="Q74" i="1" s="1"/>
  <c r="Q75" i="1" l="1" a="1"/>
  <c r="Q75" i="1" s="1"/>
  <c r="Q76" i="1" l="1" a="1"/>
  <c r="Q76" i="1" s="1"/>
  <c r="Q77" i="1" l="1" a="1"/>
  <c r="Q77" i="1" s="1"/>
  <c r="E55" i="9"/>
  <c r="I55" i="9" s="1"/>
  <c r="Q78" i="1" l="1" a="1"/>
  <c r="Q78" i="1" s="1"/>
  <c r="J55" i="9"/>
  <c r="K55" i="9" s="1"/>
  <c r="Q79" i="1" l="1" a="1"/>
  <c r="Q79" i="1" s="1"/>
  <c r="L55" i="9"/>
  <c r="M55" i="9" s="1"/>
  <c r="D18" i="2" s="1"/>
  <c r="Q80" i="1" l="1" a="1"/>
  <c r="Q80" i="1" s="1"/>
  <c r="Q81" i="1" l="1" a="1"/>
  <c r="Q81" i="1" s="1"/>
  <c r="Q82" i="1" l="1" a="1"/>
  <c r="Q82" i="1" s="1"/>
  <c r="Q83" i="1" l="1" a="1"/>
  <c r="Q83" i="1" s="1"/>
  <c r="Q84" i="1" l="1" a="1"/>
  <c r="Q84" i="1" s="1"/>
  <c r="Q85" i="1" l="1" a="1"/>
  <c r="Q85" i="1" s="1"/>
  <c r="Q86" i="1" l="1" a="1"/>
  <c r="Q86" i="1" s="1"/>
  <c r="Q87" i="1" l="1" a="1"/>
  <c r="Q87" i="1" s="1"/>
  <c r="Q88" i="1" l="1" a="1"/>
  <c r="Q88" i="1" s="1"/>
  <c r="Q89" i="1" l="1" a="1"/>
  <c r="Q89" i="1" s="1"/>
  <c r="Q90" i="1" l="1" a="1"/>
  <c r="Q90" i="1" s="1"/>
  <c r="Q91" i="1" l="1" a="1"/>
  <c r="Q91" i="1" s="1"/>
  <c r="Q92" i="1" l="1" a="1"/>
  <c r="Q92" i="1" s="1"/>
  <c r="Q93" i="1" l="1" a="1"/>
  <c r="Q93" i="1" s="1"/>
  <c r="Q95" i="1" l="1" a="1"/>
  <c r="Q95" i="1" s="1"/>
  <c r="Q94" i="1" a="1"/>
  <c r="Q94" i="1" s="1"/>
  <c r="T2" i="1" l="1"/>
  <c r="A55" i="1" l="1" a="1"/>
  <c r="A55" i="1" s="1"/>
  <c r="O6" i="2" s="1"/>
  <c r="O40" i="2" s="1"/>
  <c r="A64" i="1" a="1"/>
  <c r="A64" i="1" s="1"/>
  <c r="AG6" i="2" s="1"/>
  <c r="A60" i="1" a="1"/>
  <c r="A60" i="1" s="1"/>
  <c r="Y6" i="2" s="1"/>
  <c r="Y18" i="2" s="1"/>
  <c r="A56" i="1" a="1"/>
  <c r="A56" i="1" s="1"/>
  <c r="Q6" i="2" s="1"/>
  <c r="Q33" i="2" s="1"/>
  <c r="A59" i="1" a="1"/>
  <c r="A59" i="1" s="1"/>
  <c r="W6" i="2" s="1"/>
  <c r="W30" i="2" s="1"/>
  <c r="A70" i="1" a="1"/>
  <c r="A70" i="1" s="1"/>
  <c r="AS6" i="2" s="1"/>
  <c r="A66" i="1" a="1"/>
  <c r="A66" i="1" s="1"/>
  <c r="AK6" i="2" s="1"/>
  <c r="A52" i="1" a="1"/>
  <c r="A52" i="1" s="1"/>
  <c r="I6" i="2" s="1"/>
  <c r="I42" i="2" s="1"/>
  <c r="A61" i="1" a="1"/>
  <c r="A61" i="1" s="1"/>
  <c r="AA6" i="2" s="1"/>
  <c r="A69" i="1" a="1"/>
  <c r="A69" i="1" s="1"/>
  <c r="AQ6" i="2" s="1"/>
  <c r="A63" i="1" a="1"/>
  <c r="A63" i="1" s="1"/>
  <c r="AE6" i="2" s="1"/>
  <c r="A67" i="1" a="1"/>
  <c r="A67" i="1" s="1"/>
  <c r="AM6" i="2" s="1"/>
  <c r="A58" i="1" a="1"/>
  <c r="A58" i="1" s="1"/>
  <c r="U6" i="2" s="1"/>
  <c r="U19" i="2" s="1"/>
  <c r="A54" i="1" a="1"/>
  <c r="A54" i="1" s="1"/>
  <c r="M6" i="2" s="1"/>
  <c r="M14" i="2" s="1"/>
  <c r="A51" i="1" a="1"/>
  <c r="A51" i="1" s="1"/>
  <c r="G6" i="2" s="1"/>
  <c r="G34" i="2" s="1"/>
  <c r="A62" i="1" a="1"/>
  <c r="A62" i="1" s="1"/>
  <c r="A65" i="1" a="1"/>
  <c r="A65" i="1" s="1"/>
  <c r="AI6" i="2" s="1"/>
  <c r="AI14" i="2" s="1"/>
  <c r="A53" i="1" a="1"/>
  <c r="A53" i="1" s="1"/>
  <c r="K6" i="2" s="1"/>
  <c r="K30" i="2" s="1"/>
  <c r="A68" i="1" a="1"/>
  <c r="A68" i="1" s="1"/>
  <c r="AO6" i="2" s="1"/>
  <c r="A57" i="1" a="1"/>
  <c r="A57" i="1" s="1"/>
  <c r="S6" i="2" s="1"/>
  <c r="S16" i="2" s="1"/>
  <c r="T16" i="2" s="1"/>
  <c r="W14" i="2" l="1"/>
  <c r="X14" i="2" s="1"/>
  <c r="W13" i="2"/>
  <c r="X13" i="2" s="1"/>
  <c r="W78" i="2"/>
  <c r="X78" i="2" s="1"/>
  <c r="W80" i="2" s="1"/>
  <c r="W23" i="2"/>
  <c r="W25" i="2" s="1"/>
  <c r="X25" i="2" s="1"/>
  <c r="W18" i="2"/>
  <c r="X18" i="2" s="1"/>
  <c r="W45" i="2"/>
  <c r="X45" i="2" s="1"/>
  <c r="W35" i="2"/>
  <c r="X35" i="2" s="1"/>
  <c r="W37" i="2"/>
  <c r="X37" i="2" s="1"/>
  <c r="W42" i="2"/>
  <c r="W44" i="2"/>
  <c r="X44" i="2" s="1"/>
  <c r="W38" i="2"/>
  <c r="X38" i="2" s="1"/>
  <c r="W29" i="2"/>
  <c r="X29" i="2" s="1"/>
  <c r="Y44" i="2"/>
  <c r="Z44" i="2" s="1"/>
  <c r="V109" i="2"/>
  <c r="W109" i="2" s="1"/>
  <c r="V110" i="2" s="1"/>
  <c r="Y15" i="2"/>
  <c r="Z15" i="2" s="1"/>
  <c r="Y17" i="2"/>
  <c r="Y32" i="2"/>
  <c r="Z32" i="2" s="1"/>
  <c r="Y33" i="2"/>
  <c r="Z33" i="2" s="1"/>
  <c r="Y31" i="2"/>
  <c r="Z31" i="2" s="1"/>
  <c r="Y40" i="2"/>
  <c r="W41" i="2"/>
  <c r="Y14" i="2"/>
  <c r="Z14" i="2" s="1"/>
  <c r="Y78" i="2"/>
  <c r="Z78" i="2" s="1"/>
  <c r="Y80" i="2" s="1"/>
  <c r="Y26" i="2"/>
  <c r="Y27" i="2" s="1"/>
  <c r="Z27" i="2" s="1"/>
  <c r="Y13" i="2"/>
  <c r="Z13" i="2" s="1"/>
  <c r="Y36" i="2"/>
  <c r="Z36" i="2" s="1"/>
  <c r="Y42" i="2"/>
  <c r="Y30" i="2"/>
  <c r="Z30" i="2" s="1"/>
  <c r="W31" i="2"/>
  <c r="X31" i="2" s="1"/>
  <c r="Y38" i="2"/>
  <c r="Z38" i="2" s="1"/>
  <c r="Y35" i="2"/>
  <c r="Z35" i="2" s="1"/>
  <c r="Y19" i="2"/>
  <c r="Z19" i="2" s="1"/>
  <c r="Y39" i="2"/>
  <c r="Z39" i="2" s="1"/>
  <c r="Y45" i="2"/>
  <c r="Z45" i="2" s="1"/>
  <c r="Y34" i="2"/>
  <c r="Z34" i="2" s="1"/>
  <c r="Y23" i="2"/>
  <c r="Y25" i="2" s="1"/>
  <c r="Z25" i="2" s="1"/>
  <c r="Y37" i="2"/>
  <c r="Z37" i="2" s="1"/>
  <c r="Y20" i="2"/>
  <c r="Z20" i="2" s="1"/>
  <c r="Y29" i="2"/>
  <c r="Z29" i="2" s="1"/>
  <c r="P16" i="2"/>
  <c r="N40" i="2"/>
  <c r="P42" i="2"/>
  <c r="P40" i="2"/>
  <c r="X41" i="2"/>
  <c r="Z42" i="2"/>
  <c r="J42" i="2"/>
  <c r="Z17" i="2"/>
  <c r="N42" i="2"/>
  <c r="P41" i="2"/>
  <c r="X42" i="2"/>
  <c r="Z40" i="2"/>
  <c r="U78" i="2"/>
  <c r="V78" i="2" s="1"/>
  <c r="U80" i="2" s="1"/>
  <c r="U37" i="2"/>
  <c r="V37" i="2" s="1"/>
  <c r="R109" i="2"/>
  <c r="S109" i="2" s="1"/>
  <c r="R110" i="2" s="1"/>
  <c r="U40" i="2"/>
  <c r="V40" i="2" s="1"/>
  <c r="U17" i="2"/>
  <c r="V17" i="2" s="1"/>
  <c r="U31" i="2"/>
  <c r="V31" i="2" s="1"/>
  <c r="U15" i="2"/>
  <c r="V15" i="2" s="1"/>
  <c r="U16" i="2"/>
  <c r="V16" i="2" s="1"/>
  <c r="U39" i="2"/>
  <c r="V39" i="2" s="1"/>
  <c r="U33" i="2"/>
  <c r="V33" i="2" s="1"/>
  <c r="U26" i="2"/>
  <c r="V26" i="2" s="1"/>
  <c r="U23" i="2"/>
  <c r="U24" i="2" s="1"/>
  <c r="V24" i="2" s="1"/>
  <c r="U38" i="2"/>
  <c r="V38" i="2" s="1"/>
  <c r="U41" i="2"/>
  <c r="V41" i="2" s="1"/>
  <c r="U13" i="2"/>
  <c r="V13" i="2" s="1"/>
  <c r="U20" i="2"/>
  <c r="V20" i="2" s="1"/>
  <c r="U45" i="2"/>
  <c r="V45" i="2" s="1"/>
  <c r="U44" i="2"/>
  <c r="V44" i="2" s="1"/>
  <c r="U14" i="2"/>
  <c r="V14" i="2" s="1"/>
  <c r="U36" i="2"/>
  <c r="V36" i="2" s="1"/>
  <c r="U32" i="2"/>
  <c r="V32" i="2" s="1"/>
  <c r="U34" i="2"/>
  <c r="V34" i="2" s="1"/>
  <c r="U42" i="2"/>
  <c r="V42" i="2" s="1"/>
  <c r="U29" i="2"/>
  <c r="V29" i="2" s="1"/>
  <c r="U35" i="2"/>
  <c r="V35" i="2" s="1"/>
  <c r="C70" i="1" a="1"/>
  <c r="C70" i="1" s="1"/>
  <c r="AS10" i="2" s="1"/>
  <c r="AP106" i="2" s="1"/>
  <c r="AI26" i="2"/>
  <c r="AJ26" i="2" s="1"/>
  <c r="AI45" i="2"/>
  <c r="AJ45" i="2" s="1"/>
  <c r="AI17" i="2"/>
  <c r="AJ17" i="2" s="1"/>
  <c r="AI40" i="2"/>
  <c r="AJ40" i="2" s="1"/>
  <c r="AI18" i="2"/>
  <c r="AJ18" i="2" s="1"/>
  <c r="AI20" i="2"/>
  <c r="AJ20" i="2" s="1"/>
  <c r="AI38" i="2"/>
  <c r="AJ38" i="2" s="1"/>
  <c r="AI42" i="2"/>
  <c r="AJ42" i="2" s="1"/>
  <c r="C60" i="1" a="1"/>
  <c r="C60" i="1" s="1"/>
  <c r="Y10" i="2" s="1"/>
  <c r="V106" i="2" s="1"/>
  <c r="C66" i="1" a="1"/>
  <c r="C66" i="1" s="1"/>
  <c r="AK10" i="2" s="1"/>
  <c r="AK75" i="2" s="1"/>
  <c r="C51" i="1" a="1"/>
  <c r="C51" i="1" s="1"/>
  <c r="C59" i="1" a="1"/>
  <c r="C59" i="1" s="1"/>
  <c r="W10" i="2" s="1"/>
  <c r="W75" i="2" s="1"/>
  <c r="C61" i="1" a="1"/>
  <c r="C61" i="1" s="1"/>
  <c r="AA10" i="2" s="1"/>
  <c r="X106" i="2" s="1"/>
  <c r="C64" i="1" a="1"/>
  <c r="C64" i="1" s="1"/>
  <c r="AG10" i="2" s="1"/>
  <c r="AD106" i="2" s="1"/>
  <c r="C63" i="1" a="1"/>
  <c r="C63" i="1" s="1"/>
  <c r="AE10" i="2" s="1"/>
  <c r="AB106" i="2" s="1"/>
  <c r="C58" i="1" a="1"/>
  <c r="C58" i="1" s="1"/>
  <c r="U10" i="2" s="1"/>
  <c r="R106" i="2" s="1"/>
  <c r="C68" i="1" a="1"/>
  <c r="C68" i="1" s="1"/>
  <c r="AO10" i="2" s="1"/>
  <c r="AL106" i="2" s="1"/>
  <c r="C55" i="1" a="1"/>
  <c r="C55" i="1" s="1"/>
  <c r="O10" i="2" s="1"/>
  <c r="O75" i="2" s="1"/>
  <c r="AC6" i="2"/>
  <c r="Z109" i="2" s="1"/>
  <c r="AA109" i="2" s="1"/>
  <c r="Z110" i="2" s="1"/>
  <c r="C62" i="1" a="1"/>
  <c r="C62" i="1" s="1"/>
  <c r="AC10" i="2" s="1"/>
  <c r="Z106" i="2" s="1"/>
  <c r="C67" i="1" a="1"/>
  <c r="C67" i="1" s="1"/>
  <c r="AM10" i="2" s="1"/>
  <c r="AJ106" i="2" s="1"/>
  <c r="C52" i="1" a="1"/>
  <c r="C52" i="1" s="1"/>
  <c r="I10" i="2" s="1"/>
  <c r="I75" i="2" s="1"/>
  <c r="C56" i="1" a="1"/>
  <c r="C56" i="1" s="1"/>
  <c r="Q10" i="2" s="1"/>
  <c r="Q75" i="2" s="1"/>
  <c r="C65" i="1" a="1"/>
  <c r="C65" i="1" s="1"/>
  <c r="AI10" i="2" s="1"/>
  <c r="AF106" i="2" s="1"/>
  <c r="C69" i="1" a="1"/>
  <c r="C69" i="1" s="1"/>
  <c r="AQ10" i="2" s="1"/>
  <c r="AQ75" i="2" s="1"/>
  <c r="C57" i="1" a="1"/>
  <c r="C57" i="1" s="1"/>
  <c r="S10" i="2" s="1"/>
  <c r="P106" i="2" s="1"/>
  <c r="C54" i="1" a="1"/>
  <c r="C54" i="1" s="1"/>
  <c r="M10" i="2" s="1"/>
  <c r="J106" i="2" s="1"/>
  <c r="R33" i="2"/>
  <c r="H34" i="2"/>
  <c r="Z18" i="2"/>
  <c r="L30" i="2"/>
  <c r="N14" i="2"/>
  <c r="AJ14" i="2"/>
  <c r="V19" i="2"/>
  <c r="X30" i="2"/>
  <c r="C53" i="1" a="1"/>
  <c r="C53" i="1" s="1"/>
  <c r="K10" i="2" s="1"/>
  <c r="AM23" i="2"/>
  <c r="AM13" i="2"/>
  <c r="AM29" i="2"/>
  <c r="AN29" i="2" s="1"/>
  <c r="AM41" i="2"/>
  <c r="AN41" i="2" s="1"/>
  <c r="AM14" i="2"/>
  <c r="AN14" i="2" s="1"/>
  <c r="AM37" i="2"/>
  <c r="AN37" i="2" s="1"/>
  <c r="AM78" i="2"/>
  <c r="AN78" i="2" s="1"/>
  <c r="AM80" i="2" s="1"/>
  <c r="AM40" i="2"/>
  <c r="AN40" i="2" s="1"/>
  <c r="AM20" i="2"/>
  <c r="AM39" i="2"/>
  <c r="AN39" i="2" s="1"/>
  <c r="AM42" i="2"/>
  <c r="AN42" i="2" s="1"/>
  <c r="AM15" i="2"/>
  <c r="AN15" i="2" s="1"/>
  <c r="AM44" i="2"/>
  <c r="AN44" i="2" s="1"/>
  <c r="AM33" i="2"/>
  <c r="AN33" i="2" s="1"/>
  <c r="AJ109" i="2"/>
  <c r="AK109" i="2" s="1"/>
  <c r="AJ110" i="2" s="1"/>
  <c r="AM32" i="2"/>
  <c r="AN32" i="2" s="1"/>
  <c r="AM17" i="2"/>
  <c r="AN17" i="2" s="1"/>
  <c r="AM35" i="2"/>
  <c r="AN35" i="2" s="1"/>
  <c r="AM38" i="2"/>
  <c r="AN38" i="2" s="1"/>
  <c r="AM19" i="2"/>
  <c r="AN19" i="2" s="1"/>
  <c r="AM45" i="2"/>
  <c r="AN45" i="2" s="1"/>
  <c r="AM36" i="2"/>
  <c r="AN36" i="2" s="1"/>
  <c r="AM26" i="2"/>
  <c r="AM16" i="2"/>
  <c r="AN16" i="2" s="1"/>
  <c r="AM31" i="2"/>
  <c r="AN31" i="2" s="1"/>
  <c r="AM30" i="2"/>
  <c r="AN30" i="2" s="1"/>
  <c r="AM18" i="2"/>
  <c r="AN18" i="2" s="1"/>
  <c r="AM34" i="2"/>
  <c r="AN34" i="2" s="1"/>
  <c r="AO39" i="2"/>
  <c r="AP39" i="2" s="1"/>
  <c r="AO31" i="2"/>
  <c r="AP31" i="2" s="1"/>
  <c r="AO16" i="2"/>
  <c r="AP16" i="2" s="1"/>
  <c r="AO17" i="2"/>
  <c r="AP17" i="2" s="1"/>
  <c r="AO36" i="2"/>
  <c r="AP36" i="2" s="1"/>
  <c r="AO14" i="2"/>
  <c r="AP14" i="2" s="1"/>
  <c r="AO78" i="2"/>
  <c r="AP78" i="2" s="1"/>
  <c r="AO80" i="2" s="1"/>
  <c r="AO42" i="2"/>
  <c r="AP42" i="2" s="1"/>
  <c r="AO38" i="2"/>
  <c r="AP38" i="2" s="1"/>
  <c r="AO30" i="2"/>
  <c r="AP30" i="2" s="1"/>
  <c r="AO13" i="2"/>
  <c r="AO15" i="2"/>
  <c r="AP15" i="2" s="1"/>
  <c r="AO34" i="2"/>
  <c r="AP34" i="2" s="1"/>
  <c r="AO33" i="2"/>
  <c r="AP33" i="2" s="1"/>
  <c r="AL109" i="2"/>
  <c r="AM109" i="2" s="1"/>
  <c r="AL110" i="2" s="1"/>
  <c r="AO41" i="2"/>
  <c r="AP41" i="2" s="1"/>
  <c r="AO35" i="2"/>
  <c r="AP35" i="2" s="1"/>
  <c r="AO29" i="2"/>
  <c r="AP29" i="2" s="1"/>
  <c r="AO23" i="2"/>
  <c r="AO19" i="2"/>
  <c r="AP19" i="2" s="1"/>
  <c r="AO45" i="2"/>
  <c r="AP45" i="2" s="1"/>
  <c r="AO44" i="2"/>
  <c r="AP44" i="2" s="1"/>
  <c r="AO40" i="2"/>
  <c r="AP40" i="2" s="1"/>
  <c r="AO37" i="2"/>
  <c r="AP37" i="2" s="1"/>
  <c r="AO32" i="2"/>
  <c r="AP32" i="2" s="1"/>
  <c r="AO18" i="2"/>
  <c r="AP18" i="2" s="1"/>
  <c r="AO20" i="2"/>
  <c r="AO26" i="2"/>
  <c r="AE29" i="2"/>
  <c r="AF29" i="2" s="1"/>
  <c r="AE16" i="2"/>
  <c r="AF16" i="2" s="1"/>
  <c r="AE26" i="2"/>
  <c r="AE42" i="2"/>
  <c r="AF42" i="2" s="1"/>
  <c r="AE36" i="2"/>
  <c r="AF36" i="2" s="1"/>
  <c r="AE14" i="2"/>
  <c r="AF14" i="2" s="1"/>
  <c r="AE33" i="2"/>
  <c r="AF33" i="2" s="1"/>
  <c r="AE78" i="2"/>
  <c r="AF78" i="2" s="1"/>
  <c r="AE80" i="2" s="1"/>
  <c r="AE23" i="2"/>
  <c r="AE13" i="2"/>
  <c r="AE39" i="2"/>
  <c r="AF39" i="2" s="1"/>
  <c r="AE38" i="2"/>
  <c r="AF38" i="2" s="1"/>
  <c r="AE45" i="2"/>
  <c r="AF45" i="2" s="1"/>
  <c r="AE44" i="2"/>
  <c r="AF44" i="2" s="1"/>
  <c r="AB109" i="2"/>
  <c r="AC109" i="2" s="1"/>
  <c r="AB110" i="2" s="1"/>
  <c r="AE20" i="2"/>
  <c r="AE40" i="2"/>
  <c r="AF40" i="2" s="1"/>
  <c r="AE35" i="2"/>
  <c r="AF35" i="2" s="1"/>
  <c r="AE30" i="2"/>
  <c r="AF30" i="2" s="1"/>
  <c r="AE19" i="2"/>
  <c r="AF19" i="2" s="1"/>
  <c r="AE37" i="2"/>
  <c r="AF37" i="2" s="1"/>
  <c r="AE41" i="2"/>
  <c r="AF41" i="2" s="1"/>
  <c r="AE17" i="2"/>
  <c r="AF17" i="2" s="1"/>
  <c r="AE32" i="2"/>
  <c r="AF32" i="2" s="1"/>
  <c r="AE31" i="2"/>
  <c r="AF31" i="2" s="1"/>
  <c r="AE15" i="2"/>
  <c r="AF15" i="2" s="1"/>
  <c r="AE18" i="2"/>
  <c r="AF18" i="2" s="1"/>
  <c r="AE34" i="2"/>
  <c r="AF34" i="2" s="1"/>
  <c r="AK78" i="2"/>
  <c r="AL78" i="2" s="1"/>
  <c r="AK80" i="2" s="1"/>
  <c r="AH109" i="2"/>
  <c r="AI109" i="2" s="1"/>
  <c r="AH110" i="2" s="1"/>
  <c r="AK41" i="2"/>
  <c r="AL41" i="2" s="1"/>
  <c r="AK35" i="2"/>
  <c r="AL35" i="2" s="1"/>
  <c r="AK29" i="2"/>
  <c r="AL29" i="2" s="1"/>
  <c r="AK20" i="2"/>
  <c r="AK18" i="2"/>
  <c r="AL18" i="2" s="1"/>
  <c r="AK45" i="2"/>
  <c r="AL45" i="2" s="1"/>
  <c r="AK19" i="2"/>
  <c r="AL19" i="2" s="1"/>
  <c r="AK40" i="2"/>
  <c r="AL40" i="2" s="1"/>
  <c r="AK32" i="2"/>
  <c r="AL32" i="2" s="1"/>
  <c r="AK26" i="2"/>
  <c r="AK17" i="2"/>
  <c r="AL17" i="2" s="1"/>
  <c r="AK37" i="2"/>
  <c r="AL37" i="2" s="1"/>
  <c r="AK14" i="2"/>
  <c r="AL14" i="2" s="1"/>
  <c r="AK39" i="2"/>
  <c r="AL39" i="2" s="1"/>
  <c r="AK31" i="2"/>
  <c r="AL31" i="2" s="1"/>
  <c r="AK13" i="2"/>
  <c r="AK16" i="2"/>
  <c r="AL16" i="2" s="1"/>
  <c r="AK36" i="2"/>
  <c r="AL36" i="2" s="1"/>
  <c r="AK33" i="2"/>
  <c r="AL33" i="2" s="1"/>
  <c r="AK30" i="2"/>
  <c r="AL30" i="2" s="1"/>
  <c r="AK44" i="2"/>
  <c r="AL44" i="2" s="1"/>
  <c r="AK23" i="2"/>
  <c r="AK38" i="2"/>
  <c r="AL38" i="2" s="1"/>
  <c r="AK42" i="2"/>
  <c r="AL42" i="2" s="1"/>
  <c r="AK15" i="2"/>
  <c r="AL15" i="2" s="1"/>
  <c r="AK34" i="2"/>
  <c r="AL34" i="2" s="1"/>
  <c r="AQ78" i="2"/>
  <c r="AR78" i="2" s="1"/>
  <c r="AQ80" i="2" s="1"/>
  <c r="AN109" i="2"/>
  <c r="AO109" i="2" s="1"/>
  <c r="AN110" i="2" s="1"/>
  <c r="AQ41" i="2"/>
  <c r="AR41" i="2" s="1"/>
  <c r="AQ35" i="2"/>
  <c r="AR35" i="2" s="1"/>
  <c r="AQ29" i="2"/>
  <c r="AR29" i="2" s="1"/>
  <c r="AQ17" i="2"/>
  <c r="AR17" i="2" s="1"/>
  <c r="AQ37" i="2"/>
  <c r="AR37" i="2" s="1"/>
  <c r="AQ18" i="2"/>
  <c r="AR18" i="2" s="1"/>
  <c r="AQ19" i="2"/>
  <c r="AR19" i="2" s="1"/>
  <c r="AQ40" i="2"/>
  <c r="AR40" i="2" s="1"/>
  <c r="AQ32" i="2"/>
  <c r="AR32" i="2" s="1"/>
  <c r="AQ26" i="2"/>
  <c r="AQ16" i="2"/>
  <c r="AR16" i="2" s="1"/>
  <c r="AQ36" i="2"/>
  <c r="AR36" i="2" s="1"/>
  <c r="AQ14" i="2"/>
  <c r="AR14" i="2" s="1"/>
  <c r="AQ39" i="2"/>
  <c r="AR39" i="2" s="1"/>
  <c r="AQ31" i="2"/>
  <c r="AR31" i="2" s="1"/>
  <c r="AQ23" i="2"/>
  <c r="AQ13" i="2"/>
  <c r="AQ34" i="2"/>
  <c r="AR34" i="2" s="1"/>
  <c r="AQ33" i="2"/>
  <c r="AR33" i="2" s="1"/>
  <c r="AQ20" i="2"/>
  <c r="AQ42" i="2"/>
  <c r="AR42" i="2" s="1"/>
  <c r="AQ15" i="2"/>
  <c r="AR15" i="2" s="1"/>
  <c r="AQ30" i="2"/>
  <c r="AR30" i="2" s="1"/>
  <c r="AQ44" i="2"/>
  <c r="AR44" i="2" s="1"/>
  <c r="AQ38" i="2"/>
  <c r="AR38" i="2" s="1"/>
  <c r="AQ45" i="2"/>
  <c r="AR45" i="2" s="1"/>
  <c r="AS39" i="2"/>
  <c r="AT39" i="2" s="1"/>
  <c r="AS31" i="2"/>
  <c r="AT31" i="2" s="1"/>
  <c r="AS23" i="2"/>
  <c r="AS13" i="2"/>
  <c r="AS34" i="2"/>
  <c r="AT34" i="2" s="1"/>
  <c r="AS14" i="2"/>
  <c r="AT14" i="2" s="1"/>
  <c r="AS78" i="2"/>
  <c r="AT78" i="2" s="1"/>
  <c r="AS80" i="2" s="1"/>
  <c r="AS42" i="2"/>
  <c r="AT42" i="2" s="1"/>
  <c r="AS38" i="2"/>
  <c r="AT38" i="2" s="1"/>
  <c r="AS30" i="2"/>
  <c r="AT30" i="2" s="1"/>
  <c r="AS20" i="2"/>
  <c r="AS15" i="2"/>
  <c r="AT15" i="2" s="1"/>
  <c r="AS45" i="2"/>
  <c r="AT45" i="2" s="1"/>
  <c r="AS19" i="2"/>
  <c r="AT19" i="2" s="1"/>
  <c r="AP109" i="2"/>
  <c r="AQ109" i="2" s="1"/>
  <c r="AP110" i="2" s="1"/>
  <c r="AS41" i="2"/>
  <c r="AT41" i="2" s="1"/>
  <c r="AS35" i="2"/>
  <c r="AT35" i="2" s="1"/>
  <c r="AS29" i="2"/>
  <c r="AT29" i="2" s="1"/>
  <c r="AS17" i="2"/>
  <c r="AT17" i="2" s="1"/>
  <c r="AS37" i="2"/>
  <c r="AT37" i="2" s="1"/>
  <c r="AS33" i="2"/>
  <c r="AT33" i="2" s="1"/>
  <c r="AS18" i="2"/>
  <c r="AT18" i="2" s="1"/>
  <c r="AS32" i="2"/>
  <c r="AT32" i="2" s="1"/>
  <c r="AS44" i="2"/>
  <c r="AT44" i="2" s="1"/>
  <c r="AS26" i="2"/>
  <c r="AS40" i="2"/>
  <c r="AT40" i="2" s="1"/>
  <c r="AS36" i="2"/>
  <c r="AT36" i="2" s="1"/>
  <c r="AS16" i="2"/>
  <c r="AT16" i="2" s="1"/>
  <c r="AD109" i="2"/>
  <c r="AE109" i="2" s="1"/>
  <c r="AD110" i="2" s="1"/>
  <c r="AG41" i="2"/>
  <c r="AH41" i="2" s="1"/>
  <c r="AG35" i="2"/>
  <c r="AH35" i="2" s="1"/>
  <c r="AG29" i="2"/>
  <c r="AH29" i="2" s="1"/>
  <c r="AG17" i="2"/>
  <c r="AH17" i="2" s="1"/>
  <c r="AG19" i="2"/>
  <c r="AH19" i="2" s="1"/>
  <c r="AG37" i="2"/>
  <c r="AH37" i="2" s="1"/>
  <c r="AG44" i="2"/>
  <c r="AH44" i="2" s="1"/>
  <c r="AG40" i="2"/>
  <c r="AH40" i="2" s="1"/>
  <c r="AG32" i="2"/>
  <c r="AH32" i="2" s="1"/>
  <c r="AG26" i="2"/>
  <c r="AG16" i="2"/>
  <c r="AH16" i="2" s="1"/>
  <c r="AG45" i="2"/>
  <c r="AH45" i="2" s="1"/>
  <c r="AG36" i="2"/>
  <c r="AH36" i="2" s="1"/>
  <c r="AG39" i="2"/>
  <c r="AH39" i="2" s="1"/>
  <c r="AG31" i="2"/>
  <c r="AH31" i="2" s="1"/>
  <c r="AG23" i="2"/>
  <c r="AG13" i="2"/>
  <c r="AG33" i="2"/>
  <c r="AH33" i="2" s="1"/>
  <c r="AG34" i="2"/>
  <c r="AH34" i="2" s="1"/>
  <c r="AG78" i="2"/>
  <c r="AH78" i="2" s="1"/>
  <c r="AG80" i="2" s="1"/>
  <c r="AG42" i="2"/>
  <c r="AH42" i="2" s="1"/>
  <c r="AG38" i="2"/>
  <c r="AH38" i="2" s="1"/>
  <c r="AG30" i="2"/>
  <c r="AH30" i="2" s="1"/>
  <c r="AG20" i="2"/>
  <c r="AG15" i="2"/>
  <c r="AH15" i="2" s="1"/>
  <c r="AG18" i="2"/>
  <c r="AH18" i="2" s="1"/>
  <c r="AG14" i="2"/>
  <c r="AH14" i="2" s="1"/>
  <c r="AA39" i="2"/>
  <c r="AB39" i="2" s="1"/>
  <c r="AA31" i="2"/>
  <c r="AB31" i="2" s="1"/>
  <c r="AA23" i="2"/>
  <c r="AA13" i="2"/>
  <c r="AA36" i="2"/>
  <c r="AB36" i="2" s="1"/>
  <c r="AA45" i="2"/>
  <c r="AB45" i="2" s="1"/>
  <c r="AA78" i="2"/>
  <c r="AB78" i="2" s="1"/>
  <c r="AA80" i="2" s="1"/>
  <c r="AA42" i="2"/>
  <c r="AB42" i="2" s="1"/>
  <c r="AA38" i="2"/>
  <c r="AB38" i="2" s="1"/>
  <c r="AA30" i="2"/>
  <c r="AB30" i="2" s="1"/>
  <c r="AA20" i="2"/>
  <c r="AA15" i="2"/>
  <c r="AB15" i="2" s="1"/>
  <c r="AA34" i="2"/>
  <c r="AB34" i="2" s="1"/>
  <c r="AA18" i="2"/>
  <c r="AB18" i="2" s="1"/>
  <c r="X109" i="2"/>
  <c r="Y109" i="2" s="1"/>
  <c r="X110" i="2" s="1"/>
  <c r="AA41" i="2"/>
  <c r="AB41" i="2" s="1"/>
  <c r="AA35" i="2"/>
  <c r="AB35" i="2" s="1"/>
  <c r="AA29" i="2"/>
  <c r="AB29" i="2" s="1"/>
  <c r="AA17" i="2"/>
  <c r="AB17" i="2" s="1"/>
  <c r="AA19" i="2"/>
  <c r="AB19" i="2" s="1"/>
  <c r="AA14" i="2"/>
  <c r="AB14" i="2" s="1"/>
  <c r="AA33" i="2"/>
  <c r="AB33" i="2" s="1"/>
  <c r="AA40" i="2"/>
  <c r="AB40" i="2" s="1"/>
  <c r="AA32" i="2"/>
  <c r="AB32" i="2" s="1"/>
  <c r="AA26" i="2"/>
  <c r="AA16" i="2"/>
  <c r="AB16" i="2" s="1"/>
  <c r="AA37" i="2"/>
  <c r="AB37" i="2" s="1"/>
  <c r="AA44" i="2"/>
  <c r="AB44" i="2" s="1"/>
  <c r="S40" i="2"/>
  <c r="T40" i="2" s="1"/>
  <c r="AI19" i="2"/>
  <c r="S78" i="2"/>
  <c r="S20" i="2"/>
  <c r="S14" i="2"/>
  <c r="S29" i="2"/>
  <c r="AI44" i="2"/>
  <c r="AI78" i="2"/>
  <c r="AI30" i="2"/>
  <c r="S13" i="2"/>
  <c r="U30" i="2"/>
  <c r="S37" i="2"/>
  <c r="AI35" i="2"/>
  <c r="S34" i="2"/>
  <c r="S39" i="2"/>
  <c r="AI39" i="2"/>
  <c r="S45" i="2"/>
  <c r="S42" i="2"/>
  <c r="T42" i="2" s="1"/>
  <c r="S15" i="2"/>
  <c r="AI32" i="2"/>
  <c r="U18" i="2"/>
  <c r="S44" i="2"/>
  <c r="S41" i="2"/>
  <c r="T41" i="2" s="1"/>
  <c r="AI33" i="2"/>
  <c r="AI15" i="2"/>
  <c r="S38" i="2"/>
  <c r="S18" i="2"/>
  <c r="S26" i="2"/>
  <c r="S35" i="2"/>
  <c r="AI16" i="2"/>
  <c r="AJ16" i="2" s="1"/>
  <c r="S31" i="2"/>
  <c r="S17" i="2"/>
  <c r="T17" i="2" s="1"/>
  <c r="S23" i="2"/>
  <c r="S32" i="2"/>
  <c r="AI41" i="2"/>
  <c r="AJ41" i="2" s="1"/>
  <c r="AF109" i="2"/>
  <c r="S36" i="2"/>
  <c r="P109" i="2"/>
  <c r="AI37" i="2"/>
  <c r="AI36" i="2"/>
  <c r="AI31" i="2"/>
  <c r="AI13" i="2"/>
  <c r="AI23" i="2"/>
  <c r="S33" i="2"/>
  <c r="AI29" i="2"/>
  <c r="AI34" i="2"/>
  <c r="S19" i="2"/>
  <c r="S30" i="2"/>
  <c r="W16" i="2"/>
  <c r="Y16" i="2"/>
  <c r="T109" i="2"/>
  <c r="W34" i="2"/>
  <c r="W17" i="2"/>
  <c r="W39" i="2"/>
  <c r="W36" i="2"/>
  <c r="W32" i="2"/>
  <c r="W15" i="2"/>
  <c r="W33" i="2"/>
  <c r="W26" i="2"/>
  <c r="W40" i="2"/>
  <c r="W19" i="2"/>
  <c r="Y41" i="2"/>
  <c r="W20" i="2"/>
  <c r="Q41" i="2"/>
  <c r="Q38" i="2"/>
  <c r="Q36" i="2"/>
  <c r="Q45" i="2"/>
  <c r="Q39" i="2"/>
  <c r="Q18" i="2"/>
  <c r="Q32" i="2"/>
  <c r="Q20" i="2"/>
  <c r="Q29" i="2"/>
  <c r="Q13" i="2"/>
  <c r="Q14" i="2"/>
  <c r="Q26" i="2"/>
  <c r="N109" i="2"/>
  <c r="Q15" i="2"/>
  <c r="Q31" i="2"/>
  <c r="Q44" i="2"/>
  <c r="Q78" i="2"/>
  <c r="Q23" i="2"/>
  <c r="Q37" i="2"/>
  <c r="Q16" i="2"/>
  <c r="Q42" i="2"/>
  <c r="Q30" i="2"/>
  <c r="Q40" i="2"/>
  <c r="Q34" i="2"/>
  <c r="Q35" i="2"/>
  <c r="Q17" i="2"/>
  <c r="Q19" i="2"/>
  <c r="O19" i="2"/>
  <c r="O39" i="2"/>
  <c r="L109" i="2"/>
  <c r="M38" i="2"/>
  <c r="G41" i="2"/>
  <c r="G35" i="2"/>
  <c r="K14" i="2"/>
  <c r="G37" i="2"/>
  <c r="K39" i="2"/>
  <c r="G20" i="2"/>
  <c r="K40" i="2"/>
  <c r="I78" i="2"/>
  <c r="G29" i="2"/>
  <c r="M39" i="2"/>
  <c r="K37" i="2"/>
  <c r="I29" i="2"/>
  <c r="K19" i="2"/>
  <c r="M16" i="2"/>
  <c r="M37" i="2"/>
  <c r="O34" i="2"/>
  <c r="O31" i="2"/>
  <c r="O32" i="2"/>
  <c r="M30" i="2"/>
  <c r="I44" i="2"/>
  <c r="I37" i="2"/>
  <c r="G45" i="2"/>
  <c r="I31" i="2"/>
  <c r="I35" i="2"/>
  <c r="K38" i="2"/>
  <c r="K32" i="2"/>
  <c r="G13" i="2"/>
  <c r="K45" i="2"/>
  <c r="K23" i="2"/>
  <c r="G16" i="2"/>
  <c r="D109" i="2"/>
  <c r="G15" i="2"/>
  <c r="M23" i="2"/>
  <c r="O38" i="2"/>
  <c r="G36" i="2"/>
  <c r="G39" i="2"/>
  <c r="O23" i="2"/>
  <c r="O14" i="2"/>
  <c r="O36" i="2"/>
  <c r="G33" i="2"/>
  <c r="K13" i="2"/>
  <c r="M34" i="2"/>
  <c r="K78" i="2"/>
  <c r="G42" i="2"/>
  <c r="M15" i="2"/>
  <c r="M41" i="2"/>
  <c r="G38" i="2"/>
  <c r="G19" i="2"/>
  <c r="G44" i="2"/>
  <c r="K29" i="2"/>
  <c r="I34" i="2"/>
  <c r="G23" i="2"/>
  <c r="M20" i="2"/>
  <c r="O29" i="2"/>
  <c r="I39" i="2"/>
  <c r="M19" i="2"/>
  <c r="O41" i="2"/>
  <c r="O16" i="2"/>
  <c r="O30" i="2"/>
  <c r="O35" i="2"/>
  <c r="K18" i="2"/>
  <c r="K31" i="2"/>
  <c r="G26" i="2"/>
  <c r="G40" i="2"/>
  <c r="M26" i="2"/>
  <c r="I30" i="2"/>
  <c r="M33" i="2"/>
  <c r="F109" i="2"/>
  <c r="M29" i="2"/>
  <c r="M35" i="2"/>
  <c r="I13" i="2"/>
  <c r="G17" i="2"/>
  <c r="I45" i="2"/>
  <c r="M44" i="2"/>
  <c r="O18" i="2"/>
  <c r="O20" i="2"/>
  <c r="O37" i="2"/>
  <c r="O26" i="2"/>
  <c r="G32" i="2"/>
  <c r="K35" i="2"/>
  <c r="I40" i="2"/>
  <c r="K26" i="2"/>
  <c r="I15" i="2"/>
  <c r="G30" i="2"/>
  <c r="M42" i="2"/>
  <c r="K15" i="2"/>
  <c r="K36" i="2"/>
  <c r="H109" i="2"/>
  <c r="I41" i="2"/>
  <c r="I14" i="2"/>
  <c r="M31" i="2"/>
  <c r="M13" i="2"/>
  <c r="O45" i="2"/>
  <c r="O13" i="2"/>
  <c r="O78" i="2"/>
  <c r="O33" i="2"/>
  <c r="K33" i="2"/>
  <c r="I23" i="2"/>
  <c r="M45" i="2"/>
  <c r="I26" i="2"/>
  <c r="I32" i="2"/>
  <c r="K17" i="2"/>
  <c r="K34" i="2"/>
  <c r="G78" i="2"/>
  <c r="I18" i="2"/>
  <c r="I17" i="2"/>
  <c r="I20" i="2"/>
  <c r="K20" i="2"/>
  <c r="K44" i="2"/>
  <c r="O44" i="2"/>
  <c r="M40" i="2"/>
  <c r="K42" i="2"/>
  <c r="O42" i="2"/>
  <c r="O15" i="2"/>
  <c r="O17" i="2"/>
  <c r="M36" i="2"/>
  <c r="G14" i="2"/>
  <c r="K16" i="2"/>
  <c r="M18" i="2"/>
  <c r="I36" i="2"/>
  <c r="I16" i="2"/>
  <c r="M17" i="2"/>
  <c r="G31" i="2"/>
  <c r="I33" i="2"/>
  <c r="G18" i="2"/>
  <c r="M78" i="2"/>
  <c r="I38" i="2"/>
  <c r="I19" i="2"/>
  <c r="M32" i="2"/>
  <c r="J109" i="2"/>
  <c r="K41" i="2"/>
  <c r="G10" i="2" l="1"/>
  <c r="G75" i="2" s="1"/>
  <c r="C188" i="2"/>
  <c r="E188" i="2" s="1"/>
  <c r="P35" i="2"/>
  <c r="O22" i="2"/>
  <c r="P22" i="2" s="1"/>
  <c r="P34" i="2"/>
  <c r="P45" i="2"/>
  <c r="P36" i="2"/>
  <c r="P32" i="2"/>
  <c r="P39" i="2"/>
  <c r="P13" i="2"/>
  <c r="O24" i="2"/>
  <c r="P24" i="2" s="1"/>
  <c r="P19" i="2"/>
  <c r="P18" i="2"/>
  <c r="P30" i="2"/>
  <c r="P29" i="2"/>
  <c r="P33" i="2"/>
  <c r="P44" i="2"/>
  <c r="O28" i="2"/>
  <c r="P28" i="2" s="1"/>
  <c r="P38" i="2"/>
  <c r="P37" i="2"/>
  <c r="P15" i="2"/>
  <c r="N18" i="2"/>
  <c r="N78" i="2"/>
  <c r="M80" i="2" s="1"/>
  <c r="N30" i="2"/>
  <c r="N44" i="2"/>
  <c r="N38" i="2"/>
  <c r="N23" i="2"/>
  <c r="N15" i="2"/>
  <c r="N34" i="2"/>
  <c r="N39" i="2"/>
  <c r="M28" i="2"/>
  <c r="N28" i="2" s="1"/>
  <c r="P26" i="2"/>
  <c r="W24" i="2"/>
  <c r="X24" i="2" s="1"/>
  <c r="O27" i="2"/>
  <c r="P27" i="2" s="1"/>
  <c r="X23" i="2"/>
  <c r="H32" i="2"/>
  <c r="H45" i="2"/>
  <c r="H35" i="2"/>
  <c r="H15" i="2"/>
  <c r="G24" i="2"/>
  <c r="H24" i="2" s="1"/>
  <c r="G25" i="2"/>
  <c r="H25" i="2" s="1"/>
  <c r="P23" i="2"/>
  <c r="O21" i="2"/>
  <c r="O55" i="2" s="1"/>
  <c r="O25" i="2"/>
  <c r="P25" i="2" s="1"/>
  <c r="P20" i="2"/>
  <c r="M24" i="2"/>
  <c r="N24" i="2" s="1"/>
  <c r="M25" i="2"/>
  <c r="N25" i="2" s="1"/>
  <c r="Z26" i="2"/>
  <c r="Y28" i="2"/>
  <c r="Z28" i="2" s="1"/>
  <c r="Y21" i="2"/>
  <c r="Z21" i="2" s="1"/>
  <c r="Y22" i="2"/>
  <c r="Z22" i="2" s="1"/>
  <c r="M27" i="2"/>
  <c r="N27" i="2" s="1"/>
  <c r="Z23" i="2"/>
  <c r="N26" i="2"/>
  <c r="Y24" i="2"/>
  <c r="Z24" i="2" s="1"/>
  <c r="H23" i="2"/>
  <c r="R42" i="2"/>
  <c r="L42" i="2"/>
  <c r="Z16" i="2"/>
  <c r="R40" i="2"/>
  <c r="R17" i="2"/>
  <c r="J40" i="2"/>
  <c r="L41" i="2"/>
  <c r="L16" i="2"/>
  <c r="N17" i="2"/>
  <c r="L40" i="2"/>
  <c r="H17" i="2"/>
  <c r="H16" i="2"/>
  <c r="P17" i="2"/>
  <c r="R41" i="2"/>
  <c r="X16" i="2"/>
  <c r="H42" i="2"/>
  <c r="N41" i="2"/>
  <c r="Z41" i="2"/>
  <c r="J16" i="2"/>
  <c r="J41" i="2"/>
  <c r="H41" i="2"/>
  <c r="L17" i="2"/>
  <c r="J17" i="2"/>
  <c r="X17" i="2"/>
  <c r="R16" i="2"/>
  <c r="N16" i="2"/>
  <c r="H40" i="2"/>
  <c r="X40" i="2"/>
  <c r="V23" i="2"/>
  <c r="U47" i="2" s="1"/>
  <c r="U28" i="2"/>
  <c r="V28" i="2" s="1"/>
  <c r="R35" i="2"/>
  <c r="H38" i="2"/>
  <c r="G27" i="2"/>
  <c r="H27" i="2" s="1"/>
  <c r="H26" i="2"/>
  <c r="G28" i="2"/>
  <c r="H28" i="2" s="1"/>
  <c r="U27" i="2"/>
  <c r="V27" i="2" s="1"/>
  <c r="AI28" i="2"/>
  <c r="AJ28" i="2" s="1"/>
  <c r="U25" i="2"/>
  <c r="V25" i="2" s="1"/>
  <c r="AS75" i="2"/>
  <c r="U21" i="2"/>
  <c r="V21" i="2" s="1"/>
  <c r="U22" i="2"/>
  <c r="V22" i="2" s="1"/>
  <c r="AI27" i="2"/>
  <c r="AJ27" i="2" s="1"/>
  <c r="AE75" i="2"/>
  <c r="AI21" i="2"/>
  <c r="AJ21" i="2" s="1"/>
  <c r="AH106" i="2"/>
  <c r="AI22" i="2"/>
  <c r="AJ22" i="2" s="1"/>
  <c r="AA75" i="2"/>
  <c r="Y75" i="2"/>
  <c r="J29" i="2"/>
  <c r="U75" i="2"/>
  <c r="T106" i="2"/>
  <c r="AI75" i="2"/>
  <c r="AC14" i="2"/>
  <c r="AD14" i="2" s="1"/>
  <c r="R18" i="2"/>
  <c r="S24" i="2"/>
  <c r="T24" i="2" s="1"/>
  <c r="T23" i="2"/>
  <c r="S25" i="2"/>
  <c r="T25" i="2" s="1"/>
  <c r="R34" i="2"/>
  <c r="T44" i="2"/>
  <c r="R13" i="2"/>
  <c r="R20" i="2"/>
  <c r="Q22" i="2"/>
  <c r="R22" i="2" s="1"/>
  <c r="Q21" i="2"/>
  <c r="Q55" i="2" s="1"/>
  <c r="AM75" i="2"/>
  <c r="AG75" i="2"/>
  <c r="AN106" i="2"/>
  <c r="AC31" i="2"/>
  <c r="AD31" i="2" s="1"/>
  <c r="AC17" i="2"/>
  <c r="AD17" i="2" s="1"/>
  <c r="AC44" i="2"/>
  <c r="AD44" i="2" s="1"/>
  <c r="M75" i="2"/>
  <c r="AC29" i="2"/>
  <c r="AD29" i="2" s="1"/>
  <c r="AC33" i="2"/>
  <c r="AD33" i="2" s="1"/>
  <c r="AC30" i="2"/>
  <c r="AD30" i="2" s="1"/>
  <c r="H19" i="2"/>
  <c r="AJ35" i="2"/>
  <c r="V18" i="2"/>
  <c r="AJ36" i="2"/>
  <c r="N29" i="2"/>
  <c r="X33" i="2"/>
  <c r="H18" i="2"/>
  <c r="H39" i="2"/>
  <c r="N31" i="2"/>
  <c r="V30" i="2"/>
  <c r="W27" i="2"/>
  <c r="X27" i="2" s="1"/>
  <c r="X26" i="2"/>
  <c r="W28" i="2"/>
  <c r="X28" i="2" s="1"/>
  <c r="N13" i="2"/>
  <c r="H31" i="2"/>
  <c r="J31" i="2"/>
  <c r="H36" i="2"/>
  <c r="N35" i="2"/>
  <c r="H78" i="2"/>
  <c r="H80" i="2" s="1"/>
  <c r="N32" i="2"/>
  <c r="AJ32" i="2"/>
  <c r="J14" i="2"/>
  <c r="H14" i="2"/>
  <c r="X19" i="2"/>
  <c r="P78" i="2"/>
  <c r="O80" i="2" s="1"/>
  <c r="AJ34" i="2"/>
  <c r="X39" i="2"/>
  <c r="X34" i="2"/>
  <c r="H29" i="2"/>
  <c r="X20" i="2"/>
  <c r="W22" i="2"/>
  <c r="X22" i="2" s="1"/>
  <c r="W21" i="2"/>
  <c r="X21" i="2" s="1"/>
  <c r="N37" i="2"/>
  <c r="N33" i="2"/>
  <c r="J45" i="2"/>
  <c r="AJ30" i="2"/>
  <c r="H44" i="2"/>
  <c r="X32" i="2"/>
  <c r="AJ78" i="2"/>
  <c r="AI80" i="2" s="1"/>
  <c r="P14" i="2"/>
  <c r="N36" i="2"/>
  <c r="AJ44" i="2"/>
  <c r="AJ29" i="2"/>
  <c r="AG109" i="2"/>
  <c r="AF110" i="2" s="1"/>
  <c r="U109" i="2"/>
  <c r="T110" i="2" s="1"/>
  <c r="N19" i="2"/>
  <c r="K109" i="2"/>
  <c r="J110" i="2" s="1"/>
  <c r="AJ39" i="2"/>
  <c r="AJ15" i="2"/>
  <c r="M21" i="2"/>
  <c r="N21" i="2" s="1"/>
  <c r="N20" i="2"/>
  <c r="M22" i="2"/>
  <c r="N22" i="2" s="1"/>
  <c r="AI25" i="2"/>
  <c r="AJ25" i="2" s="1"/>
  <c r="AI24" i="2"/>
  <c r="AJ24" i="2" s="1"/>
  <c r="AJ23" i="2"/>
  <c r="AI47" i="2" s="1"/>
  <c r="G22" i="2"/>
  <c r="H22" i="2" s="1"/>
  <c r="G21" i="2"/>
  <c r="H21" i="2" s="1"/>
  <c r="H20" i="2"/>
  <c r="AJ33" i="2"/>
  <c r="AJ13" i="2"/>
  <c r="H30" i="2"/>
  <c r="N45" i="2"/>
  <c r="AJ19" i="2"/>
  <c r="P31" i="2"/>
  <c r="M109" i="2"/>
  <c r="L110" i="2" s="1"/>
  <c r="X15" i="2"/>
  <c r="X36" i="2"/>
  <c r="AJ31" i="2"/>
  <c r="H13" i="2"/>
  <c r="AO75" i="2"/>
  <c r="L33" i="2"/>
  <c r="L13" i="2"/>
  <c r="L37" i="2"/>
  <c r="L14" i="2"/>
  <c r="L15" i="2"/>
  <c r="H33" i="2"/>
  <c r="L39" i="2"/>
  <c r="E109" i="2"/>
  <c r="E110" i="2" s="1"/>
  <c r="L36" i="2"/>
  <c r="L18" i="2"/>
  <c r="L44" i="2"/>
  <c r="L29" i="2"/>
  <c r="L31" i="2"/>
  <c r="L32" i="2"/>
  <c r="J20" i="2"/>
  <c r="I21" i="2"/>
  <c r="J21" i="2" s="1"/>
  <c r="I22" i="2"/>
  <c r="J22" i="2" s="1"/>
  <c r="J23" i="2"/>
  <c r="I24" i="2"/>
  <c r="J24" i="2" s="1"/>
  <c r="I25" i="2"/>
  <c r="J25" i="2" s="1"/>
  <c r="L38" i="2"/>
  <c r="L19" i="2"/>
  <c r="L20" i="2"/>
  <c r="K22" i="2"/>
  <c r="L22" i="2" s="1"/>
  <c r="K21" i="2"/>
  <c r="L21" i="2" s="1"/>
  <c r="J38" i="2"/>
  <c r="L34" i="2"/>
  <c r="L26" i="2"/>
  <c r="K27" i="2"/>
  <c r="L27" i="2" s="1"/>
  <c r="K28" i="2"/>
  <c r="L28" i="2" s="1"/>
  <c r="L78" i="2"/>
  <c r="K80" i="2" s="1"/>
  <c r="H37" i="2"/>
  <c r="AJ37" i="2"/>
  <c r="L35" i="2"/>
  <c r="I109" i="2"/>
  <c r="H110" i="2" s="1"/>
  <c r="L45" i="2"/>
  <c r="L23" i="2"/>
  <c r="K24" i="2"/>
  <c r="L24" i="2" s="1"/>
  <c r="K25" i="2"/>
  <c r="L25" i="2" s="1"/>
  <c r="AC75" i="2"/>
  <c r="L106" i="2"/>
  <c r="S75" i="2"/>
  <c r="C94" i="2"/>
  <c r="E94" i="2" s="1"/>
  <c r="C148" i="2"/>
  <c r="C189" i="2"/>
  <c r="AC38" i="2"/>
  <c r="AD38" i="2" s="1"/>
  <c r="AC26" i="2"/>
  <c r="AD26" i="2" s="1"/>
  <c r="C123" i="2"/>
  <c r="E123" i="2" s="1"/>
  <c r="C121" i="2"/>
  <c r="E121" i="2" s="1"/>
  <c r="AC15" i="2"/>
  <c r="AD15" i="2" s="1"/>
  <c r="AC42" i="2"/>
  <c r="AD42" i="2" s="1"/>
  <c r="AC13" i="2"/>
  <c r="AD13" i="2" s="1"/>
  <c r="AC45" i="2"/>
  <c r="AD45" i="2" s="1"/>
  <c r="AC32" i="2"/>
  <c r="AD32" i="2" s="1"/>
  <c r="AC19" i="2"/>
  <c r="AD19" i="2" s="1"/>
  <c r="AC41" i="2"/>
  <c r="AD41" i="2" s="1"/>
  <c r="N106" i="2"/>
  <c r="AC36" i="2"/>
  <c r="AD36" i="2" s="1"/>
  <c r="AC37" i="2"/>
  <c r="AD37" i="2" s="1"/>
  <c r="AC39" i="2"/>
  <c r="AD39" i="2" s="1"/>
  <c r="AC34" i="2"/>
  <c r="AD34" i="2" s="1"/>
  <c r="AC35" i="2"/>
  <c r="AD35" i="2" s="1"/>
  <c r="C150" i="2"/>
  <c r="C190" i="2"/>
  <c r="E190" i="2" s="1"/>
  <c r="AC23" i="2"/>
  <c r="AC24" i="2" s="1"/>
  <c r="AD24" i="2" s="1"/>
  <c r="AC78" i="2"/>
  <c r="AD78" i="2" s="1"/>
  <c r="AC80" i="2" s="1"/>
  <c r="AC16" i="2"/>
  <c r="AD16" i="2" s="1"/>
  <c r="AC18" i="2"/>
  <c r="AD18" i="2" s="1"/>
  <c r="AC40" i="2"/>
  <c r="AD40" i="2" s="1"/>
  <c r="AC20" i="2"/>
  <c r="AD20" i="2" s="1"/>
  <c r="F106" i="2"/>
  <c r="C155" i="2"/>
  <c r="C95" i="2"/>
  <c r="F95" i="2" s="1"/>
  <c r="C146" i="2"/>
  <c r="C122" i="2"/>
  <c r="E122" i="2" s="1"/>
  <c r="C156" i="2"/>
  <c r="C157" i="2"/>
  <c r="C149" i="2"/>
  <c r="C147" i="2"/>
  <c r="C154" i="2"/>
  <c r="C135" i="2"/>
  <c r="E135" i="2" s="1"/>
  <c r="G135" i="2" s="1"/>
  <c r="C93" i="2"/>
  <c r="E93" i="2" s="1"/>
  <c r="C120" i="2"/>
  <c r="E120" i="2" s="1"/>
  <c r="C187" i="2"/>
  <c r="G90" i="37" s="1"/>
  <c r="C151" i="2"/>
  <c r="C152" i="2"/>
  <c r="C153" i="2"/>
  <c r="C134" i="2"/>
  <c r="E134" i="2" s="1"/>
  <c r="G134" i="2" s="1"/>
  <c r="C186" i="2"/>
  <c r="E186" i="2" s="1"/>
  <c r="R19" i="2"/>
  <c r="J35" i="2"/>
  <c r="J78" i="2"/>
  <c r="I80" i="2" s="1"/>
  <c r="R29" i="2"/>
  <c r="J34" i="2"/>
  <c r="R39" i="2"/>
  <c r="J33" i="2"/>
  <c r="J36" i="2"/>
  <c r="T38" i="2"/>
  <c r="T36" i="2"/>
  <c r="T45" i="2"/>
  <c r="T31" i="2"/>
  <c r="T78" i="2"/>
  <c r="S80" i="2" s="1"/>
  <c r="T32" i="2"/>
  <c r="R38" i="2"/>
  <c r="R14" i="2"/>
  <c r="J44" i="2"/>
  <c r="R45" i="2"/>
  <c r="R36" i="2"/>
  <c r="J32" i="2"/>
  <c r="J30" i="2"/>
  <c r="R30" i="2"/>
  <c r="R44" i="2"/>
  <c r="J15" i="2"/>
  <c r="T18" i="2"/>
  <c r="T37" i="2"/>
  <c r="T30" i="2"/>
  <c r="T13" i="2"/>
  <c r="R78" i="2"/>
  <c r="Q80" i="2" s="1"/>
  <c r="R31" i="2"/>
  <c r="R26" i="2"/>
  <c r="Q27" i="2"/>
  <c r="R27" i="2" s="1"/>
  <c r="Q28" i="2"/>
  <c r="R28" i="2" s="1"/>
  <c r="I27" i="2"/>
  <c r="J27" i="2" s="1"/>
  <c r="J26" i="2"/>
  <c r="I28" i="2"/>
  <c r="J28" i="2" s="1"/>
  <c r="G109" i="2"/>
  <c r="F110" i="2" s="1"/>
  <c r="R15" i="2"/>
  <c r="J18" i="2"/>
  <c r="S21" i="2"/>
  <c r="T21" i="2" s="1"/>
  <c r="S22" i="2"/>
  <c r="T22" i="2" s="1"/>
  <c r="T20" i="2"/>
  <c r="T39" i="2"/>
  <c r="T35" i="2"/>
  <c r="T34" i="2"/>
  <c r="Q109" i="2"/>
  <c r="P110" i="2" s="1"/>
  <c r="T15" i="2"/>
  <c r="R32" i="2"/>
  <c r="J13" i="2"/>
  <c r="J37" i="2"/>
  <c r="R37" i="2"/>
  <c r="O109" i="2"/>
  <c r="N110" i="2" s="1"/>
  <c r="Q24" i="2"/>
  <c r="R24" i="2" s="1"/>
  <c r="R23" i="2"/>
  <c r="Q25" i="2"/>
  <c r="R25" i="2" s="1"/>
  <c r="J39" i="2"/>
  <c r="J19" i="2"/>
  <c r="T19" i="2"/>
  <c r="S28" i="2"/>
  <c r="T28" i="2" s="1"/>
  <c r="T26" i="2"/>
  <c r="S27" i="2"/>
  <c r="T27" i="2" s="1"/>
  <c r="T14" i="2"/>
  <c r="T29" i="2"/>
  <c r="T33" i="2"/>
  <c r="AB13" i="2"/>
  <c r="AA21" i="2"/>
  <c r="AB21" i="2" s="1"/>
  <c r="AB20" i="2"/>
  <c r="AA22" i="2"/>
  <c r="AB22" i="2" s="1"/>
  <c r="AA25" i="2"/>
  <c r="AB25" i="2" s="1"/>
  <c r="AA24" i="2"/>
  <c r="AB24" i="2" s="1"/>
  <c r="AB23" i="2"/>
  <c r="AH20" i="2"/>
  <c r="AG22" i="2"/>
  <c r="AH22" i="2" s="1"/>
  <c r="AG21" i="2"/>
  <c r="AH21" i="2" s="1"/>
  <c r="AG25" i="2"/>
  <c r="AH25" i="2" s="1"/>
  <c r="AH23" i="2"/>
  <c r="AG24" i="2"/>
  <c r="AH24" i="2" s="1"/>
  <c r="AT26" i="2"/>
  <c r="AS28" i="2"/>
  <c r="AT28" i="2" s="1"/>
  <c r="AS27" i="2"/>
  <c r="AT27" i="2" s="1"/>
  <c r="AE24" i="2"/>
  <c r="AF24" i="2" s="1"/>
  <c r="AF23" i="2"/>
  <c r="AE25" i="2"/>
  <c r="AF25" i="2" s="1"/>
  <c r="AM22" i="2"/>
  <c r="AN22" i="2" s="1"/>
  <c r="AM21" i="2"/>
  <c r="AN21" i="2" s="1"/>
  <c r="AN20" i="2"/>
  <c r="AM25" i="2"/>
  <c r="AN25" i="2" s="1"/>
  <c r="AM24" i="2"/>
  <c r="AN24" i="2" s="1"/>
  <c r="AN23" i="2"/>
  <c r="AQ25" i="2"/>
  <c r="AR25" i="2" s="1"/>
  <c r="AQ24" i="2"/>
  <c r="AR24" i="2" s="1"/>
  <c r="AR23" i="2"/>
  <c r="AN13" i="2"/>
  <c r="AT13" i="2"/>
  <c r="AQ27" i="2"/>
  <c r="AR27" i="2" s="1"/>
  <c r="AR26" i="2"/>
  <c r="AQ28" i="2"/>
  <c r="AR28" i="2" s="1"/>
  <c r="AK24" i="2"/>
  <c r="AL24" i="2" s="1"/>
  <c r="AL23" i="2"/>
  <c r="AK25" i="2"/>
  <c r="AL25" i="2" s="1"/>
  <c r="AK27" i="2"/>
  <c r="AL27" i="2" s="1"/>
  <c r="AK28" i="2"/>
  <c r="AL28" i="2" s="1"/>
  <c r="AL26" i="2"/>
  <c r="AE21" i="2"/>
  <c r="AF21" i="2" s="1"/>
  <c r="AF20" i="2"/>
  <c r="AE22" i="2"/>
  <c r="AF22" i="2" s="1"/>
  <c r="AO28" i="2"/>
  <c r="AP28" i="2" s="1"/>
  <c r="AO27" i="2"/>
  <c r="AP27" i="2" s="1"/>
  <c r="AP26" i="2"/>
  <c r="K75" i="2"/>
  <c r="H106" i="2"/>
  <c r="AH13" i="2"/>
  <c r="AR20" i="2"/>
  <c r="AQ21" i="2"/>
  <c r="AR21" i="2" s="1"/>
  <c r="AQ22" i="2"/>
  <c r="AR22" i="2" s="1"/>
  <c r="AL13" i="2"/>
  <c r="AL20" i="2"/>
  <c r="AK22" i="2"/>
  <c r="AL22" i="2" s="1"/>
  <c r="AK21" i="2"/>
  <c r="AL21" i="2" s="1"/>
  <c r="AF13" i="2"/>
  <c r="AA28" i="2"/>
  <c r="AB28" i="2" s="1"/>
  <c r="AA27" i="2"/>
  <c r="AB27" i="2" s="1"/>
  <c r="AB26" i="2"/>
  <c r="AG28" i="2"/>
  <c r="AH28" i="2" s="1"/>
  <c r="AG27" i="2"/>
  <c r="AH27" i="2" s="1"/>
  <c r="AH26" i="2"/>
  <c r="AT20" i="2"/>
  <c r="AS22" i="2"/>
  <c r="AT22" i="2" s="1"/>
  <c r="AS21" i="2"/>
  <c r="AT21" i="2" s="1"/>
  <c r="AS25" i="2"/>
  <c r="AT25" i="2" s="1"/>
  <c r="AT23" i="2"/>
  <c r="AS24" i="2"/>
  <c r="AT24" i="2" s="1"/>
  <c r="AR13" i="2"/>
  <c r="AE27" i="2"/>
  <c r="AF27" i="2" s="1"/>
  <c r="AF26" i="2"/>
  <c r="AE28" i="2"/>
  <c r="AF28" i="2" s="1"/>
  <c r="AO22" i="2"/>
  <c r="AP22" i="2" s="1"/>
  <c r="AO21" i="2"/>
  <c r="AP21" i="2" s="1"/>
  <c r="AP20" i="2"/>
  <c r="AO25" i="2"/>
  <c r="AP25" i="2" s="1"/>
  <c r="AP23" i="2"/>
  <c r="AO24" i="2"/>
  <c r="AP24" i="2" s="1"/>
  <c r="AP13" i="2"/>
  <c r="AM28" i="2"/>
  <c r="AN28" i="2" s="1"/>
  <c r="AM27" i="2"/>
  <c r="AN27" i="2" s="1"/>
  <c r="AN26" i="2"/>
  <c r="G106" i="37"/>
  <c r="I137" i="2" l="1"/>
  <c r="I138" i="2" s="1"/>
  <c r="I139" i="2" s="1"/>
  <c r="D106" i="2"/>
  <c r="F188" i="2"/>
  <c r="H188" i="2"/>
  <c r="G188" i="2"/>
  <c r="O51" i="2"/>
  <c r="O47" i="2"/>
  <c r="M51" i="2"/>
  <c r="O58" i="2"/>
  <c r="K55" i="1" s="1"/>
  <c r="P21" i="2"/>
  <c r="O49" i="2" s="1"/>
  <c r="Y51" i="2"/>
  <c r="Y55" i="2"/>
  <c r="Y47" i="2"/>
  <c r="Y49" i="2"/>
  <c r="M47" i="2"/>
  <c r="M49" i="2"/>
  <c r="Y58" i="2"/>
  <c r="K60" i="1" s="1"/>
  <c r="Y48" i="2"/>
  <c r="Y46" i="2"/>
  <c r="AI55" i="2"/>
  <c r="U49" i="2"/>
  <c r="U51" i="2"/>
  <c r="G47" i="2"/>
  <c r="G49" i="2"/>
  <c r="AI51" i="2"/>
  <c r="G51" i="2"/>
  <c r="U58" i="2"/>
  <c r="K58" i="1" s="1"/>
  <c r="U55" i="2"/>
  <c r="E189" i="2"/>
  <c r="F189" i="2" s="1"/>
  <c r="D91" i="37" s="1"/>
  <c r="G91" i="37"/>
  <c r="AI49" i="2"/>
  <c r="U46" i="2"/>
  <c r="R21" i="2"/>
  <c r="Q49" i="2" s="1"/>
  <c r="AC28" i="2"/>
  <c r="AD28" i="2" s="1"/>
  <c r="O48" i="2"/>
  <c r="U48" i="2"/>
  <c r="AD23" i="2"/>
  <c r="AC47" i="2" s="1"/>
  <c r="M58" i="2"/>
  <c r="K54" i="1" s="1"/>
  <c r="M55" i="2"/>
  <c r="K49" i="2"/>
  <c r="AC22" i="2"/>
  <c r="AD22" i="2" s="1"/>
  <c r="AC27" i="2"/>
  <c r="AD27" i="2" s="1"/>
  <c r="W49" i="2"/>
  <c r="O46" i="2"/>
  <c r="W47" i="2"/>
  <c r="K47" i="2"/>
  <c r="I55" i="2"/>
  <c r="S47" i="2"/>
  <c r="K51" i="2"/>
  <c r="K48" i="2"/>
  <c r="AI46" i="2"/>
  <c r="M46" i="2"/>
  <c r="W51" i="2"/>
  <c r="K46" i="2"/>
  <c r="W48" i="2"/>
  <c r="G46" i="2"/>
  <c r="G48" i="2"/>
  <c r="I49" i="2"/>
  <c r="M48" i="2"/>
  <c r="AI48" i="2"/>
  <c r="G55" i="2"/>
  <c r="F94" i="2"/>
  <c r="G94" i="2" s="1"/>
  <c r="W55" i="2"/>
  <c r="K58" i="2"/>
  <c r="K53" i="1" s="1"/>
  <c r="W46" i="2"/>
  <c r="K55" i="2"/>
  <c r="AI58" i="2"/>
  <c r="K65" i="1" s="1"/>
  <c r="I51" i="2"/>
  <c r="G58" i="2"/>
  <c r="K51" i="1" s="1"/>
  <c r="W58" i="2"/>
  <c r="K59" i="1" s="1"/>
  <c r="I47" i="2"/>
  <c r="AC25" i="2"/>
  <c r="AD25" i="2" s="1"/>
  <c r="G97" i="37"/>
  <c r="E95" i="2"/>
  <c r="G95" i="2" s="1"/>
  <c r="F93" i="2"/>
  <c r="G93" i="2" s="1"/>
  <c r="G89" i="37"/>
  <c r="S55" i="2"/>
  <c r="AK47" i="2"/>
  <c r="G99" i="37"/>
  <c r="G92" i="37"/>
  <c r="C191" i="2"/>
  <c r="E187" i="2"/>
  <c r="F187" i="2" s="1"/>
  <c r="D90" i="37" s="1"/>
  <c r="Q51" i="2"/>
  <c r="G95" i="37"/>
  <c r="AC21" i="2"/>
  <c r="AD21" i="2" s="1"/>
  <c r="E124" i="2"/>
  <c r="E126" i="2" s="1"/>
  <c r="E127" i="2" s="1"/>
  <c r="E128" i="2" s="1"/>
  <c r="S58" i="2"/>
  <c r="K57" i="1" s="1"/>
  <c r="I48" i="2"/>
  <c r="H83" i="2"/>
  <c r="H84" i="2" s="1"/>
  <c r="C158" i="2"/>
  <c r="E158" i="2" s="1"/>
  <c r="H158" i="2" s="1"/>
  <c r="I158" i="2" s="1"/>
  <c r="G100" i="37"/>
  <c r="E112" i="2"/>
  <c r="G112" i="2" s="1"/>
  <c r="G113" i="2" s="1"/>
  <c r="G114" i="2" s="1"/>
  <c r="G96" i="37"/>
  <c r="S49" i="2"/>
  <c r="S48" i="2"/>
  <c r="I46" i="2"/>
  <c r="Q46" i="2"/>
  <c r="Q47" i="2"/>
  <c r="AQ49" i="2"/>
  <c r="Q58" i="2"/>
  <c r="K56" i="1" s="1"/>
  <c r="Q48" i="2"/>
  <c r="S46" i="2"/>
  <c r="I58" i="2"/>
  <c r="K52" i="1" s="1"/>
  <c r="AG55" i="2"/>
  <c r="AQ47" i="2"/>
  <c r="AM55" i="2"/>
  <c r="S51" i="2"/>
  <c r="AK49" i="2"/>
  <c r="AS47" i="2"/>
  <c r="AO49" i="2"/>
  <c r="AS55" i="2"/>
  <c r="AO55" i="2"/>
  <c r="AE49" i="2"/>
  <c r="AA55" i="2"/>
  <c r="AM58" i="2"/>
  <c r="K67" i="1" s="1"/>
  <c r="AK48" i="2"/>
  <c r="AK46" i="2"/>
  <c r="AM47" i="2"/>
  <c r="AG47" i="2"/>
  <c r="AO47" i="2"/>
  <c r="AS49" i="2"/>
  <c r="AE58" i="2"/>
  <c r="K63" i="1" s="1"/>
  <c r="AK51" i="2"/>
  <c r="AQ55" i="2"/>
  <c r="AG58" i="2"/>
  <c r="K64" i="1" s="1"/>
  <c r="AE55" i="2"/>
  <c r="AM48" i="2"/>
  <c r="AM46" i="2"/>
  <c r="AM49" i="2"/>
  <c r="AA51" i="2"/>
  <c r="AA58" i="2"/>
  <c r="K61" i="1" s="1"/>
  <c r="AO48" i="2"/>
  <c r="AO46" i="2"/>
  <c r="AQ48" i="2"/>
  <c r="AQ46" i="2"/>
  <c r="AS51" i="2"/>
  <c r="AC48" i="2"/>
  <c r="AC46" i="2"/>
  <c r="AE48" i="2"/>
  <c r="AE46" i="2"/>
  <c r="AQ51" i="2"/>
  <c r="AG48" i="2"/>
  <c r="AG46" i="2"/>
  <c r="AE51" i="2"/>
  <c r="AS58" i="2"/>
  <c r="K70" i="1" s="1"/>
  <c r="AM51" i="2"/>
  <c r="AG49" i="2"/>
  <c r="AA47" i="2"/>
  <c r="AA48" i="2"/>
  <c r="AA46" i="2"/>
  <c r="G190" i="2"/>
  <c r="E92" i="37" s="1"/>
  <c r="F190" i="2"/>
  <c r="D92" i="37" s="1"/>
  <c r="H190" i="2"/>
  <c r="F92" i="37" s="1"/>
  <c r="AO58" i="2"/>
  <c r="K68" i="1" s="1"/>
  <c r="AO51" i="2"/>
  <c r="AQ58" i="2"/>
  <c r="K69" i="1" s="1"/>
  <c r="AK55" i="2"/>
  <c r="AK58" i="2"/>
  <c r="K66" i="1" s="1"/>
  <c r="G186" i="2"/>
  <c r="E89" i="37" s="1"/>
  <c r="F186" i="2"/>
  <c r="D89" i="37" s="1"/>
  <c r="H186" i="2"/>
  <c r="F89" i="37" s="1"/>
  <c r="AE47" i="2"/>
  <c r="AS48" i="2"/>
  <c r="AS46" i="2"/>
  <c r="AG51" i="2"/>
  <c r="AA49" i="2"/>
  <c r="O54" i="2" l="1"/>
  <c r="Y54" i="2"/>
  <c r="M54" i="2"/>
  <c r="Y53" i="2"/>
  <c r="U54" i="2"/>
  <c r="G54" i="2"/>
  <c r="AI54" i="2"/>
  <c r="U53" i="2"/>
  <c r="K53" i="2"/>
  <c r="H189" i="2"/>
  <c r="F91" i="37" s="1"/>
  <c r="G189" i="2"/>
  <c r="E91" i="37" s="1"/>
  <c r="O53" i="2"/>
  <c r="G53" i="2"/>
  <c r="AC51" i="2"/>
  <c r="H137" i="2"/>
  <c r="H138" i="2" s="1"/>
  <c r="H139" i="2" s="1"/>
  <c r="E99" i="37" s="1"/>
  <c r="G138" i="2"/>
  <c r="G139" i="2" s="1"/>
  <c r="C35" i="11" s="1"/>
  <c r="AC49" i="2"/>
  <c r="K54" i="2"/>
  <c r="W54" i="2"/>
  <c r="M53" i="2"/>
  <c r="G126" i="2"/>
  <c r="G127" i="2" s="1"/>
  <c r="G128" i="2" s="1"/>
  <c r="I33" i="11" s="1"/>
  <c r="AI53" i="2"/>
  <c r="W53" i="2"/>
  <c r="I54" i="2"/>
  <c r="E191" i="2"/>
  <c r="F191" i="2" s="1"/>
  <c r="F126" i="2"/>
  <c r="F127" i="2" s="1"/>
  <c r="F128" i="2" s="1"/>
  <c r="E97" i="37" s="1"/>
  <c r="G187" i="2"/>
  <c r="E90" i="37" s="1"/>
  <c r="Q54" i="2"/>
  <c r="J158" i="2"/>
  <c r="K158" i="2" s="1"/>
  <c r="F100" i="37" s="1"/>
  <c r="AK54" i="2"/>
  <c r="J82" i="2"/>
  <c r="J83" i="2" s="1"/>
  <c r="J84" i="2" s="1"/>
  <c r="I31" i="11" s="1"/>
  <c r="H187" i="2"/>
  <c r="F90" i="37" s="1"/>
  <c r="AC58" i="2"/>
  <c r="K62" i="1" s="1"/>
  <c r="G97" i="2"/>
  <c r="I97" i="2" s="1"/>
  <c r="I98" i="2" s="1"/>
  <c r="I99" i="2" s="1"/>
  <c r="AC55" i="2"/>
  <c r="G87" i="37" s="1"/>
  <c r="G158" i="2"/>
  <c r="C36" i="11" s="1"/>
  <c r="I82" i="2"/>
  <c r="I83" i="2" s="1"/>
  <c r="I84" i="2" s="1"/>
  <c r="E95" i="37" s="1"/>
  <c r="E113" i="2"/>
  <c r="E114" i="2" s="1"/>
  <c r="C39" i="11" s="1"/>
  <c r="F112" i="2"/>
  <c r="F113" i="2" s="1"/>
  <c r="F114" i="2" s="1"/>
  <c r="E106" i="37" s="1"/>
  <c r="AE54" i="2"/>
  <c r="AQ54" i="2"/>
  <c r="Q53" i="2"/>
  <c r="S54" i="2"/>
  <c r="I53" i="2"/>
  <c r="S53" i="2"/>
  <c r="AS54" i="2"/>
  <c r="AQ53" i="2"/>
  <c r="AS53" i="2"/>
  <c r="AC53" i="2"/>
  <c r="AM53" i="2"/>
  <c r="J89" i="37"/>
  <c r="J92" i="37"/>
  <c r="I39" i="11"/>
  <c r="AS22" i="33" s="1"/>
  <c r="F106" i="37"/>
  <c r="AA54" i="2"/>
  <c r="I35" i="11"/>
  <c r="F99" i="37"/>
  <c r="C33" i="11"/>
  <c r="D97" i="37"/>
  <c r="AM54" i="2"/>
  <c r="AA53" i="2"/>
  <c r="AG53" i="2"/>
  <c r="AE53" i="2"/>
  <c r="AO53" i="2"/>
  <c r="AO54" i="2"/>
  <c r="AK53" i="2"/>
  <c r="D36" i="11"/>
  <c r="E100" i="37"/>
  <c r="C31" i="11"/>
  <c r="D95" i="37"/>
  <c r="AG54" i="2"/>
  <c r="J91" i="37" l="1"/>
  <c r="F97" i="37"/>
  <c r="J97" i="37" s="1"/>
  <c r="AC54" i="2"/>
  <c r="C64" i="2" s="1"/>
  <c r="D35" i="11"/>
  <c r="F35" i="11" s="1"/>
  <c r="D99" i="37"/>
  <c r="J99" i="37" s="1"/>
  <c r="I36" i="11"/>
  <c r="AS21" i="33" s="1"/>
  <c r="H191" i="2"/>
  <c r="F93" i="37" s="1"/>
  <c r="G191" i="2"/>
  <c r="D28" i="11" s="1"/>
  <c r="AN19" i="33" s="1"/>
  <c r="F95" i="37"/>
  <c r="J95" i="37" s="1"/>
  <c r="D106" i="37"/>
  <c r="J106" i="37" s="1"/>
  <c r="J90" i="37"/>
  <c r="D31" i="11"/>
  <c r="F31" i="11" s="1"/>
  <c r="D39" i="11"/>
  <c r="AN22" i="33" s="1"/>
  <c r="D33" i="11"/>
  <c r="F33" i="11" s="1"/>
  <c r="G98" i="2"/>
  <c r="G99" i="2" s="1"/>
  <c r="D96" i="37" s="1"/>
  <c r="H97" i="2"/>
  <c r="H98" i="2" s="1"/>
  <c r="H99" i="2" s="1"/>
  <c r="E96" i="37" s="1"/>
  <c r="D100" i="37"/>
  <c r="J100" i="37" s="1"/>
  <c r="C58" i="2"/>
  <c r="C62" i="2" s="1"/>
  <c r="F36" i="11"/>
  <c r="D93" i="37"/>
  <c r="C28" i="11"/>
  <c r="AM21" i="33"/>
  <c r="I32" i="11"/>
  <c r="AS20" i="33" s="1"/>
  <c r="F96" i="37"/>
  <c r="AM22" i="33"/>
  <c r="AU22" i="33" s="1" a="1"/>
  <c r="AU22" i="33" s="1"/>
  <c r="C68" i="2" l="1"/>
  <c r="AN21" i="33"/>
  <c r="I28" i="11"/>
  <c r="AS19" i="33" s="1"/>
  <c r="E93" i="37"/>
  <c r="J93" i="37" s="1"/>
  <c r="D32" i="11"/>
  <c r="AN20" i="33" s="1"/>
  <c r="F39" i="11"/>
  <c r="AP22" i="33" s="1"/>
  <c r="E58" i="2"/>
  <c r="E59" i="2" s="1"/>
  <c r="E60" i="2" s="1"/>
  <c r="F86" i="37" s="1"/>
  <c r="C59" i="2"/>
  <c r="C60" i="2" s="1"/>
  <c r="C25" i="11" s="1"/>
  <c r="C32" i="11"/>
  <c r="C61" i="2"/>
  <c r="D58" i="2"/>
  <c r="D59" i="2" s="1"/>
  <c r="D60" i="2" s="1"/>
  <c r="D25" i="11" s="1"/>
  <c r="AN17" i="33" s="1"/>
  <c r="E64" i="2"/>
  <c r="E65" i="2" s="1"/>
  <c r="E66" i="2" s="1"/>
  <c r="I26" i="11" s="1"/>
  <c r="AS18" i="33" s="1"/>
  <c r="D64" i="2"/>
  <c r="D65" i="2" s="1"/>
  <c r="D66" i="2" s="1"/>
  <c r="D26" i="11" s="1"/>
  <c r="AN18" i="33" s="1"/>
  <c r="C67" i="2"/>
  <c r="C65" i="2"/>
  <c r="C66" i="2" s="1"/>
  <c r="C26" i="11" s="1"/>
  <c r="J96" i="37"/>
  <c r="AP21" i="33"/>
  <c r="AU21" i="33" a="1"/>
  <c r="AU21" i="33" s="1"/>
  <c r="AM19" i="33"/>
  <c r="AU19" i="33" s="1" a="1"/>
  <c r="AU19" i="33" s="1"/>
  <c r="F28" i="11"/>
  <c r="AP19" i="33" s="1"/>
  <c r="F32" i="11" l="1"/>
  <c r="AP20" i="33" s="1"/>
  <c r="D86" i="37"/>
  <c r="I25" i="11"/>
  <c r="AS17" i="33" s="1"/>
  <c r="AM20" i="33"/>
  <c r="AU20" i="33" s="1" a="1"/>
  <c r="AU20" i="33" s="1"/>
  <c r="F87" i="37"/>
  <c r="E86" i="37"/>
  <c r="D87" i="37"/>
  <c r="E87" i="37"/>
  <c r="AM17" i="33"/>
  <c r="AU17" i="33" s="1" a="1"/>
  <c r="AU17" i="33" s="1"/>
  <c r="F25" i="11"/>
  <c r="AP17" i="33" s="1"/>
  <c r="AM18" i="33"/>
  <c r="AU18" i="33" s="1" a="1"/>
  <c r="AU18" i="33" s="1"/>
  <c r="F26" i="11"/>
  <c r="AP18" i="33" s="1"/>
  <c r="H59" i="36"/>
  <c r="J86" i="37" l="1"/>
  <c r="J87" i="37"/>
  <c r="BA59" i="36"/>
  <c r="G59" i="36" l="1"/>
  <c r="I59" i="36" s="1"/>
  <c r="AF59" i="36" s="1"/>
  <c r="AE59" i="36" s="1"/>
  <c r="AU29" i="28"/>
  <c r="AH59" i="36" l="1"/>
  <c r="F26" i="37"/>
  <c r="N26" i="37" s="1"/>
  <c r="G76" i="36" l="1"/>
  <c r="I76" i="36" s="1"/>
  <c r="AF76" i="36" s="1"/>
  <c r="BA58" i="36"/>
  <c r="G58" i="36" s="1"/>
  <c r="BA61" i="36"/>
  <c r="G61" i="36" s="1"/>
  <c r="I61" i="36" s="1"/>
  <c r="AF61" i="36" s="1"/>
  <c r="BT58" i="36"/>
  <c r="H58" i="36" s="1"/>
  <c r="AE76" i="36" l="1"/>
  <c r="AG28" i="36" s="1"/>
  <c r="AH76" i="36"/>
  <c r="AK28" i="36" s="1"/>
  <c r="AE61" i="36"/>
  <c r="AH61" i="36"/>
  <c r="I58" i="36"/>
  <c r="AF58" i="36" s="1"/>
  <c r="AE58" i="36" s="1"/>
  <c r="AI28" i="36" l="1"/>
  <c r="AO28" i="36"/>
  <c r="AH28" i="36" s="1"/>
  <c r="AG25" i="36"/>
  <c r="AF34" i="36"/>
  <c r="AG17" i="36"/>
  <c r="AO17" i="36" s="1"/>
  <c r="AH17" i="36" s="1"/>
  <c r="AJ17" i="36" s="1"/>
  <c r="AL17" i="36" s="1"/>
  <c r="AM17" i="36" s="1"/>
  <c r="F17" i="36" s="1"/>
  <c r="AG27" i="36"/>
  <c r="AF33" i="36"/>
  <c r="AH58" i="36"/>
  <c r="AK25" i="36" s="1"/>
  <c r="AK26" i="36"/>
  <c r="AG26" i="36"/>
  <c r="AG14" i="36"/>
  <c r="AI14" i="36" s="1"/>
  <c r="AI17" i="36" l="1"/>
  <c r="AK17" i="36"/>
  <c r="C23" i="28" s="1"/>
  <c r="AX23" i="28" s="1"/>
  <c r="AK27" i="36"/>
  <c r="AI27" i="36"/>
  <c r="AO27" i="36"/>
  <c r="AH27" i="36" s="1"/>
  <c r="AG24" i="36"/>
  <c r="AO24" i="36" s="1"/>
  <c r="AI25" i="36"/>
  <c r="AO25" i="36"/>
  <c r="AH25" i="36" s="1"/>
  <c r="E17" i="36"/>
  <c r="K20" i="37"/>
  <c r="AI26" i="36"/>
  <c r="AO26" i="36"/>
  <c r="AH26" i="36" s="1"/>
  <c r="AO14" i="36"/>
  <c r="AH14" i="36" s="1"/>
  <c r="AJ14" i="36" s="1"/>
  <c r="AL14" i="36" s="1"/>
  <c r="AM14" i="36" s="1"/>
  <c r="F14" i="36" s="1"/>
  <c r="E14" i="36" l="1"/>
  <c r="K17" i="37"/>
  <c r="N17" i="37" s="1"/>
  <c r="AH24" i="36"/>
  <c r="AW23" i="28"/>
  <c r="H20" i="37" s="1"/>
  <c r="AI24" i="36"/>
  <c r="AU23" i="28"/>
  <c r="F20" i="37" s="1"/>
  <c r="AV23" i="28"/>
  <c r="G20" i="37" s="1"/>
  <c r="AK24" i="36"/>
  <c r="AT23" i="28"/>
  <c r="E20" i="37" s="1"/>
  <c r="AS23" i="28"/>
  <c r="AS30" i="28" s="1"/>
  <c r="AY23" i="28"/>
  <c r="J20" i="37" s="1"/>
  <c r="AX30" i="28"/>
  <c r="I20" i="37"/>
  <c r="AV30" i="28" l="1"/>
  <c r="G27" i="37" s="1"/>
  <c r="AW30" i="28"/>
  <c r="H27" i="37" s="1"/>
  <c r="AY30" i="28"/>
  <c r="J27" i="37" s="1"/>
  <c r="AU30" i="28"/>
  <c r="E18" i="11" s="1"/>
  <c r="AP28" i="36"/>
  <c r="AJ28" i="36" s="1"/>
  <c r="AL28" i="36" s="1"/>
  <c r="D20" i="37"/>
  <c r="N20" i="37" s="1"/>
  <c r="AT30" i="28"/>
  <c r="E27" i="37" s="1"/>
  <c r="I27" i="37"/>
  <c r="I18" i="11"/>
  <c r="D27" i="37"/>
  <c r="D18" i="11"/>
  <c r="AP27" i="36" l="1"/>
  <c r="AJ27" i="36" s="1"/>
  <c r="AL27" i="36" s="1"/>
  <c r="AP30" i="36"/>
  <c r="AJ30" i="36" s="1"/>
  <c r="AL30" i="36" s="1"/>
  <c r="H18" i="11"/>
  <c r="G18" i="11"/>
  <c r="F27" i="37"/>
  <c r="J18" i="11"/>
  <c r="AP29" i="36"/>
  <c r="AJ29" i="36" s="1"/>
  <c r="AL29" i="36" s="1"/>
  <c r="C18" i="11"/>
  <c r="F18" i="11" s="1"/>
  <c r="AP26" i="36"/>
  <c r="AJ26" i="36" s="1"/>
  <c r="AL26" i="36" s="1"/>
  <c r="AP25" i="36"/>
  <c r="AJ25" i="36" s="1"/>
  <c r="AJ24" i="36" l="1"/>
  <c r="AL25" i="36"/>
  <c r="AL24" i="36" s="1"/>
  <c r="AR24" i="36" s="1"/>
  <c r="AQ27" i="36" l="1"/>
  <c r="AQ28" i="36"/>
  <c r="AQ26" i="36"/>
  <c r="AQ30" i="36"/>
  <c r="AQ25" i="36"/>
  <c r="AQ29" i="36"/>
  <c r="AR27" i="36"/>
  <c r="AM27" i="36" s="1"/>
  <c r="AR30" i="36"/>
  <c r="AM30" i="36" s="1"/>
  <c r="AR26" i="36"/>
  <c r="AM26" i="36" s="1"/>
  <c r="AR25" i="36"/>
  <c r="AM25" i="36" s="1"/>
  <c r="C36" i="28" s="1"/>
  <c r="AR28" i="36"/>
  <c r="AM28" i="36" s="1"/>
  <c r="AR29" i="36"/>
  <c r="AM29" i="36" s="1"/>
  <c r="F30" i="36" l="1"/>
  <c r="E30" i="36" s="1"/>
  <c r="C41" i="28"/>
  <c r="F29" i="36"/>
  <c r="K32" i="37" s="1"/>
  <c r="C40" i="28"/>
  <c r="F28" i="36"/>
  <c r="E28" i="36" s="1"/>
  <c r="C39" i="28"/>
  <c r="F27" i="36"/>
  <c r="K30" i="37" s="1"/>
  <c r="C38" i="28"/>
  <c r="F26" i="36"/>
  <c r="K29" i="37" s="1"/>
  <c r="C37" i="28"/>
  <c r="AN36" i="28"/>
  <c r="AP36" i="28"/>
  <c r="AS36" i="28"/>
  <c r="AR36" i="28"/>
  <c r="AO36" i="28"/>
  <c r="AM36" i="28"/>
  <c r="AQ36" i="28"/>
  <c r="AM24" i="36"/>
  <c r="F24" i="36" s="1"/>
  <c r="F25" i="36"/>
  <c r="E29" i="36" l="1"/>
  <c r="K31" i="37"/>
  <c r="E26" i="36"/>
  <c r="K33" i="37"/>
  <c r="E27" i="36"/>
  <c r="AS41" i="28"/>
  <c r="J33" i="37" s="1"/>
  <c r="AM41" i="28"/>
  <c r="D33" i="37" s="1"/>
  <c r="AQ41" i="28"/>
  <c r="H33" i="37" s="1"/>
  <c r="AN41" i="28"/>
  <c r="E33" i="37" s="1"/>
  <c r="AP41" i="28"/>
  <c r="G33" i="37" s="1"/>
  <c r="AO41" i="28"/>
  <c r="F33" i="37" s="1"/>
  <c r="AR41" i="28"/>
  <c r="I33" i="37" s="1"/>
  <c r="AO40" i="28"/>
  <c r="AS40" i="28"/>
  <c r="AP40" i="28"/>
  <c r="AQ40" i="28"/>
  <c r="AN40" i="28"/>
  <c r="AR40" i="28"/>
  <c r="AM40" i="28"/>
  <c r="AP39" i="28"/>
  <c r="G31" i="37" s="1"/>
  <c r="AQ39" i="28"/>
  <c r="H31" i="37" s="1"/>
  <c r="AM39" i="28"/>
  <c r="D31" i="37" s="1"/>
  <c r="AO39" i="28"/>
  <c r="F31" i="37" s="1"/>
  <c r="AN39" i="28"/>
  <c r="E31" i="37" s="1"/>
  <c r="AR39" i="28"/>
  <c r="I31" i="37" s="1"/>
  <c r="AS39" i="28"/>
  <c r="J31" i="37" s="1"/>
  <c r="AM38" i="28"/>
  <c r="D30" i="37" s="1"/>
  <c r="AN38" i="28"/>
  <c r="E30" i="37" s="1"/>
  <c r="AQ38" i="28"/>
  <c r="H30" i="37" s="1"/>
  <c r="AR38" i="28"/>
  <c r="I30" i="37" s="1"/>
  <c r="AS38" i="28"/>
  <c r="J30" i="37" s="1"/>
  <c r="AO38" i="28"/>
  <c r="F30" i="37" s="1"/>
  <c r="AP38" i="28"/>
  <c r="G30" i="37" s="1"/>
  <c r="AP37" i="28"/>
  <c r="AO37" i="28"/>
  <c r="AR37" i="28"/>
  <c r="AS37" i="28"/>
  <c r="AQ37" i="28"/>
  <c r="AN37" i="28"/>
  <c r="AM37" i="28"/>
  <c r="H28" i="37"/>
  <c r="AQ72" i="28"/>
  <c r="D28" i="37"/>
  <c r="AM72" i="28"/>
  <c r="AP72" i="28"/>
  <c r="G28" i="37"/>
  <c r="I28" i="37"/>
  <c r="AR72" i="28"/>
  <c r="J28" i="37"/>
  <c r="AS72" i="28"/>
  <c r="F28" i="37"/>
  <c r="AO72" i="28"/>
  <c r="E28" i="37"/>
  <c r="AN72" i="28"/>
  <c r="E25" i="36"/>
  <c r="K28" i="37"/>
  <c r="E24" i="36" l="1"/>
  <c r="AM75" i="28"/>
  <c r="D67" i="37" s="1"/>
  <c r="AN75" i="28"/>
  <c r="E67" i="37" s="1"/>
  <c r="AP75" i="28"/>
  <c r="G67" i="37" s="1"/>
  <c r="N33" i="37"/>
  <c r="AS75" i="28"/>
  <c r="J67" i="37" s="1"/>
  <c r="N31" i="37"/>
  <c r="D32" i="37"/>
  <c r="AM74" i="28" a="1"/>
  <c r="AM74" i="28" s="1"/>
  <c r="G32" i="37"/>
  <c r="AP74" i="28" a="1"/>
  <c r="AP74" i="28" s="1"/>
  <c r="I32" i="37"/>
  <c r="AR74" i="28" a="1"/>
  <c r="AR74" i="28" s="1"/>
  <c r="J32" i="37"/>
  <c r="AS74" i="28" a="1"/>
  <c r="AS74" i="28" s="1"/>
  <c r="E32" i="37"/>
  <c r="AN74" i="28" a="1"/>
  <c r="AN74" i="28" s="1"/>
  <c r="F32" i="37"/>
  <c r="AO74" i="28" a="1"/>
  <c r="AO74" i="28" s="1"/>
  <c r="H32" i="37"/>
  <c r="AQ74" i="28" a="1"/>
  <c r="AQ74" i="28" s="1"/>
  <c r="AO75" i="28"/>
  <c r="F67" i="37" s="1"/>
  <c r="AR75" i="28"/>
  <c r="I67" i="37" s="1"/>
  <c r="N30" i="37"/>
  <c r="AQ75" i="28"/>
  <c r="H67" i="37" s="1"/>
  <c r="D29" i="37"/>
  <c r="AM73" i="28" a="1"/>
  <c r="AM73" i="28" s="1"/>
  <c r="AR73" i="28" a="1"/>
  <c r="AR73" i="28" s="1"/>
  <c r="I29" i="37"/>
  <c r="E29" i="37"/>
  <c r="AN73" i="28" a="1"/>
  <c r="AN73" i="28" s="1"/>
  <c r="F29" i="37"/>
  <c r="AO73" i="28" a="1"/>
  <c r="AO73" i="28" s="1"/>
  <c r="AQ73" i="28" a="1"/>
  <c r="AQ73" i="28" s="1"/>
  <c r="H29" i="37"/>
  <c r="G29" i="37"/>
  <c r="AP73" i="28" a="1"/>
  <c r="AP73" i="28" s="1"/>
  <c r="J29" i="37"/>
  <c r="AS73" i="28" a="1"/>
  <c r="AS73" i="28" s="1"/>
  <c r="I64" i="37"/>
  <c r="I20" i="11"/>
  <c r="G64" i="37"/>
  <c r="G20" i="11"/>
  <c r="J64" i="37"/>
  <c r="J20" i="11"/>
  <c r="H64" i="37"/>
  <c r="H20" i="11"/>
  <c r="C20" i="11"/>
  <c r="E64" i="37"/>
  <c r="N28" i="37"/>
  <c r="F64" i="37"/>
  <c r="E20" i="11"/>
  <c r="D20" i="11"/>
  <c r="D64" i="37"/>
  <c r="F66" i="37" l="1"/>
  <c r="E22" i="11"/>
  <c r="J66" i="37"/>
  <c r="J22" i="11"/>
  <c r="G66" i="37"/>
  <c r="G22" i="11"/>
  <c r="E66" i="37"/>
  <c r="C22" i="11"/>
  <c r="I66" i="37"/>
  <c r="I22" i="11"/>
  <c r="D66" i="37"/>
  <c r="D22" i="11"/>
  <c r="H66" i="37"/>
  <c r="H22" i="11"/>
  <c r="N32" i="37"/>
  <c r="G65" i="37"/>
  <c r="G21" i="11"/>
  <c r="F65" i="37"/>
  <c r="E21" i="11"/>
  <c r="I65" i="37"/>
  <c r="I21" i="11"/>
  <c r="E65" i="37"/>
  <c r="C21" i="11"/>
  <c r="D65" i="37"/>
  <c r="D21" i="11"/>
  <c r="J21" i="11"/>
  <c r="J65" i="37"/>
  <c r="H65" i="37"/>
  <c r="H21" i="11"/>
  <c r="N29" i="37"/>
  <c r="F20" i="11"/>
  <c r="AS14" i="33" l="1"/>
  <c r="AS26" i="33" s="1"/>
  <c r="M14" i="33" s="1"/>
  <c r="AO14" i="33"/>
  <c r="AO26" i="33" s="1"/>
  <c r="E14" i="33" s="1"/>
  <c r="AR14" i="33"/>
  <c r="AR26" i="33" s="1"/>
  <c r="K14" i="33" s="1"/>
  <c r="I44" i="11"/>
  <c r="AQ14" i="33"/>
  <c r="AQ26" i="33" s="1"/>
  <c r="I14" i="33" s="1"/>
  <c r="D44" i="11"/>
  <c r="AT14" i="33"/>
  <c r="AT26" i="33" s="1"/>
  <c r="O14" i="33" s="1"/>
  <c r="F21" i="11"/>
  <c r="G44" i="11"/>
  <c r="J44" i="11"/>
  <c r="H44" i="11"/>
  <c r="AN14" i="33"/>
  <c r="AN26" i="33" s="1"/>
  <c r="C14" i="33" s="1"/>
  <c r="F22" i="11"/>
  <c r="E44" i="11"/>
  <c r="AM14" i="33"/>
  <c r="AM26" i="33" s="1"/>
  <c r="A14" i="33" s="1"/>
  <c r="C44" i="11"/>
  <c r="F44" i="11" l="1"/>
  <c r="AP14" i="33"/>
  <c r="AP26" i="33" s="1"/>
  <c r="G14" i="33" s="1"/>
  <c r="AU14" i="33" a="1"/>
  <c r="AU14" i="3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<sst xmlns="http://schemas.openxmlformats.org/spreadsheetml/2006/main" count="26371" uniqueCount="3445">
  <si>
    <t>Dehydrators:</t>
  </si>
  <si>
    <t>Controller</t>
  </si>
  <si>
    <t>Type</t>
  </si>
  <si>
    <t xml:space="preserve">Data </t>
  </si>
  <si>
    <t>Source</t>
  </si>
  <si>
    <t>As Reported in Reference</t>
  </si>
  <si>
    <t>Value</t>
  </si>
  <si>
    <t>Units of</t>
  </si>
  <si>
    <t>Measure</t>
  </si>
  <si>
    <t>scfd/device</t>
  </si>
  <si>
    <t>Low-Bleed</t>
  </si>
  <si>
    <t>High-Bleed</t>
  </si>
  <si>
    <t>Intermittent Bleed</t>
  </si>
  <si>
    <t>No-Bleed</t>
  </si>
  <si>
    <t>None</t>
  </si>
  <si>
    <t>Conversion Factor</t>
  </si>
  <si>
    <t>Conversion</t>
  </si>
  <si>
    <t>From</t>
  </si>
  <si>
    <t>To</t>
  </si>
  <si>
    <t>Descriptor</t>
  </si>
  <si>
    <t>scf/d/device</t>
  </si>
  <si>
    <t>lb</t>
  </si>
  <si>
    <t>kg</t>
  </si>
  <si>
    <t>"lb" to "kg"</t>
  </si>
  <si>
    <t>ton</t>
  </si>
  <si>
    <t>tonne</t>
  </si>
  <si>
    <t>"ton" to "tonne"</t>
  </si>
  <si>
    <t>scf</t>
  </si>
  <si>
    <t>Production</t>
  </si>
  <si>
    <t>List</t>
  </si>
  <si>
    <t>Industry Segment</t>
  </si>
  <si>
    <t>Gas Processing</t>
  </si>
  <si>
    <t>Gas Transmission</t>
  </si>
  <si>
    <t>Gas Storage</t>
  </si>
  <si>
    <t>Gas Distribution</t>
  </si>
  <si>
    <t>Pneumatic Controllers</t>
  </si>
  <si>
    <t>Data Source</t>
  </si>
  <si>
    <t xml:space="preserve">Units of </t>
  </si>
  <si>
    <t>C</t>
  </si>
  <si>
    <t>EF Value</t>
  </si>
  <si>
    <t>As Reported in the Reference</t>
  </si>
  <si>
    <t xml:space="preserve">CH4 Content </t>
  </si>
  <si>
    <t>Basis for Industry Segment</t>
  </si>
  <si>
    <t>(Mol%)</t>
  </si>
  <si>
    <t xml:space="preserve">China-Specific </t>
  </si>
  <si>
    <t>CH4 Content</t>
  </si>
  <si>
    <t>Subcategory</t>
  </si>
  <si>
    <t>Dehydrator Types</t>
  </si>
  <si>
    <t>Gas Sweetening Units:</t>
  </si>
  <si>
    <t>All</t>
  </si>
  <si>
    <t>Not Applicable</t>
  </si>
  <si>
    <t>Storage Tanks:</t>
  </si>
  <si>
    <t>Crude Oil</t>
  </si>
  <si>
    <t>Uncontrolled CH4 Flashing Loss</t>
  </si>
  <si>
    <t>Emissions Factor</t>
  </si>
  <si>
    <t>Substance</t>
  </si>
  <si>
    <t>Name</t>
  </si>
  <si>
    <t>Formula</t>
  </si>
  <si>
    <t>Molecular Weight</t>
  </si>
  <si>
    <t>Methane</t>
  </si>
  <si>
    <t>CH4</t>
  </si>
  <si>
    <t>(kg/m3)</t>
  </si>
  <si>
    <t>Standard Temperature</t>
  </si>
  <si>
    <t>Standard Pressure</t>
  </si>
  <si>
    <t>kPa</t>
  </si>
  <si>
    <t>CO2</t>
  </si>
  <si>
    <t>Condensate</t>
  </si>
  <si>
    <t>bbl</t>
  </si>
  <si>
    <r>
      <t>"scf/10</t>
    </r>
    <r>
      <rPr>
        <vertAlign val="superscript"/>
        <sz val="11"/>
        <color theme="1"/>
        <rFont val="Calibri"/>
        <family val="2"/>
        <scheme val="minor"/>
      </rPr>
      <t>6</t>
    </r>
    <r>
      <rPr>
        <sz val="11"/>
        <color theme="1"/>
        <rFont val="Calibri"/>
        <family val="2"/>
        <scheme val="minor"/>
      </rPr>
      <t xml:space="preserve"> scf gas processed" to "m</t>
    </r>
    <r>
      <rPr>
        <vertAlign val="superscript"/>
        <sz val="11"/>
        <color theme="1"/>
        <rFont val="Calibri"/>
        <family val="2"/>
        <scheme val="minor"/>
      </rPr>
      <t>3</t>
    </r>
    <r>
      <rPr>
        <sz val="11"/>
        <color theme="1"/>
        <rFont val="Calibri"/>
        <family val="2"/>
        <scheme val="minor"/>
      </rPr>
      <t>/10</t>
    </r>
    <r>
      <rPr>
        <vertAlign val="superscript"/>
        <sz val="11"/>
        <color theme="1"/>
        <rFont val="Calibri"/>
        <family val="2"/>
        <scheme val="minor"/>
      </rPr>
      <t>6</t>
    </r>
    <r>
      <rPr>
        <sz val="11"/>
        <color theme="1"/>
        <rFont val="Calibri"/>
        <family val="2"/>
        <scheme val="minor"/>
      </rPr>
      <t xml:space="preserve"> m</t>
    </r>
    <r>
      <rPr>
        <vertAlign val="superscript"/>
        <sz val="11"/>
        <color theme="1"/>
        <rFont val="Calibri"/>
        <family val="2"/>
        <scheme val="minor"/>
      </rPr>
      <t>3</t>
    </r>
    <r>
      <rPr>
        <sz val="11"/>
        <color theme="1"/>
        <rFont val="Calibri"/>
        <family val="2"/>
        <scheme val="minor"/>
      </rPr>
      <t xml:space="preserve"> gas processed"</t>
    </r>
  </si>
  <si>
    <r>
      <t>"bbl" to "m</t>
    </r>
    <r>
      <rPr>
        <vertAlign val="superscript"/>
        <sz val="11"/>
        <color theme="1"/>
        <rFont val="Calibri"/>
        <family val="2"/>
        <scheme val="minor"/>
      </rPr>
      <t>3</t>
    </r>
    <r>
      <rPr>
        <sz val="11"/>
        <color theme="1"/>
        <rFont val="Calibri"/>
        <family val="2"/>
        <scheme val="minor"/>
      </rPr>
      <t>"</t>
    </r>
  </si>
  <si>
    <r>
      <t>"scf" to "m</t>
    </r>
    <r>
      <rPr>
        <vertAlign val="superscript"/>
        <sz val="11"/>
        <color theme="1"/>
        <rFont val="Calibri"/>
        <family val="2"/>
        <scheme val="minor"/>
      </rPr>
      <t>3</t>
    </r>
    <r>
      <rPr>
        <sz val="11"/>
        <color theme="1"/>
        <rFont val="Calibri"/>
        <family val="2"/>
        <scheme val="minor"/>
      </rPr>
      <t>"</t>
    </r>
  </si>
  <si>
    <t>Produced Water</t>
  </si>
  <si>
    <t>tonnes CH4/1000 bbl produced water</t>
  </si>
  <si>
    <t>Wellhead Casing Vents:</t>
  </si>
  <si>
    <t>Thermal Heavy Oil</t>
  </si>
  <si>
    <t>Crude Bitumen</t>
  </si>
  <si>
    <t>Low-Pressure Gas</t>
  </si>
  <si>
    <t>tonnes/1000 bbl oil produced</t>
  </si>
  <si>
    <t>Well Type</t>
  </si>
  <si>
    <t>Oil Well Casing Vents:</t>
  </si>
  <si>
    <t>Cold Heavy Oil (Active)</t>
  </si>
  <si>
    <t>Cold Heavy Oil (Suspended)</t>
  </si>
  <si>
    <t>Crude Bitumen (Active)</t>
  </si>
  <si>
    <t>Crude Bitumen (Suspended)</t>
  </si>
  <si>
    <t>Conventional Crude Oil Wells</t>
  </si>
  <si>
    <t>tonnes CH4/d/well</t>
  </si>
  <si>
    <r>
      <t>"scf/d/device" to "m</t>
    </r>
    <r>
      <rPr>
        <vertAlign val="superscript"/>
        <sz val="11"/>
        <color theme="1"/>
        <rFont val="Calibri"/>
        <family val="2"/>
        <scheme val="minor"/>
      </rPr>
      <t>3</t>
    </r>
    <r>
      <rPr>
        <sz val="11"/>
        <color theme="1"/>
        <rFont val="Calibri"/>
        <family val="2"/>
        <scheme val="minor"/>
      </rPr>
      <t>/d/device"</t>
    </r>
  </si>
  <si>
    <t>Inspection and Maintenance Activities:</t>
  </si>
  <si>
    <t>Vessel Blowdowns</t>
  </si>
  <si>
    <t>Compressor Starts</t>
  </si>
  <si>
    <t>Compressor Blowdowns</t>
  </si>
  <si>
    <t>Gas Well Workover (Tubing Maintenance)</t>
  </si>
  <si>
    <t>Oil Well Workover (Tubing Maintenance)</t>
  </si>
  <si>
    <t>Offshore Gas Well Completion</t>
  </si>
  <si>
    <t>Oil Pump Station Maintenance</t>
  </si>
  <si>
    <t>lb CH4/y/station</t>
  </si>
  <si>
    <t>scf CH4/y/vessel</t>
  </si>
  <si>
    <t>scf CH4/y/compressor</t>
  </si>
  <si>
    <t>scf CH4/workover</t>
  </si>
  <si>
    <t>scf CH4/y/mile</t>
  </si>
  <si>
    <t>scf CH4/y/mile of Gas Gathering Pipeline</t>
  </si>
  <si>
    <t>scf/y/source</t>
  </si>
  <si>
    <t>scf/activity-day</t>
  </si>
  <si>
    <t>scf/y/pipeline-mile</t>
  </si>
  <si>
    <t>scf/y/pipeline-km</t>
  </si>
  <si>
    <t>mile</t>
  </si>
  <si>
    <t>km</t>
  </si>
  <si>
    <t>"mile" to "km"</t>
  </si>
  <si>
    <r>
      <t>"scf/y/source" to "m</t>
    </r>
    <r>
      <rPr>
        <vertAlign val="superscript"/>
        <sz val="11"/>
        <color theme="1"/>
        <rFont val="Calibri"/>
        <family val="2"/>
        <scheme val="minor"/>
      </rPr>
      <t>3</t>
    </r>
    <r>
      <rPr>
        <sz val="11"/>
        <color theme="1"/>
        <rFont val="Calibri"/>
        <family val="2"/>
        <scheme val="minor"/>
      </rPr>
      <t>/y/source"</t>
    </r>
  </si>
  <si>
    <t>scf/activity</t>
  </si>
  <si>
    <t>"scf/activity" to "m3/activity"</t>
  </si>
  <si>
    <t>Important: values highlighted in red are assumed.</t>
  </si>
  <si>
    <t>Pressure Relief Valve Release</t>
  </si>
  <si>
    <t>Offshore Emergency Shutdown</t>
  </si>
  <si>
    <t>Non-routine Activities</t>
  </si>
  <si>
    <t>Gas Compressor Station Blowdowns</t>
  </si>
  <si>
    <t>PRV Lifts</t>
  </si>
  <si>
    <t>ESD Activations</t>
  </si>
  <si>
    <t>Meter and Regulator Station Blowdowns</t>
  </si>
  <si>
    <t>Miscellaneous</t>
  </si>
  <si>
    <t>Pipeline Venting &amp; Blowdowns</t>
  </si>
  <si>
    <t>Gas Storage Station Venting</t>
  </si>
  <si>
    <t>scf CH4/y/station</t>
  </si>
  <si>
    <t>m3 CH4/y/station</t>
  </si>
  <si>
    <t>---</t>
  </si>
  <si>
    <t>Meter &amp; Regulator Station Maintenance</t>
  </si>
  <si>
    <t>Odorizer &amp; Gas Sampling Vents</t>
  </si>
  <si>
    <t>Pipeline Blowdowns</t>
  </si>
  <si>
    <t>Pipeline Mishaps (Dig-ins)</t>
  </si>
  <si>
    <r>
      <t>"scf/y/pipeline-mile" to "m</t>
    </r>
    <r>
      <rPr>
        <vertAlign val="superscript"/>
        <sz val="11"/>
        <color theme="1"/>
        <rFont val="Calibri"/>
        <family val="2"/>
        <scheme val="minor"/>
      </rPr>
      <t>3</t>
    </r>
    <r>
      <rPr>
        <sz val="11"/>
        <color theme="1"/>
        <rFont val="Calibri"/>
        <family val="2"/>
        <scheme val="minor"/>
      </rPr>
      <t>/y/pipeline-km"</t>
    </r>
  </si>
  <si>
    <t>EPA UOG Emission Factors (US EPA, 1995: EPA-453/R-95-017)</t>
  </si>
  <si>
    <t>EPA UOG Emission Factor Base Case</t>
  </si>
  <si>
    <t>Equipment Type</t>
  </si>
  <si>
    <t>Service</t>
  </si>
  <si>
    <t>US EPA UOG Emission Factors</t>
  </si>
  <si>
    <t>Average</t>
  </si>
  <si>
    <t>Leak</t>
  </si>
  <si>
    <t>No-Leak</t>
  </si>
  <si>
    <t xml:space="preserve">Leak </t>
  </si>
  <si>
    <t>Uncontrolled</t>
  </si>
  <si>
    <t>Control</t>
  </si>
  <si>
    <t>Controlled</t>
  </si>
  <si>
    <t xml:space="preserve">Specified Leak </t>
  </si>
  <si>
    <t>Frequency</t>
  </si>
  <si>
    <t>(kg/h/source)</t>
  </si>
  <si>
    <t>Emission Factor</t>
  </si>
  <si>
    <t>(%)</t>
  </si>
  <si>
    <t>Calculated (use as default)</t>
  </si>
  <si>
    <t>US EPA-453/R-95-017 Table 2-4</t>
  </si>
  <si>
    <t>US EPA-453/R-95-017 Table 2-8</t>
  </si>
  <si>
    <t>Calculated based on Leak, No-Leak factors and adjustable leak frequency</t>
  </si>
  <si>
    <t>Calculated based on uncontrolled factors and adjustable control factor</t>
  </si>
  <si>
    <t>Adjustable Input (Assume to be zero if not entered)</t>
  </si>
  <si>
    <t>Valves</t>
  </si>
  <si>
    <t>Gas</t>
  </si>
  <si>
    <t>Light Liquid</t>
  </si>
  <si>
    <t>Heavy Liquid</t>
  </si>
  <si>
    <t>Pump Seals</t>
  </si>
  <si>
    <t>Compressor Seals</t>
  </si>
  <si>
    <t>Pressure Relief Valves</t>
  </si>
  <si>
    <t>Connectors</t>
  </si>
  <si>
    <t>Open-ended Lines</t>
  </si>
  <si>
    <t>Sampling Connections</t>
  </si>
  <si>
    <t>Drains</t>
  </si>
  <si>
    <t>Compressor Crankcase Vent</t>
  </si>
  <si>
    <t>Regulators</t>
  </si>
  <si>
    <t>Others</t>
  </si>
  <si>
    <t>Implied Leak</t>
  </si>
  <si>
    <t>Modification</t>
  </si>
  <si>
    <t xml:space="preserve">Percent of </t>
  </si>
  <si>
    <t>Control Factor</t>
  </si>
  <si>
    <t xml:space="preserve">Equipment Modification </t>
  </si>
  <si>
    <t>Equipment Component Type</t>
  </si>
  <si>
    <t>Control Efficiency</t>
  </si>
  <si>
    <t>Pumps</t>
  </si>
  <si>
    <t>Sealless Design</t>
  </si>
  <si>
    <t>Dual Mechanical Seals With Barrier Fluid System</t>
  </si>
  <si>
    <t>Pressure Relief Devices</t>
  </si>
  <si>
    <t>Closed-Vent System</t>
  </si>
  <si>
    <t>Rupture Disk Assembly</t>
  </si>
  <si>
    <t>Welded Together</t>
  </si>
  <si>
    <t>Open-Ended Lines</t>
  </si>
  <si>
    <t>Blind, Cap, Plug or Second Valve</t>
  </si>
  <si>
    <t>Components Controlled</t>
  </si>
  <si>
    <t>Number of Emission Sources Associated with the Process</t>
  </si>
  <si>
    <t>PRV</t>
  </si>
  <si>
    <t>OEL</t>
  </si>
  <si>
    <t>Sweetening (DEA – Diethanolamine)</t>
  </si>
  <si>
    <t>Sweetening (DGA – Diglycolamine)</t>
  </si>
  <si>
    <t>Sweetening (Iron Sponge)</t>
  </si>
  <si>
    <t>Sweetening (Generic)</t>
  </si>
  <si>
    <t>Sweetening (Sulfinol)</t>
  </si>
  <si>
    <t>Sweetening (Sulfacheck)</t>
  </si>
  <si>
    <t>Sweetening (Selexol)</t>
  </si>
  <si>
    <t>Sweetening (Physical Solvent)</t>
  </si>
  <si>
    <t>Sweetening (MEA – Monoethanolamine)</t>
  </si>
  <si>
    <t>Sweetening (MDEA –  Monodiethanolamine)</t>
  </si>
  <si>
    <t>Sweetening (LoCat)</t>
  </si>
  <si>
    <t>CAPP (2003)</t>
  </si>
  <si>
    <t>NGL – Natural Gas Liquefaction</t>
  </si>
  <si>
    <t>Valve</t>
  </si>
  <si>
    <t>Connector</t>
  </si>
  <si>
    <t>Regulator</t>
  </si>
  <si>
    <t>Instrument Controllers</t>
  </si>
  <si>
    <t xml:space="preserve"> Summary of the equipment schedules production and processing facilities.</t>
  </si>
  <si>
    <t>Primary Reference</t>
  </si>
  <si>
    <t>Sector</t>
  </si>
  <si>
    <t>Production &amp; Processing</t>
  </si>
  <si>
    <t>Mainline Block Valve</t>
  </si>
  <si>
    <t>Flow Meter (Orifice)</t>
  </si>
  <si>
    <t>Flow Meter (Other)</t>
  </si>
  <si>
    <t>Process Unit or Area</t>
  </si>
  <si>
    <t>Compressor Seal (Centrifugal)</t>
  </si>
  <si>
    <t>Compressor Seal (Reciprocating)</t>
  </si>
  <si>
    <t>Unit Blowdown System</t>
  </si>
  <si>
    <t>Gate Station</t>
  </si>
  <si>
    <t>District Regulating Station</t>
  </si>
  <si>
    <t>CEPEI (2016)</t>
  </si>
  <si>
    <t>Natural Gas Transmission &amp; Storage</t>
  </si>
  <si>
    <t>Natural Gas Distribution</t>
  </si>
  <si>
    <t>CEPEI (2016) Factors</t>
  </si>
  <si>
    <t>Valves (Block)</t>
  </si>
  <si>
    <t>Valves (Control)</t>
  </si>
  <si>
    <t>Valves (All)</t>
  </si>
  <si>
    <t>Meter (Orifice)</t>
  </si>
  <si>
    <t>Meter (Other)</t>
  </si>
  <si>
    <t>Blowdown System</t>
  </si>
  <si>
    <t>Natural Gas Distribution (Commercial Meter Sites)</t>
  </si>
  <si>
    <t>Natural Gas Distribution (Residential Meter Sites)</t>
  </si>
  <si>
    <t xml:space="preserve">Compressor Seals (Reciprocating - Operating) </t>
  </si>
  <si>
    <t>PIG Receiver or Sender</t>
  </si>
  <si>
    <t>Facility Type</t>
  </si>
  <si>
    <t>Conversion Factor Look-up Table</t>
  </si>
  <si>
    <t>Facility Type  Look-up Table</t>
  </si>
  <si>
    <t>Compressor Station - Gas Gathering</t>
  </si>
  <si>
    <t>Field Dehydrator</t>
  </si>
  <si>
    <t>Pneumatic Chemical Injection Pumps</t>
  </si>
  <si>
    <t>Assumed</t>
  </si>
  <si>
    <t>Average pump (if type unknown)</t>
  </si>
  <si>
    <t>Processes Used at the Facility</t>
  </si>
  <si>
    <t>Sweet Gas Plant</t>
  </si>
  <si>
    <t>Sour Gas Plant</t>
  </si>
  <si>
    <t>Compressor Station</t>
  </si>
  <si>
    <t>Receipt Meter Station</t>
  </si>
  <si>
    <t>Storage Facility</t>
  </si>
  <si>
    <t>Refrigeration (Propane)</t>
  </si>
  <si>
    <t>Sweetening (Chemsweet)</t>
  </si>
  <si>
    <t>Determined from Lookup Table</t>
  </si>
  <si>
    <t>Gathering Gas Pipeline Blowdowns</t>
  </si>
  <si>
    <t>Gas Gathering Pipeline Mishaps (Dig-ins)</t>
  </si>
  <si>
    <t>Leak Control Factor Look-up Table</t>
  </si>
  <si>
    <t>Unit No.</t>
  </si>
  <si>
    <t>Process Type</t>
  </si>
  <si>
    <t>Quantity</t>
  </si>
  <si>
    <t>Included</t>
  </si>
  <si>
    <t>Primary Source Category</t>
  </si>
  <si>
    <t>Accounting</t>
  </si>
  <si>
    <t>Total</t>
  </si>
  <si>
    <t>Pneumatic Supply Gas</t>
  </si>
  <si>
    <t>Compressed Air</t>
  </si>
  <si>
    <t>Natural Gas</t>
  </si>
  <si>
    <t>Gas Transmission &amp; Storage</t>
  </si>
  <si>
    <t>Gas Distribution (Commercial Meters)</t>
  </si>
  <si>
    <t>Gas Distribution (Residential Meters)</t>
  </si>
  <si>
    <t>Primary</t>
  </si>
  <si>
    <t>Gas Compositions</t>
  </si>
  <si>
    <t>Stream</t>
  </si>
  <si>
    <t>Fuel Gas</t>
  </si>
  <si>
    <t>Process Gas</t>
  </si>
  <si>
    <t>Estimated</t>
  </si>
  <si>
    <t>Pneumatic Supply Gas (Natural Gas)</t>
  </si>
  <si>
    <t>Developed Average Emission Factor</t>
  </si>
  <si>
    <t>Standard Volume</t>
  </si>
  <si>
    <t>m3/kmol</t>
  </si>
  <si>
    <t>Molecular Weight of Gas Mixture</t>
  </si>
  <si>
    <t>Compressor Seals (Reciprocating - Operating)</t>
  </si>
  <si>
    <t>Compressor Seals (Reciprocating - Standby &amp; Pressurized)</t>
  </si>
  <si>
    <t>Compressor Seals (Reciprocating - Depressurized)</t>
  </si>
  <si>
    <t>Compressor (Reciprocating - Crankcase Vent)</t>
  </si>
  <si>
    <t>Industry Segment:</t>
  </si>
  <si>
    <t>Emission Factor  (m3 CH4/h/component)</t>
  </si>
  <si>
    <t>Category 1</t>
  </si>
  <si>
    <t>Category 2</t>
  </si>
  <si>
    <t>Category 3</t>
  </si>
  <si>
    <t>Category 4</t>
  </si>
  <si>
    <t>Category 5</t>
  </si>
  <si>
    <t>Category 6</t>
  </si>
  <si>
    <t>Category 7</t>
  </si>
  <si>
    <t>Category 8</t>
  </si>
  <si>
    <t>Category 9</t>
  </si>
  <si>
    <t>Category 10</t>
  </si>
  <si>
    <t>Category 11</t>
  </si>
  <si>
    <t>Category 12</t>
  </si>
  <si>
    <t>Category 13</t>
  </si>
  <si>
    <t>Category 14</t>
  </si>
  <si>
    <t>Category 15</t>
  </si>
  <si>
    <t>Component Count</t>
  </si>
  <si>
    <t>Operating</t>
  </si>
  <si>
    <t>Standby &amp; Pressurized</t>
  </si>
  <si>
    <t xml:space="preserve">Depressurized </t>
  </si>
  <si>
    <t>Operating Time (Percentage)</t>
  </si>
  <si>
    <t>Hydrocarbon Liquid Service</t>
  </si>
  <si>
    <t>Hydrocarbon Gas Service</t>
  </si>
  <si>
    <t>Block Valves</t>
  </si>
  <si>
    <t>Control Valves</t>
  </si>
  <si>
    <t>Hydrocarbon Liquids</t>
  </si>
  <si>
    <t>Light</t>
  </si>
  <si>
    <t>Heavy</t>
  </si>
  <si>
    <t>Medium</t>
  </si>
  <si>
    <t>Very Heavy</t>
  </si>
  <si>
    <t>Process Drains</t>
  </si>
  <si>
    <t>Crankcase Vent (Reciprocating Compressor)</t>
  </si>
  <si>
    <t>Emission Calculations</t>
  </si>
  <si>
    <t>Grand Total Emissions</t>
  </si>
  <si>
    <t>tonnes CH4/y</t>
  </si>
  <si>
    <t>Hydrocarbon Liquid:</t>
  </si>
  <si>
    <t>Product Factor</t>
  </si>
  <si>
    <t>Zero</t>
  </si>
  <si>
    <t>Field</t>
  </si>
  <si>
    <t>Column</t>
  </si>
  <si>
    <t>Pointers</t>
  </si>
  <si>
    <t>Supply Gas</t>
  </si>
  <si>
    <t>Pneumatic Devices</t>
  </si>
  <si>
    <t>Type of Controllers</t>
  </si>
  <si>
    <t>Equipment Component &amp; Leakage Inventory</t>
  </si>
  <si>
    <t>Controller Type</t>
  </si>
  <si>
    <t>Error Messages</t>
  </si>
  <si>
    <t>Error Check:</t>
  </si>
  <si>
    <t>Note:  "#N/A" in the component-count field indicates that the process-unit type is invalid (or undefined) for the specified industry sector.</t>
  </si>
  <si>
    <t>Total Emissions (m3 CH4/d):</t>
  </si>
  <si>
    <t>Grand Total:</t>
  </si>
  <si>
    <t>Units of Measure</t>
  </si>
  <si>
    <t>Facility Activity Levels</t>
  </si>
  <si>
    <t>Parameter</t>
  </si>
  <si>
    <t>Adjustment</t>
  </si>
  <si>
    <t>Vessel</t>
  </si>
  <si>
    <t>Count</t>
  </si>
  <si>
    <t>Controller Count</t>
  </si>
  <si>
    <t>Vessel Count</t>
  </si>
  <si>
    <t>Inventory of Pressure Vessels:</t>
  </si>
  <si>
    <t>m3/y/vessel</t>
  </si>
  <si>
    <t>m3/y/compressor</t>
  </si>
  <si>
    <t>m3/workover</t>
  </si>
  <si>
    <t>m3/y/km of Gas Gathering Pipeline</t>
  </si>
  <si>
    <t>m3/completion-day</t>
  </si>
  <si>
    <t>m3/y/station</t>
  </si>
  <si>
    <t>m3/y/km of Transmission Pipeline</t>
  </si>
  <si>
    <t>m3/y/km</t>
  </si>
  <si>
    <t>Uncontrolled Emissions Factor</t>
  </si>
  <si>
    <t>Uncontrolled Emission Factor</t>
  </si>
  <si>
    <t>Uncontrolled Flashing Loss</t>
  </si>
  <si>
    <t xml:space="preserve">    - Compressor Starts</t>
  </si>
  <si>
    <t>Inspection &amp; Maintenance Activities:</t>
  </si>
  <si>
    <t>Mishaps:</t>
  </si>
  <si>
    <t>Process Venting:</t>
  </si>
  <si>
    <t xml:space="preserve">    - Dehydrators</t>
  </si>
  <si>
    <t xml:space="preserve">    - Sweetening Units</t>
  </si>
  <si>
    <t>Emissions (m3/d)</t>
  </si>
  <si>
    <t>With Gas-Assisted Pump Emissions</t>
  </si>
  <si>
    <t>Inventory of Compressors:</t>
  </si>
  <si>
    <t>Emissions</t>
  </si>
  <si>
    <t>Inventory of Gas Sweetening Units:</t>
  </si>
  <si>
    <t>Inventory of Tanks:</t>
  </si>
  <si>
    <t>Storage Tank (Produced Water, without Vapor Control)</t>
  </si>
  <si>
    <t>Storage Tank (Produced Water, with Vapor Control)</t>
  </si>
  <si>
    <t>Storage Tank (Produced Oil, with Vapor Control)</t>
  </si>
  <si>
    <t>Storage Tank (Produced Oil, without Vapor Control)</t>
  </si>
  <si>
    <t>Inventory of Mishaps:</t>
  </si>
  <si>
    <t>Activity</t>
  </si>
  <si>
    <t>Wells:</t>
  </si>
  <si>
    <t>Inventory of Wells:</t>
  </si>
  <si>
    <t>Casing Vent</t>
  </si>
  <si>
    <t>Cold Heavy Oil (Inactive)</t>
  </si>
  <si>
    <t>Not Included</t>
  </si>
  <si>
    <t>Content (mol%)</t>
  </si>
  <si>
    <t>OT</t>
  </si>
  <si>
    <t>Total:</t>
  </si>
  <si>
    <t>Inventory of Dehydrators:</t>
  </si>
  <si>
    <t>Natural Gas Receipts:</t>
  </si>
  <si>
    <t>Oil or Condensate Receipts:</t>
  </si>
  <si>
    <t>Produced Water Receipts:</t>
  </si>
  <si>
    <t>Facility Definition</t>
  </si>
  <si>
    <t>Pneumatic Devices:</t>
  </si>
  <si>
    <t>Inventory of Pneumatic Controllers:</t>
  </si>
  <si>
    <t>Inventory of Pneumatic Chemical Injection Pumps:</t>
  </si>
  <si>
    <t>Without Gas-Assisted Pump Emissions</t>
  </si>
  <si>
    <t>Gas Density at STP</t>
  </si>
  <si>
    <t>Carbon Dioxide</t>
  </si>
  <si>
    <t>Estimation of Volumes of Gas Released by Blowdown &amp; Purging Events</t>
  </si>
  <si>
    <t>kPag</t>
  </si>
  <si>
    <t>V</t>
  </si>
  <si>
    <t>°C</t>
  </si>
  <si>
    <t>Blowdown Events:</t>
  </si>
  <si>
    <t>Purge Events:</t>
  </si>
  <si>
    <t>m3 at STP</t>
  </si>
  <si>
    <t>Calculation of Gas Consumption by Pneumatic Chemical Injection Pumps</t>
  </si>
  <si>
    <t>Absolute</t>
  </si>
  <si>
    <t>Pressure</t>
  </si>
  <si>
    <t>(dimensionless)</t>
  </si>
  <si>
    <t>1 000</t>
  </si>
  <si>
    <t>2 000</t>
  </si>
  <si>
    <t>3 000</t>
  </si>
  <si>
    <t>4 000</t>
  </si>
  <si>
    <t>5 000</t>
  </si>
  <si>
    <t>6 000</t>
  </si>
  <si>
    <t>7 000</t>
  </si>
  <si>
    <t>8 000</t>
  </si>
  <si>
    <t>9 000</t>
  </si>
  <si>
    <t>10 000</t>
  </si>
  <si>
    <t>11 000</t>
  </si>
  <si>
    <t>12 000</t>
  </si>
  <si>
    <t>Values calculated using the Peng and Robinson equation of state (1976) for the following gas mixture (mol percent): 92.8693% C1, 4.0556% C2, 1.1112% C3, 0.1601% iC4, 0.2180% nC4, 0.0496% iC5, 0.0389% nC5, 0.0225% nC6+, 0.8291% N2 and 0.6334% CO2.</t>
  </si>
  <si>
    <t>Values calculated using the Peng and Robinson equation of state (1976) for the following gas mixture (mol percent): 88.41% C1, 7.45% C2, 1.91% C3, 0.17% iC4, 0.24% nC4, 0.06% iC5, 0.04% nC5, 0.10% nC6+, 0.72% N2 and 0.90% CO2.</t>
  </si>
  <si>
    <t>Dimensionless (See "Compressibility Factors" Worksheet</t>
  </si>
  <si>
    <t>=</t>
  </si>
  <si>
    <t>Conversion factor (tonnes/kg).</t>
  </si>
  <si>
    <t>Pneumatic venting emissions of substance i and pump j (t/y)</t>
  </si>
  <si>
    <t xml:space="preserve">Annual volume of liquid chemical injected by pump, j (liters/y). </t>
  </si>
  <si>
    <t>Chemical Injection Pressure (kPa gauge)</t>
  </si>
  <si>
    <t>Pneumatic pump venting coefficients derived from manufacturer specifications for selected models</t>
  </si>
  <si>
    <t>Manufacturer</t>
  </si>
  <si>
    <t>Model</t>
  </si>
  <si>
    <t>Plunger Diameter (in.)</t>
  </si>
  <si>
    <t>Stroke length (in.)</t>
  </si>
  <si>
    <t>ARO</t>
  </si>
  <si>
    <t>Bruin</t>
  </si>
  <si>
    <t>BR 5000</t>
  </si>
  <si>
    <t>BR 5100</t>
  </si>
  <si>
    <t>CheckPoint</t>
  </si>
  <si>
    <t>LPX-04</t>
  </si>
  <si>
    <t>LPX-08</t>
  </si>
  <si>
    <t>Linc</t>
  </si>
  <si>
    <t>84T-10-x1</t>
  </si>
  <si>
    <t>84T-11-x1</t>
  </si>
  <si>
    <t>84T-11-x2</t>
  </si>
  <si>
    <t>84T-12-x2</t>
  </si>
  <si>
    <t>84T-12-x4</t>
  </si>
  <si>
    <t>84T-14-x4</t>
  </si>
  <si>
    <t>87TA-11-x1</t>
  </si>
  <si>
    <t>Morgan</t>
  </si>
  <si>
    <t>HD187-3K-TR2</t>
  </si>
  <si>
    <t>HD187-TR2</t>
  </si>
  <si>
    <t>HD312-3K-TR2</t>
  </si>
  <si>
    <t>HD312-K5-TR2</t>
  </si>
  <si>
    <t>HD312-TR2</t>
  </si>
  <si>
    <t>SandPiper</t>
  </si>
  <si>
    <t>G05</t>
  </si>
  <si>
    <t>SB-1 and SB-25</t>
  </si>
  <si>
    <t>Texsteam</t>
  </si>
  <si>
    <t>30 psi supply</t>
  </si>
  <si>
    <t>50 psi supply</t>
  </si>
  <si>
    <t>Timberline</t>
  </si>
  <si>
    <t>Western</t>
  </si>
  <si>
    <t>DFF</t>
  </si>
  <si>
    <t>Wilden</t>
  </si>
  <si>
    <t>P1 Metal</t>
  </si>
  <si>
    <t>Rubber/PFTE fitted</t>
  </si>
  <si>
    <t>Williams</t>
  </si>
  <si>
    <t>CP125V125</t>
  </si>
  <si>
    <t>CP250V225</t>
  </si>
  <si>
    <t>CP250V300</t>
  </si>
  <si>
    <t>CP500V225</t>
  </si>
  <si>
    <t>CP500V300</t>
  </si>
  <si>
    <t>CRP1000V4</t>
  </si>
  <si>
    <t>CRP1000V6</t>
  </si>
  <si>
    <t>CRP1000V8</t>
  </si>
  <si>
    <t>CRP500V40</t>
  </si>
  <si>
    <t>CRP750V40</t>
  </si>
  <si>
    <t>YZ Systems</t>
  </si>
  <si>
    <t>NJEX 610-02</t>
  </si>
  <si>
    <t>0.02cc odorant/stroke</t>
  </si>
  <si>
    <t>NJEX 610-04</t>
  </si>
  <si>
    <t>0.04cc odorant/stroke</t>
  </si>
  <si>
    <t>NJEX 610-06</t>
  </si>
  <si>
    <t>0.06cc odorant/stroke</t>
  </si>
  <si>
    <t>NJEX 610-08</t>
  </si>
  <si>
    <t>0.08cc odorant/stroke</t>
  </si>
  <si>
    <t>NJEX 610-10</t>
  </si>
  <si>
    <t>0.10cc odorant/stroke</t>
  </si>
  <si>
    <t>NJEX 6300-02</t>
  </si>
  <si>
    <t>NJEX 6300-04</t>
  </si>
  <si>
    <t>NJEX 6300-06</t>
  </si>
  <si>
    <t>NJEX 6300-08</t>
  </si>
  <si>
    <t>NJEX 6300-10</t>
  </si>
  <si>
    <t>Vs =</t>
  </si>
  <si>
    <t>Pamb =</t>
  </si>
  <si>
    <t>Pi =</t>
  </si>
  <si>
    <t>Pf =</t>
  </si>
  <si>
    <t>Ti =</t>
  </si>
  <si>
    <t>Tf =</t>
  </si>
  <si>
    <t>Zi =</t>
  </si>
  <si>
    <t>Zf =</t>
  </si>
  <si>
    <t>V =</t>
  </si>
  <si>
    <t>Physical internal volume of the equipment or piping system to be depressurized.</t>
  </si>
  <si>
    <t>Local atmospheric pressure.</t>
  </si>
  <si>
    <t>Initial pressure of the system.</t>
  </si>
  <si>
    <t>Final pressure of the system.</t>
  </si>
  <si>
    <t>Final temperature of the system.</t>
  </si>
  <si>
    <t>Compressibility factor of the gas at the initial conditions.</t>
  </si>
  <si>
    <t>Compressibility factor of the gas at the final conditions.</t>
  </si>
  <si>
    <t>Volume of gas vented by the blowdown event.</t>
  </si>
  <si>
    <t>Manufacturer P2 coefficient provided in the table below.</t>
  </si>
  <si>
    <t>Manufacturer P1 coefficient provided in the table below.</t>
  </si>
  <si>
    <t>Manufacturer P0 coefficient provided in the table below.</t>
  </si>
  <si>
    <t>P =</t>
  </si>
  <si>
    <t>c =</t>
  </si>
  <si>
    <t>d =</t>
  </si>
  <si>
    <t>e =</t>
  </si>
  <si>
    <t>CF =</t>
  </si>
  <si>
    <t>EFj =</t>
  </si>
  <si>
    <t>(Liters/y)</t>
  </si>
  <si>
    <t>(mol fraction)</t>
  </si>
  <si>
    <t>(tonnes/kg)</t>
  </si>
  <si>
    <t>Emission control factor (dimensionless fractional value between zero and 1.0)</t>
  </si>
  <si>
    <t>(kPag)</t>
  </si>
  <si>
    <t>(Sm3/Liter/pump)</t>
  </si>
  <si>
    <t>(tonne CH4/y)</t>
  </si>
  <si>
    <t>CAPP (2005)</t>
  </si>
  <si>
    <r>
      <t>"tonnes CH</t>
    </r>
    <r>
      <rPr>
        <vertAlign val="subscript"/>
        <sz val="11"/>
        <color theme="1"/>
        <rFont val="Calibri"/>
        <family val="2"/>
        <scheme val="minor"/>
      </rPr>
      <t>4</t>
    </r>
    <r>
      <rPr>
        <sz val="11"/>
        <color theme="1"/>
        <rFont val="Calibri"/>
        <family val="2"/>
        <scheme val="minor"/>
      </rPr>
      <t>/bbl of Liquid" to "m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/m</t>
    </r>
    <r>
      <rPr>
        <vertAlign val="superscript"/>
        <sz val="11"/>
        <color theme="1"/>
        <rFont val="Calibri"/>
        <family val="2"/>
        <scheme val="minor"/>
      </rPr>
      <t>3</t>
    </r>
    <r>
      <rPr>
        <sz val="11"/>
        <color theme="1"/>
        <rFont val="Calibri"/>
        <family val="2"/>
        <scheme val="minor"/>
      </rPr>
      <t xml:space="preserve"> of Liquid"</t>
    </r>
  </si>
  <si>
    <r>
      <t>"tonnes CH</t>
    </r>
    <r>
      <rPr>
        <vertAlign val="subscript"/>
        <sz val="11"/>
        <color theme="1"/>
        <rFont val="Calibri"/>
        <family val="2"/>
        <scheme val="minor"/>
      </rPr>
      <t>4</t>
    </r>
    <r>
      <rPr>
        <sz val="11"/>
        <color theme="1"/>
        <rFont val="Calibri"/>
        <family val="2"/>
        <scheme val="minor"/>
      </rPr>
      <t>/d/source" to "m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/d/source"</t>
    </r>
  </si>
  <si>
    <r>
      <t>"tonnes CH</t>
    </r>
    <r>
      <rPr>
        <vertAlign val="subscript"/>
        <sz val="11"/>
        <color theme="1"/>
        <rFont val="Calibri"/>
        <family val="2"/>
        <scheme val="minor"/>
      </rPr>
      <t>4</t>
    </r>
    <r>
      <rPr>
        <sz val="11"/>
        <color theme="1"/>
        <rFont val="Calibri"/>
        <family val="2"/>
        <scheme val="minor"/>
      </rPr>
      <t>/m</t>
    </r>
    <r>
      <rPr>
        <vertAlign val="superscript"/>
        <sz val="11"/>
        <color theme="1"/>
        <rFont val="Calibri"/>
        <family val="2"/>
        <scheme val="minor"/>
      </rPr>
      <t>3</t>
    </r>
    <r>
      <rPr>
        <sz val="11"/>
        <color theme="1"/>
        <rFont val="Calibri"/>
        <family val="2"/>
        <scheme val="minor"/>
      </rPr>
      <t xml:space="preserve"> of Liquid" to "m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/m</t>
    </r>
    <r>
      <rPr>
        <vertAlign val="superscript"/>
        <sz val="11"/>
        <color theme="1"/>
        <rFont val="Calibri"/>
        <family val="2"/>
        <scheme val="minor"/>
      </rPr>
      <t>3</t>
    </r>
    <r>
      <rPr>
        <sz val="11"/>
        <color theme="1"/>
        <rFont val="Calibri"/>
        <family val="2"/>
        <scheme val="minor"/>
      </rPr>
      <t xml:space="preserve"> of Liquid"</t>
    </r>
  </si>
  <si>
    <r>
      <t>"tonnes CH</t>
    </r>
    <r>
      <rPr>
        <vertAlign val="subscript"/>
        <sz val="11"/>
        <color theme="1"/>
        <rFont val="Calibri"/>
        <family val="2"/>
        <scheme val="minor"/>
      </rPr>
      <t>4</t>
    </r>
    <r>
      <rPr>
        <sz val="11"/>
        <color theme="1"/>
        <rFont val="Calibri"/>
        <family val="2"/>
        <scheme val="minor"/>
      </rPr>
      <t>/1000 bbl of Liquid" to "m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/m</t>
    </r>
    <r>
      <rPr>
        <vertAlign val="superscript"/>
        <sz val="11"/>
        <color theme="1"/>
        <rFont val="Calibri"/>
        <family val="2"/>
        <scheme val="minor"/>
      </rPr>
      <t>3</t>
    </r>
    <r>
      <rPr>
        <sz val="11"/>
        <color theme="1"/>
        <rFont val="Calibri"/>
        <family val="2"/>
        <scheme val="minor"/>
      </rPr>
      <t xml:space="preserve"> of Liquid"</t>
    </r>
  </si>
  <si>
    <r>
      <t>"scf/activity-day" to "m</t>
    </r>
    <r>
      <rPr>
        <vertAlign val="superscript"/>
        <sz val="11"/>
        <color theme="1"/>
        <rFont val="Calibri"/>
        <family val="2"/>
        <scheme val="minor"/>
      </rPr>
      <t>3</t>
    </r>
    <r>
      <rPr>
        <sz val="11"/>
        <color theme="1"/>
        <rFont val="Calibri"/>
        <family val="2"/>
        <scheme val="minor"/>
      </rPr>
      <t>/activity-day"</t>
    </r>
  </si>
  <si>
    <r>
      <t>"m3/hr/device" to "m</t>
    </r>
    <r>
      <rPr>
        <vertAlign val="superscript"/>
        <sz val="11"/>
        <color theme="1"/>
        <rFont val="Calibri"/>
        <family val="2"/>
        <scheme val="minor"/>
      </rPr>
      <t>3</t>
    </r>
    <r>
      <rPr>
        <sz val="11"/>
        <color theme="1"/>
        <rFont val="Calibri"/>
        <family val="2"/>
        <scheme val="minor"/>
      </rPr>
      <t>/d/device"</t>
    </r>
  </si>
  <si>
    <r>
      <t>"m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/d" to "tonnes CH</t>
    </r>
    <r>
      <rPr>
        <vertAlign val="subscript"/>
        <sz val="11"/>
        <color theme="1"/>
        <rFont val="Calibri"/>
        <family val="2"/>
        <scheme val="minor"/>
      </rPr>
      <t>4</t>
    </r>
    <r>
      <rPr>
        <sz val="11"/>
        <color theme="1"/>
        <rFont val="Calibri"/>
        <family val="2"/>
        <scheme val="minor"/>
      </rPr>
      <t>/y"</t>
    </r>
  </si>
  <si>
    <r>
      <t>"m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 to "tonnes CH</t>
    </r>
    <r>
      <rPr>
        <vertAlign val="subscript"/>
        <sz val="11"/>
        <color theme="1"/>
        <rFont val="Calibri"/>
        <family val="2"/>
        <scheme val="minor"/>
      </rPr>
      <t>4</t>
    </r>
    <r>
      <rPr>
        <sz val="11"/>
        <color theme="1"/>
        <rFont val="Calibri"/>
        <family val="2"/>
        <scheme val="minor"/>
      </rPr>
      <t>"</t>
    </r>
  </si>
  <si>
    <r>
      <t>"lb CH</t>
    </r>
    <r>
      <rPr>
        <vertAlign val="subscript"/>
        <sz val="11"/>
        <color theme="1"/>
        <rFont val="Calibri"/>
        <family val="2"/>
        <scheme val="minor"/>
      </rPr>
      <t>4</t>
    </r>
    <r>
      <rPr>
        <sz val="11"/>
        <color theme="1"/>
        <rFont val="Calibri"/>
        <family val="2"/>
        <scheme val="minor"/>
      </rPr>
      <t>" to "m</t>
    </r>
    <r>
      <rPr>
        <vertAlign val="superscript"/>
        <sz val="11"/>
        <color theme="1"/>
        <rFont val="Calibri"/>
        <family val="2"/>
        <scheme val="minor"/>
      </rPr>
      <t>3</t>
    </r>
    <r>
      <rPr>
        <sz val="11"/>
        <color theme="1"/>
        <rFont val="Calibri"/>
        <family val="2"/>
        <scheme val="minor"/>
      </rPr>
      <t xml:space="preserve"> CH</t>
    </r>
    <r>
      <rPr>
        <vertAlign val="subscript"/>
        <sz val="11"/>
        <color theme="1"/>
        <rFont val="Calibri"/>
        <family val="2"/>
        <scheme val="minor"/>
      </rPr>
      <t>4</t>
    </r>
    <r>
      <rPr>
        <sz val="11"/>
        <color theme="1"/>
        <rFont val="Calibri"/>
        <family val="2"/>
        <scheme val="minor"/>
      </rPr>
      <t>"</t>
    </r>
  </si>
  <si>
    <t>Indirect Emissions from Power &amp; Heat Purchases:</t>
  </si>
  <si>
    <t>Recycled and Utilized Emissions:</t>
  </si>
  <si>
    <t>Vented Acid Gas:</t>
  </si>
  <si>
    <t>Flared Hydrocarbon Gas:</t>
  </si>
  <si>
    <t>Vented Hydrocarbon Gas:</t>
  </si>
  <si>
    <t>Vented Hydrocarbon Gas</t>
  </si>
  <si>
    <t>Vented Acid Gas</t>
  </si>
  <si>
    <t>GJ</t>
  </si>
  <si>
    <t>Facility Name:</t>
  </si>
  <si>
    <t>Facility: Total Estimated Emissions</t>
  </si>
  <si>
    <t>Company Name:</t>
  </si>
  <si>
    <t>Facility Identification No.</t>
  </si>
  <si>
    <t>Location:</t>
  </si>
  <si>
    <t>Hydrocarbon Liquids:</t>
  </si>
  <si>
    <t>Component</t>
  </si>
  <si>
    <t>Ethane</t>
  </si>
  <si>
    <t>Propane</t>
  </si>
  <si>
    <t>iso-Butane</t>
  </si>
  <si>
    <t>iso-Pentane</t>
  </si>
  <si>
    <t>n-Pentane</t>
  </si>
  <si>
    <t>Hexane</t>
  </si>
  <si>
    <t>Heptane</t>
  </si>
  <si>
    <t>Octane</t>
  </si>
  <si>
    <t>Nonane</t>
  </si>
  <si>
    <t>Decane</t>
  </si>
  <si>
    <t>Hydrogen Sulphide</t>
  </si>
  <si>
    <t>Nitrogen</t>
  </si>
  <si>
    <t>Fuel Type</t>
  </si>
  <si>
    <t xml:space="preserve">Combusted </t>
  </si>
  <si>
    <t>Amount</t>
  </si>
  <si>
    <t>(tonnes)</t>
  </si>
  <si>
    <t>Carbon Content</t>
  </si>
  <si>
    <t>Lower Heating Value</t>
  </si>
  <si>
    <t>(Tonne C/GJ)</t>
  </si>
  <si>
    <t>(GJ/Tonne)</t>
  </si>
  <si>
    <t>Carbon Oxidation Rate</t>
  </si>
  <si>
    <t>Anthracite</t>
  </si>
  <si>
    <t>Bitumen</t>
  </si>
  <si>
    <t>Lignite</t>
  </si>
  <si>
    <t>Cleaned Coal</t>
  </si>
  <si>
    <t>Other Washed Coal</t>
  </si>
  <si>
    <t>Coke</t>
  </si>
  <si>
    <t>Calculated</t>
  </si>
  <si>
    <t>Fuel Oil</t>
  </si>
  <si>
    <t>Gasoline</t>
  </si>
  <si>
    <t>Diesel</t>
  </si>
  <si>
    <t>Aviation Kerosene</t>
  </si>
  <si>
    <t>Common Kerosene</t>
  </si>
  <si>
    <t>Naphtha</t>
  </si>
  <si>
    <t>Petroleum Coke</t>
  </si>
  <si>
    <t>Solid Fuel Properties</t>
  </si>
  <si>
    <t>Liquid Fuel Properties</t>
  </si>
  <si>
    <t>Source of Value</t>
  </si>
  <si>
    <t>Measured</t>
  </si>
  <si>
    <t>Engineering Judgement</t>
  </si>
  <si>
    <t>N2O</t>
  </si>
  <si>
    <t>Sales Meter Station</t>
  </si>
  <si>
    <t>Storage Well</t>
  </si>
  <si>
    <t>Sales Meter Station - Industrial</t>
  </si>
  <si>
    <t>Sales Meter Station - Commercial</t>
  </si>
  <si>
    <t>Sales Meter Station - Residential</t>
  </si>
  <si>
    <t>Pressure Regulator Station</t>
  </si>
  <si>
    <t>Reference Year:</t>
  </si>
  <si>
    <t>(MJ/m3)</t>
  </si>
  <si>
    <t>H</t>
  </si>
  <si>
    <t>S</t>
  </si>
  <si>
    <t>N</t>
  </si>
  <si>
    <t>O</t>
  </si>
  <si>
    <t>Higher Heating Value</t>
  </si>
  <si>
    <t>Default</t>
  </si>
  <si>
    <t>Gaseous Fuel Properties</t>
  </si>
  <si>
    <t>Liquid Petroleum Gas</t>
  </si>
  <si>
    <t>Liquefied Natural Gas</t>
  </si>
  <si>
    <t>Coke Oven Gas</t>
  </si>
  <si>
    <t>Blast Furnace Gas</t>
  </si>
  <si>
    <t>Converter Gas</t>
  </si>
  <si>
    <t>Gas of Calcium Carbide Furnace</t>
  </si>
  <si>
    <t>Other Coal Gases</t>
  </si>
  <si>
    <t>Solid Fuels</t>
  </si>
  <si>
    <t>Liquid Fuels</t>
  </si>
  <si>
    <t>Gaseous Fuels</t>
  </si>
  <si>
    <t>Source of Quantity</t>
  </si>
  <si>
    <t>Source of Property</t>
  </si>
  <si>
    <t>Fuel Combustion:</t>
  </si>
  <si>
    <t xml:space="preserve">    - Solid Fuels</t>
  </si>
  <si>
    <t xml:space="preserve">    - Liquid Fuels</t>
  </si>
  <si>
    <t xml:space="preserve">    - Gaseous Fuels</t>
  </si>
  <si>
    <t>Acid Gas Removal</t>
  </si>
  <si>
    <t>Electric Power Purchases</t>
  </si>
  <si>
    <t>Hydro Electric</t>
  </si>
  <si>
    <t>Coal-Fired Power Plant</t>
  </si>
  <si>
    <t>Emission Factors (Tonnes/MWh)</t>
  </si>
  <si>
    <t>Natural Gas (Gas Turbine)</t>
  </si>
  <si>
    <t>Natural Gas (Combined Cycle)</t>
  </si>
  <si>
    <t>Type of Power Plant</t>
  </si>
  <si>
    <t>Heat Purchased: Steam:</t>
  </si>
  <si>
    <t>Heat Purchased: Hot Water:</t>
  </si>
  <si>
    <t>Vented</t>
  </si>
  <si>
    <t>Flared</t>
  </si>
  <si>
    <t>(mol%)</t>
  </si>
  <si>
    <t>Flare Efficiency</t>
  </si>
  <si>
    <t>Density</t>
  </si>
  <si>
    <t>Gas Constant</t>
  </si>
  <si>
    <t>Acid Gas Venting &amp; Flaring</t>
  </si>
  <si>
    <t>Hydrocarbon Gas Venting &amp; Flaring</t>
  </si>
  <si>
    <t>Other Hydrocarbon Content</t>
  </si>
  <si>
    <t>Composition (Atoms/Molecule)</t>
  </si>
  <si>
    <t>kg/kg</t>
  </si>
  <si>
    <t>Flaring  &amp; Venting (Hydrocarbon Gas)</t>
  </si>
  <si>
    <t xml:space="preserve">Process </t>
  </si>
  <si>
    <t>Water</t>
  </si>
  <si>
    <t>Sulphur Dioxide</t>
  </si>
  <si>
    <t>Ideal Gas</t>
  </si>
  <si>
    <t>Liquid</t>
  </si>
  <si>
    <t>n</t>
  </si>
  <si>
    <t>m</t>
  </si>
  <si>
    <t>h</t>
  </si>
  <si>
    <t>j</t>
  </si>
  <si>
    <t>k</t>
  </si>
  <si>
    <t>Oxygen</t>
  </si>
  <si>
    <t>At Standard T</t>
  </si>
  <si>
    <t>(MJ/kmol)</t>
  </si>
  <si>
    <t>Liquid Density</t>
  </si>
  <si>
    <t>Calculated Properties of the Specified Gas Stream:</t>
  </si>
  <si>
    <t>Gaseous Stream Input Composition:</t>
  </si>
  <si>
    <t>Error Code</t>
  </si>
  <si>
    <t>Error Message</t>
  </si>
  <si>
    <t>Error: This field must be completed.</t>
  </si>
  <si>
    <t>Source of Values</t>
  </si>
  <si>
    <t>Err10</t>
  </si>
  <si>
    <t>Err01</t>
  </si>
  <si>
    <t>Err02</t>
  </si>
  <si>
    <t>Err03</t>
  </si>
  <si>
    <t>Err04</t>
  </si>
  <si>
    <t>Err05</t>
  </si>
  <si>
    <t>Err06</t>
  </si>
  <si>
    <t>Err07</t>
  </si>
  <si>
    <t>Err08</t>
  </si>
  <si>
    <t>Err09</t>
  </si>
  <si>
    <t>Reference</t>
  </si>
  <si>
    <t>2016 NCSC Guidelines</t>
  </si>
  <si>
    <t>(kg/kmol)</t>
  </si>
  <si>
    <t>Note: EF for production sector used for all sectors.</t>
  </si>
  <si>
    <t>Single-Well Battery - Extra Heavy Oil</t>
  </si>
  <si>
    <t>Single-Well Battery - Gas</t>
  </si>
  <si>
    <t>Single-Well Battery - Heavy Oil</t>
  </si>
  <si>
    <t>Single-Well Battery - Oil</t>
  </si>
  <si>
    <t>Group Battery - Extra Heavy Oil</t>
  </si>
  <si>
    <t>Group Battery - Gas</t>
  </si>
  <si>
    <t>Group Battery - Oil</t>
  </si>
  <si>
    <t>Group Battery - Heavy Oil</t>
  </si>
  <si>
    <t>Not Available</t>
  </si>
  <si>
    <t>Facility-Level Venting Events</t>
  </si>
  <si>
    <t>Pipeline Related Venting Events</t>
  </si>
  <si>
    <t>Not currently determined.</t>
  </si>
  <si>
    <t>Worksheet</t>
  </si>
  <si>
    <t>Row</t>
  </si>
  <si>
    <t>Active</t>
  </si>
  <si>
    <t>Chinese</t>
  </si>
  <si>
    <t>Table/Block</t>
  </si>
  <si>
    <t>A</t>
  </si>
  <si>
    <t>Title</t>
  </si>
  <si>
    <t>设施定义</t>
  </si>
  <si>
    <t>B</t>
  </si>
  <si>
    <t>CO2E</t>
  </si>
  <si>
    <t>D</t>
  </si>
  <si>
    <t>E</t>
  </si>
  <si>
    <t>F</t>
  </si>
  <si>
    <t>Record Name</t>
  </si>
  <si>
    <t>Field Heading</t>
  </si>
  <si>
    <t>行业部门</t>
  </si>
  <si>
    <t>设施类型</t>
  </si>
  <si>
    <t>设施：总排放量估计</t>
  </si>
  <si>
    <t>主要排放源类型</t>
  </si>
  <si>
    <t>核算</t>
  </si>
  <si>
    <t>逃逸设备泄漏</t>
  </si>
  <si>
    <t>燃料燃烧:</t>
  </si>
  <si>
    <t>油井：</t>
  </si>
  <si>
    <t>气动装置：</t>
  </si>
  <si>
    <t>排气：</t>
  </si>
  <si>
    <t>检查和保养活动：</t>
  </si>
  <si>
    <t>小事故：</t>
  </si>
  <si>
    <t>排放回收和利用：</t>
  </si>
  <si>
    <t>外购电、热的间接排放：</t>
  </si>
  <si>
    <t>G</t>
  </si>
  <si>
    <t>I</t>
  </si>
  <si>
    <t>J</t>
  </si>
  <si>
    <t>CH4 Content (mol%)</t>
  </si>
  <si>
    <t>CO2 Content (mol%)</t>
  </si>
  <si>
    <t>N2 Content (mol%)</t>
  </si>
  <si>
    <t>H2S Content (mol%)</t>
  </si>
  <si>
    <t>R</t>
  </si>
  <si>
    <t>设施识别号</t>
  </si>
  <si>
    <t>公司名称：</t>
  </si>
  <si>
    <t>设备名称：</t>
  </si>
  <si>
    <t>烃类液体：</t>
  </si>
  <si>
    <t>参数</t>
  </si>
  <si>
    <t>类型</t>
  </si>
  <si>
    <t>数值</t>
  </si>
  <si>
    <t>计量单位</t>
  </si>
  <si>
    <t>数值来源</t>
  </si>
  <si>
    <t>设施作业层级</t>
  </si>
  <si>
    <t>天然气接收量：</t>
  </si>
  <si>
    <t>石油或冷凝水接收量：</t>
  </si>
  <si>
    <t>出水接收量：</t>
  </si>
  <si>
    <t>排放烃气：</t>
  </si>
  <si>
    <t>排放酸性气体：</t>
  </si>
  <si>
    <t>固体燃料：</t>
  </si>
  <si>
    <t>液体燃料：</t>
  </si>
  <si>
    <t>外购电力：</t>
  </si>
  <si>
    <t>外购热力：蒸汽</t>
  </si>
  <si>
    <t>外购热力：热水</t>
  </si>
  <si>
    <t>设施使用过程</t>
  </si>
  <si>
    <t>单位编号</t>
  </si>
  <si>
    <t>过程类型</t>
  </si>
  <si>
    <t>数量</t>
  </si>
  <si>
    <t>气动装置</t>
  </si>
  <si>
    <t>操作时间（百分比）</t>
  </si>
  <si>
    <t>错误消息</t>
  </si>
  <si>
    <t>燃气：</t>
  </si>
  <si>
    <t>供气</t>
  </si>
  <si>
    <t>控制器类型</t>
  </si>
  <si>
    <t>操作</t>
  </si>
  <si>
    <t>待机和加压</t>
  </si>
  <si>
    <t>减压</t>
  </si>
  <si>
    <t>气体成分</t>
  </si>
  <si>
    <t>气流</t>
  </si>
  <si>
    <t>混合气体分子量</t>
  </si>
  <si>
    <t>CH4含量（mol％）</t>
  </si>
  <si>
    <t>CO2含量（mol％）</t>
  </si>
  <si>
    <t>N2含量（mol％）</t>
  </si>
  <si>
    <t>H2S含量（mol％）</t>
  </si>
  <si>
    <t>过程气体</t>
  </si>
  <si>
    <t>燃气</t>
  </si>
  <si>
    <t>排放烃气</t>
  </si>
  <si>
    <t>排放酸性气体</t>
  </si>
  <si>
    <t>气动供气（天然气）</t>
  </si>
  <si>
    <t>产品蒸气</t>
  </si>
  <si>
    <t xml:space="preserve">Solid Fuels: </t>
  </si>
  <si>
    <t xml:space="preserve">Liquid Fuels:   </t>
  </si>
  <si>
    <t>Static Cell Value</t>
  </si>
  <si>
    <t>m3 每天</t>
  </si>
  <si>
    <t>公吨</t>
  </si>
  <si>
    <t>固体燃料性能</t>
  </si>
  <si>
    <t>M</t>
  </si>
  <si>
    <t>K</t>
  </si>
  <si>
    <t>L</t>
  </si>
  <si>
    <t>CO2 Content</t>
  </si>
  <si>
    <t>P</t>
  </si>
  <si>
    <t>(kg/Nm3)</t>
  </si>
  <si>
    <t>Q</t>
  </si>
  <si>
    <t>Electricity</t>
  </si>
  <si>
    <t>燃料类型</t>
  </si>
  <si>
    <t>燃烧</t>
  </si>
  <si>
    <t>含碳量</t>
  </si>
  <si>
    <t>低热值</t>
  </si>
  <si>
    <t>碳氧化率</t>
  </si>
  <si>
    <t>量</t>
  </si>
  <si>
    <t>来源</t>
  </si>
  <si>
    <t>（公吨）</t>
  </si>
  <si>
    <t>(GJ/公吨)</t>
  </si>
  <si>
    <t>(公吨碳/GJ)</t>
  </si>
  <si>
    <t>无烟煤</t>
  </si>
  <si>
    <t>沥青</t>
  </si>
  <si>
    <t>褐煤</t>
  </si>
  <si>
    <t>精煤</t>
  </si>
  <si>
    <t>其他洗煤</t>
  </si>
  <si>
    <t>型煤</t>
  </si>
  <si>
    <t>焦炭</t>
  </si>
  <si>
    <t>石油焦炭</t>
  </si>
  <si>
    <t>原油</t>
  </si>
  <si>
    <t>燃油</t>
  </si>
  <si>
    <t>汽油</t>
  </si>
  <si>
    <t>柴油</t>
  </si>
  <si>
    <t>航空煤油</t>
  </si>
  <si>
    <t>普通煤油</t>
  </si>
  <si>
    <t>石脑油</t>
  </si>
  <si>
    <t>总计:</t>
  </si>
  <si>
    <t>CH4含量</t>
  </si>
  <si>
    <t>CO2含量</t>
  </si>
  <si>
    <t>排放</t>
  </si>
  <si>
    <t>电力</t>
  </si>
  <si>
    <t>参考</t>
  </si>
  <si>
    <t>密度</t>
  </si>
  <si>
    <t>分子量</t>
  </si>
  <si>
    <t>液化石油气</t>
  </si>
  <si>
    <t>行业部门：</t>
  </si>
  <si>
    <t>产品因素</t>
  </si>
  <si>
    <t>Emissions (m3 CH4/h)</t>
  </si>
  <si>
    <t>T</t>
  </si>
  <si>
    <t>U</t>
  </si>
  <si>
    <t>W</t>
  </si>
  <si>
    <t>X</t>
  </si>
  <si>
    <t>Y</t>
  </si>
  <si>
    <t>Z</t>
  </si>
  <si>
    <t>AA</t>
  </si>
  <si>
    <t>AB</t>
  </si>
  <si>
    <t>AC</t>
  </si>
  <si>
    <t>AD</t>
  </si>
  <si>
    <t>AE</t>
  </si>
  <si>
    <t>AF</t>
  </si>
  <si>
    <t>AG</t>
  </si>
  <si>
    <t>AH</t>
  </si>
  <si>
    <t>AI</t>
  </si>
  <si>
    <t>AJ</t>
  </si>
  <si>
    <t>服务</t>
  </si>
  <si>
    <t>排放因子(m3 CH4/h/部件)</t>
  </si>
  <si>
    <t>主要</t>
  </si>
  <si>
    <t>类别1</t>
  </si>
  <si>
    <t>类别2</t>
  </si>
  <si>
    <t>类别3</t>
  </si>
  <si>
    <t>类别4</t>
  </si>
  <si>
    <t>类别5</t>
  </si>
  <si>
    <t>类别6</t>
  </si>
  <si>
    <t>类别7</t>
  </si>
  <si>
    <t>类别8</t>
  </si>
  <si>
    <t>类别9</t>
  </si>
  <si>
    <t>类别10</t>
  </si>
  <si>
    <t>类别11</t>
  </si>
  <si>
    <t>类别12</t>
  </si>
  <si>
    <t>类别13</t>
  </si>
  <si>
    <t>类别14</t>
  </si>
  <si>
    <t>类别15</t>
  </si>
  <si>
    <t>部件计数</t>
  </si>
  <si>
    <t>排放量  (m3 CH4/h)</t>
  </si>
  <si>
    <t>阀门</t>
  </si>
  <si>
    <t>阀（隔断）</t>
  </si>
  <si>
    <t>阀（控制）</t>
  </si>
  <si>
    <t>泵密封件</t>
  </si>
  <si>
    <t>泄压阀</t>
  </si>
  <si>
    <t>调节器</t>
  </si>
  <si>
    <t>连接器</t>
  </si>
  <si>
    <t xml:space="preserve">终端开路线 </t>
  </si>
  <si>
    <t>采样连接</t>
  </si>
  <si>
    <t>流量计（其他）</t>
  </si>
  <si>
    <t>排污系统</t>
  </si>
  <si>
    <t>其他</t>
  </si>
  <si>
    <t>气体</t>
  </si>
  <si>
    <t>轻质液体</t>
  </si>
  <si>
    <t>重质液体</t>
  </si>
  <si>
    <t>所有</t>
  </si>
  <si>
    <t>Total Emissions (Nm3 CH4/h)</t>
  </si>
  <si>
    <t>Nm3 CH4/h</t>
  </si>
  <si>
    <t>Nm3 CH4/y</t>
  </si>
  <si>
    <t>Emission Factors (m3/d/controller)</t>
  </si>
  <si>
    <t>Nm3 CH4/d</t>
  </si>
  <si>
    <t>(Nm3/d/pump)</t>
  </si>
  <si>
    <t>(Nm3 CH4/d)</t>
  </si>
  <si>
    <t>m3 CH4/d</t>
  </si>
  <si>
    <t>m3 CH4/y</t>
  </si>
  <si>
    <t>(Nm3/y/vessel)</t>
  </si>
  <si>
    <t>Emissions (Nm3 CH4/y)</t>
  </si>
  <si>
    <t>Totals (Nm3 CH4/y):</t>
  </si>
  <si>
    <t>Nm3/y</t>
  </si>
  <si>
    <t>Nm3 CH4/106 Nm3 gas processed</t>
  </si>
  <si>
    <t>(Nm3/y/compressor)</t>
  </si>
  <si>
    <t>(Nm3/y)</t>
  </si>
  <si>
    <t>(Nm3 CH4/y)</t>
  </si>
  <si>
    <t>(tonnes CH4/y)</t>
  </si>
  <si>
    <t>错误检查：</t>
  </si>
  <si>
    <t>气动控制器清单：</t>
  </si>
  <si>
    <t>不适用</t>
  </si>
  <si>
    <t>高排放</t>
  </si>
  <si>
    <t>间歇排放</t>
  </si>
  <si>
    <t>排放因子   （m3/d/控制器）</t>
  </si>
  <si>
    <t>排放计算</t>
  </si>
  <si>
    <t>控制器    计数</t>
  </si>
  <si>
    <t>列</t>
  </si>
  <si>
    <t>指针</t>
  </si>
  <si>
    <t>(Nm3/h/source)</t>
  </si>
  <si>
    <t>(Nm3 CH4/h/source)</t>
  </si>
  <si>
    <t>EPA UOG排放因子（美国EPA, 1995: EPA-453/R-95-017）</t>
  </si>
  <si>
    <t>美国EPA UOG排放因子</t>
  </si>
  <si>
    <t>隐含泄露</t>
  </si>
  <si>
    <t>平均</t>
  </si>
  <si>
    <t>无泄漏</t>
  </si>
  <si>
    <t>不受控</t>
  </si>
  <si>
    <t>控制</t>
  </si>
  <si>
    <t>受控</t>
  </si>
  <si>
    <t>规定泄漏</t>
  </si>
  <si>
    <t xml:space="preserve">设备改造 </t>
  </si>
  <si>
    <t>频率</t>
  </si>
  <si>
    <t>(kg/h/排放源)</t>
  </si>
  <si>
    <t>排放因子</t>
  </si>
  <si>
    <t>调节</t>
  </si>
  <si>
    <t>改造</t>
  </si>
  <si>
    <t>受控部件</t>
  </si>
  <si>
    <t>控制因子</t>
  </si>
  <si>
    <t>(Nm3/h/排放源)</t>
  </si>
  <si>
    <t>(Nm3 CH4/h/排放源)</t>
  </si>
  <si>
    <t>计算（默认使用）</t>
  </si>
  <si>
    <t>美国 EPA-453/R-95-017表2-4</t>
  </si>
  <si>
    <t>美国 EPA-453/R-95-017表2-8</t>
  </si>
  <si>
    <t>基于泄漏、无泄漏因子和可调节泄漏频率计算</t>
  </si>
  <si>
    <t>可调输入（如果未输入，则假设为零）</t>
  </si>
  <si>
    <t>从查找表确定</t>
  </si>
  <si>
    <t>天然气输送和储存</t>
  </si>
  <si>
    <t>CEPEI (2016) 因子</t>
  </si>
  <si>
    <t>阀门（所有）</t>
    <phoneticPr fontId="0" type="noConversion"/>
  </si>
  <si>
    <t>天然气输配</t>
  </si>
  <si>
    <t>阀门（所有）</t>
  </si>
  <si>
    <t>天然气输配（商业仪表位点）</t>
  </si>
  <si>
    <t>天然气输配（住宅仪表位点）</t>
  </si>
  <si>
    <t>气动控制器</t>
  </si>
  <si>
    <t>控制器</t>
  </si>
  <si>
    <t>数据</t>
  </si>
  <si>
    <t>文献报道</t>
  </si>
  <si>
    <t>排放因子值</t>
  </si>
  <si>
    <t>气动化学喷射泵</t>
  </si>
  <si>
    <t>子类别</t>
  </si>
  <si>
    <t>不受控排放因子</t>
  </si>
  <si>
    <t>数据源</t>
  </si>
  <si>
    <t>脱水器：</t>
  </si>
  <si>
    <t>气体脱硫装置：</t>
  </si>
  <si>
    <t>储油罐：</t>
  </si>
  <si>
    <t>不受控闪蒸损失</t>
  </si>
  <si>
    <t>中国具体</t>
  </si>
  <si>
    <t>油井套管出口：</t>
  </si>
  <si>
    <t>油井类型</t>
  </si>
  <si>
    <t>井口套管出口：</t>
  </si>
  <si>
    <t>不受控闪烁损失</t>
  </si>
  <si>
    <t>检查和保养作业：</t>
  </si>
  <si>
    <t>作业类型</t>
  </si>
  <si>
    <t>重要：红色突出显示的值为假设值。</t>
  </si>
  <si>
    <t>出水</t>
  </si>
  <si>
    <t>凝析油</t>
  </si>
  <si>
    <t>冷重油（活性）</t>
  </si>
  <si>
    <t>冷重油（非活性）</t>
  </si>
  <si>
    <t>热重油</t>
  </si>
  <si>
    <t>粗沥青</t>
  </si>
  <si>
    <t>低压气体</t>
  </si>
  <si>
    <t>常规原油井</t>
  </si>
  <si>
    <t>冷重油（悬浮）</t>
  </si>
  <si>
    <t>粗沥青（活性）</t>
  </si>
  <si>
    <t>粗沥青（悬浮）</t>
  </si>
  <si>
    <t>压缩机启动</t>
  </si>
  <si>
    <t>压缩机排污</t>
  </si>
  <si>
    <t>气井维修（油管维修）</t>
  </si>
  <si>
    <t>油井维修（油管维修）</t>
  </si>
  <si>
    <t>集输管道泄流</t>
    <phoneticPr fontId="0" type="noConversion"/>
  </si>
  <si>
    <t>海上天然气井完井</t>
  </si>
  <si>
    <t>油泵站维护</t>
  </si>
  <si>
    <t>泄压阀释放</t>
  </si>
  <si>
    <t>集输管道故障（Dig-ins）</t>
    <phoneticPr fontId="0" type="noConversion"/>
  </si>
  <si>
    <t>离岸紧急关机</t>
  </si>
  <si>
    <t>非常规活动</t>
  </si>
  <si>
    <t>气体压缩机站排污</t>
  </si>
  <si>
    <t>PRV升程</t>
  </si>
  <si>
    <t>ESD激活</t>
  </si>
  <si>
    <t>仪表和调压器站排污</t>
  </si>
  <si>
    <t>杂项</t>
  </si>
  <si>
    <t>管道排气和排污</t>
  </si>
  <si>
    <t>储气站排气</t>
  </si>
  <si>
    <t>仪表和调压器站维护</t>
  </si>
  <si>
    <t>气化器和气体取样口</t>
  </si>
  <si>
    <t>管道泄流</t>
  </si>
  <si>
    <t>管道故障（Dig-ins）</t>
  </si>
  <si>
    <t>设备生产和加工设施汇总</t>
  </si>
  <si>
    <t>过程单元或区域</t>
  </si>
  <si>
    <t>与过程相关的排放源数</t>
  </si>
  <si>
    <t>容器</t>
  </si>
  <si>
    <t>首要参考</t>
  </si>
  <si>
    <t>零</t>
  </si>
  <si>
    <t>单元排污系统</t>
  </si>
  <si>
    <t>过程排水</t>
  </si>
  <si>
    <t>烃类气体处理</t>
  </si>
  <si>
    <t>烃类液体处理</t>
  </si>
  <si>
    <t>计数</t>
  </si>
  <si>
    <t>轻型液体</t>
  </si>
  <si>
    <t>重型液体</t>
  </si>
  <si>
    <t>隔断阀</t>
  </si>
  <si>
    <t>控制阀</t>
  </si>
  <si>
    <t>调压器</t>
  </si>
  <si>
    <t>压缩机密封件（往复）</t>
  </si>
  <si>
    <t>压缩机密封件（离心）</t>
  </si>
  <si>
    <t>曲轴箱排气口（往复式压缩机）</t>
  </si>
  <si>
    <t>仪器控制器</t>
  </si>
  <si>
    <t>泵用密封</t>
  </si>
  <si>
    <t>脱水（带气体辅助泵的乙二醇）</t>
  </si>
  <si>
    <t>脱水（无气辅助泵的乙二醇）</t>
  </si>
  <si>
    <t>储罐（出油，带蒸汽控制）</t>
  </si>
  <si>
    <t>储罐（出油，无蒸汽控制）</t>
  </si>
  <si>
    <t>储罐（出水，带蒸汽控制）</t>
  </si>
  <si>
    <t>储罐（出水，无蒸汽控制）</t>
  </si>
  <si>
    <t>脱硫（化学脱硫）</t>
  </si>
  <si>
    <t>脱硫（DEA-二乙醇胺）</t>
  </si>
  <si>
    <t>脱硫（DGA - 二甘醇胺）</t>
  </si>
  <si>
    <t>脱硫（通用）</t>
  </si>
  <si>
    <t>脱硫（海绵铁）</t>
  </si>
  <si>
    <t>脱硫（LoCat）</t>
  </si>
  <si>
    <t>脱硫（MDEA-单二乙醇胺）</t>
  </si>
  <si>
    <t>脱硫（MEA-单乙醇胺）</t>
  </si>
  <si>
    <t>脱硫（物理溶剂）</t>
  </si>
  <si>
    <t>脱硫（ 萨列克苏尔法）</t>
  </si>
  <si>
    <t>脱硫（Sulfacheck法）</t>
  </si>
  <si>
    <t>脱硫（砜胺法）</t>
  </si>
  <si>
    <t>油井（常规油）</t>
  </si>
  <si>
    <t>油井（气）</t>
  </si>
  <si>
    <t>油井（重油）</t>
  </si>
  <si>
    <t>Constants</t>
  </si>
  <si>
    <t>Chemical Library</t>
  </si>
  <si>
    <t>At 15°C</t>
  </si>
  <si>
    <t>(kJ/(kg·°C)</t>
  </si>
  <si>
    <t>(kJ/kmol·°C)</t>
  </si>
  <si>
    <t>Miscellaneous Constants</t>
  </si>
  <si>
    <t>Error Message (Active)</t>
  </si>
  <si>
    <t>Valid Options (Active)</t>
  </si>
  <si>
    <t>名称</t>
  </si>
  <si>
    <t>分子式</t>
  </si>
  <si>
    <t>成分</t>
  </si>
  <si>
    <t>甲烷</t>
  </si>
  <si>
    <t>乙烷</t>
  </si>
  <si>
    <t>丙烷</t>
  </si>
  <si>
    <t>异丁烷</t>
  </si>
  <si>
    <t>正丁烷</t>
  </si>
  <si>
    <t>异戊烷</t>
  </si>
  <si>
    <t>正戊烷</t>
  </si>
  <si>
    <t>己烷</t>
  </si>
  <si>
    <t>庚烷</t>
  </si>
  <si>
    <t>辛烷</t>
  </si>
  <si>
    <t>壬烷</t>
  </si>
  <si>
    <t>癸烷</t>
  </si>
  <si>
    <t>硫化氢</t>
  </si>
  <si>
    <t>二氧化碳</t>
  </si>
  <si>
    <t>氮气</t>
  </si>
  <si>
    <t>水</t>
  </si>
  <si>
    <t>氧</t>
  </si>
  <si>
    <t>二氧化硫</t>
  </si>
  <si>
    <t>液体</t>
  </si>
  <si>
    <t xml:space="preserve"> 理想气体</t>
  </si>
  <si>
    <t>(kg/千摩尔)</t>
  </si>
  <si>
    <t>标准温度</t>
  </si>
  <si>
    <t>标准压力</t>
  </si>
  <si>
    <t>标准容积</t>
  </si>
  <si>
    <t>m3/千摩尔</t>
  </si>
  <si>
    <t>气体常数</t>
  </si>
  <si>
    <t>在标准温度</t>
  </si>
  <si>
    <t>在15℃</t>
  </si>
  <si>
    <t>碳含量</t>
  </si>
  <si>
    <t>比热容量 (Cp)</t>
  </si>
  <si>
    <t>液体密度</t>
  </si>
  <si>
    <t>组成 (原子/分子)</t>
  </si>
  <si>
    <t>在气体密度 STP</t>
  </si>
  <si>
    <t>化学库</t>
  </si>
  <si>
    <t>其他常数</t>
  </si>
  <si>
    <t>公吨 CH4/y</t>
  </si>
  <si>
    <t>(公吨 CH4/y)</t>
  </si>
  <si>
    <t>液体燃料特性</t>
  </si>
  <si>
    <t>液化天然气</t>
  </si>
  <si>
    <t>气体燃料性能</t>
  </si>
  <si>
    <t>天然气</t>
  </si>
  <si>
    <t>Worksheet No.</t>
  </si>
  <si>
    <t>Table/Block No.</t>
  </si>
  <si>
    <t>(Nm3/d/泵)</t>
  </si>
  <si>
    <t>(Nm3 /m3 of liquid produced)</t>
  </si>
  <si>
    <t>(Nm3 /m3生产液体)</t>
  </si>
  <si>
    <t>(Nm3 CH4/m3 Hydrocarbon Liquid)</t>
  </si>
  <si>
    <t>(Nm3/106 Nm3 of Gas Processed)</t>
  </si>
  <si>
    <t>(Nm3/106 Nm3 处理气体)</t>
  </si>
  <si>
    <t>(Nm3/d/device)</t>
  </si>
  <si>
    <t>(Nm3/d/装置)</t>
  </si>
  <si>
    <t>(Nm3/d/well)</t>
  </si>
  <si>
    <t>(Nm3/d/油井)</t>
  </si>
  <si>
    <t>(Nm3/kmol)</t>
  </si>
  <si>
    <t>(Nm3/m3 of liquid received)</t>
  </si>
  <si>
    <t>(Nm3/m3储存液体)</t>
  </si>
  <si>
    <t>排放因子 (公吨/MWh)</t>
  </si>
  <si>
    <t>排放量(m3/d)</t>
  </si>
  <si>
    <t>排放量 (Nm3 CH4/y)</t>
  </si>
  <si>
    <t>累计:</t>
  </si>
  <si>
    <t>总计 (Nm3 CH4/y):</t>
  </si>
  <si>
    <t>包含</t>
  </si>
  <si>
    <t>不包含</t>
  </si>
  <si>
    <t>(m3/d)</t>
  </si>
  <si>
    <t xml:space="preserve">Language </t>
  </si>
  <si>
    <t>中文</t>
  </si>
  <si>
    <t>Language</t>
  </si>
  <si>
    <t>英语/English</t>
  </si>
  <si>
    <t>无气体辅助泵排放</t>
  </si>
  <si>
    <t>有气体辅助泵排放</t>
  </si>
  <si>
    <t>压缩空气</t>
  </si>
  <si>
    <t>轻质</t>
  </si>
  <si>
    <t>中等</t>
  </si>
  <si>
    <t>重质</t>
  </si>
  <si>
    <t>非常重</t>
  </si>
  <si>
    <t>测量</t>
  </si>
  <si>
    <t>计算</t>
  </si>
  <si>
    <t>工程判断</t>
  </si>
  <si>
    <t>默认</t>
  </si>
  <si>
    <t>Bituminous</t>
  </si>
  <si>
    <t>Liquefied Petroleum Gas</t>
  </si>
  <si>
    <t>Density of CH4 at standard conditions of 101.325 kPa and 15°C).</t>
  </si>
  <si>
    <t>排污和清除活动释放的气体体积估计</t>
  </si>
  <si>
    <t>清除活动：</t>
  </si>
  <si>
    <t>气动化学注入泵的气体消耗量计算</t>
  </si>
  <si>
    <t>制造商规格中选定型号气动泵排气系数</t>
  </si>
  <si>
    <t>制造商</t>
  </si>
  <si>
    <t>模型</t>
  </si>
  <si>
    <t>柱塞直径 （英寸）</t>
  </si>
  <si>
    <t>行程长度 （英寸）</t>
  </si>
  <si>
    <t>P2 系数</t>
  </si>
  <si>
    <t>P1 系数</t>
  </si>
  <si>
    <t>P0 系数</t>
  </si>
  <si>
    <t>P2 coefficient</t>
  </si>
  <si>
    <t>P1 coefficient</t>
  </si>
  <si>
    <t>P0 coefficient</t>
  </si>
  <si>
    <t>m3 标况</t>
  </si>
  <si>
    <t>(公升/y)</t>
  </si>
  <si>
    <t>(摩尔分数)</t>
  </si>
  <si>
    <t>(公吨/kg)</t>
  </si>
  <si>
    <t>无量纲</t>
  </si>
  <si>
    <t>(Sm3/公升/泵)</t>
  </si>
  <si>
    <t>待减压的设备或管道系统的物理内部容积。</t>
  </si>
  <si>
    <t>系统初始压力。</t>
  </si>
  <si>
    <t>系统最终压力。</t>
  </si>
  <si>
    <t>系统初始温度。</t>
  </si>
  <si>
    <t>系统最终温度。</t>
  </si>
  <si>
    <t>Initial temperature if the system.</t>
  </si>
  <si>
    <t>初始条件下气体压缩因子。</t>
  </si>
  <si>
    <t>最终条件下气体压缩因子。</t>
  </si>
  <si>
    <t>排污活动排出的气体体积。</t>
  </si>
  <si>
    <t>减压过程单元或管道系统中清除的气体体积。</t>
  </si>
  <si>
    <t>物质i和泵j的气动排放量（t / y）</t>
  </si>
  <si>
    <t>在101.325kPa和15℃的标况下CH 4的密度。</t>
  </si>
  <si>
    <t>CH4在排出气体中的摩尔分数。</t>
  </si>
  <si>
    <t>排放控制因子（零和1.0之间的无量纲分数值）</t>
  </si>
  <si>
    <t>天然气驱动气动泵，j，体积速率（Sm3 /公升/泵）由表22（来自制造商规格）中的以下相关性和系数确定。</t>
  </si>
  <si>
    <t>化学注入压力（kPa压力表）</t>
  </si>
  <si>
    <t>下表中列示制造商P2系数。</t>
  </si>
  <si>
    <t>下表中列示制造商P1系数。</t>
  </si>
  <si>
    <t>下表中列示制造商P0系数。</t>
  </si>
  <si>
    <t>30 psi供应</t>
  </si>
  <si>
    <t>50 psi供应</t>
  </si>
  <si>
    <t>安装橡胶/PFTE</t>
  </si>
  <si>
    <t>Utilities - Gas Properties</t>
  </si>
  <si>
    <t>（吨）</t>
  </si>
  <si>
    <t>零件</t>
  </si>
  <si>
    <t>处理</t>
  </si>
  <si>
    <t>kg/kmol</t>
  </si>
  <si>
    <t>Compressibility Factors</t>
  </si>
  <si>
    <t>Compressibility factors for "Rich Processed Natural Gas" at various temperatures and pressures1.</t>
  </si>
  <si>
    <t>0 °C</t>
  </si>
  <si>
    <t>5 °C</t>
  </si>
  <si>
    <t>10 °C</t>
  </si>
  <si>
    <t>15 °C</t>
  </si>
  <si>
    <t>Compressibility factors for "Typical Processed Natural Gas Mixture 1" at various temperatures and pressures1.</t>
  </si>
  <si>
    <t>Compressibility factors for "Typical Processed Natural Gas Mixture 2" at various temperatures and pressures1.</t>
  </si>
  <si>
    <t>Values calculated using the Peng and Robinson equation of state (1976) for the following gas mixture (mol percent): 95.213% C1, 2.4306% C2, 0.1374% C3, 0.0043% iC4, 0.0043% nC4, 0.0013% iC5, 0.0010% nC5, 0.0012% nC6+, 1.6519% N2 and 0.5552% CO2.</t>
  </si>
  <si>
    <t>绝对</t>
  </si>
  <si>
    <t>压力</t>
  </si>
  <si>
    <t>（无量纲）</t>
  </si>
  <si>
    <t>使用Peng和Robinson状态方程（1976）对以下气体混合物（mol％）计算的值：88.41% C1, 7.45% C2, 1.91% C3, 0.17% iC4, 0.24% nC4, 0.06% iC5, 0.04% nC5, 0.10% nC6+, 0.72% N2 and 0.90% CO2.</t>
  </si>
  <si>
    <t>“典型加工天然气混合物1”在各种温度和压力下的压缩因子1</t>
  </si>
  <si>
    <t>使用Peng和Robinson状态方程（1976）对以下气体混合物（mol％）计算的值：92.8693% C1, 4.0556% C2, 1.1112% C3, 0.1601% iC4, 0.2180% nC4, 0.0496% iC5, 0.0389% nC5, 0.0225% nC6+, 0.8291% N2 and 0.6334% CO2.</t>
  </si>
  <si>
    <t>“典型加工天然气混合物2”在各种温度和压力下的压缩因子1</t>
  </si>
  <si>
    <t>使用Peng和Robinson状态方程（1976）对以下气体混合物（mol％）计算的值：95.213% C1, 2.4306% C2, 0.1374% C3, 0.0043% iC4, 0.0043% nC4, 0.0013% iC5, 0.0010% nC5, 0.0012% nC6+, 1.6519% N2 and 0.5552% CO2.</t>
  </si>
  <si>
    <t>部门</t>
  </si>
  <si>
    <t>Lookup Tables</t>
  </si>
  <si>
    <t>Equipment Schedules</t>
  </si>
  <si>
    <t>EN</t>
  </si>
  <si>
    <t>CH</t>
  </si>
  <si>
    <t>Translation Tbl</t>
  </si>
  <si>
    <t>Eqg Schd</t>
  </si>
  <si>
    <t>Start_Row</t>
  </si>
  <si>
    <t>Stop_Row</t>
  </si>
  <si>
    <t xml:space="preserve">     - 压缩机启动</t>
  </si>
  <si>
    <t xml:space="preserve">     - 脱水机</t>
  </si>
  <si>
    <t xml:space="preserve">     - 脱硫装置</t>
  </si>
  <si>
    <t xml:space="preserve">    - 气体燃料</t>
  </si>
  <si>
    <t xml:space="preserve">    - 液体燃料</t>
  </si>
  <si>
    <t xml:space="preserve">    - 固体燃料</t>
  </si>
  <si>
    <t>(106 m3 处理气体/曰)</t>
  </si>
  <si>
    <t>(106 Nm3 处理气体/曰)</t>
  </si>
  <si>
    <t>(106 Nm3  处理气体/年)</t>
  </si>
  <si>
    <t>酸性气的去除</t>
  </si>
  <si>
    <t>酸性气的泄气和火焰炬洩气</t>
  </si>
  <si>
    <t>每年由泵j注入的液体化学品体积（公升/  年）</t>
  </si>
  <si>
    <t>工业环節的基础</t>
  </si>
  <si>
    <t>排污事故：</t>
  </si>
  <si>
    <t>基于不可控因子和可调节控制因子计算</t>
  </si>
  <si>
    <t>被选气体屬性的計算:</t>
  </si>
  <si>
    <t>井管口的泄洩气</t>
  </si>
  <si>
    <t>焦炭炉气</t>
  </si>
  <si>
    <t>部件控制</t>
  </si>
  <si>
    <t>压缩机（往复式 - 曲轴箱泄气）</t>
  </si>
  <si>
    <t>压缩机密封件（离心式 - 泄压）</t>
  </si>
  <si>
    <t>压缩机密封件（离心式 - 操作）</t>
  </si>
  <si>
    <t>压缩机密封件（离心式 - 俻机和加压）</t>
  </si>
  <si>
    <t>压缩机密封件（往复式 - 泄压）</t>
  </si>
  <si>
    <t>压缩机密封件（往复式 - 操作）</t>
  </si>
  <si>
    <t>压缩机密封件（往复式 - 俻机和加压）</t>
  </si>
  <si>
    <t>含量 (mol%)</t>
  </si>
  <si>
    <t>换算</t>
  </si>
  <si>
    <t>换算因子</t>
  </si>
  <si>
    <t>换算系数（公吨/公斤）.</t>
  </si>
  <si>
    <t>化学转换器的气体</t>
  </si>
  <si>
    <t>成因的平均排放因子</t>
  </si>
  <si>
    <t>Dimensionless</t>
  </si>
  <si>
    <t>无量纲（参阅“压缩因子”工作表）</t>
  </si>
  <si>
    <t>排污</t>
  </si>
  <si>
    <t>EPA UOG 排放因子基础</t>
  </si>
  <si>
    <t>设备另部件和泄漏清单</t>
  </si>
  <si>
    <t>设备另部件类型</t>
  </si>
  <si>
    <t>设施类型查看表</t>
  </si>
  <si>
    <t>设施泄放层次</t>
  </si>
  <si>
    <t>数据库字段</t>
  </si>
  <si>
    <t>火炬火焰燃燒效率</t>
  </si>
  <si>
    <t>喇叭</t>
  </si>
  <si>
    <t>火炬火焰燃除酸性气体：</t>
  </si>
  <si>
    <t>Flared Acid Gas:</t>
  </si>
  <si>
    <t>火炬火焰燃燃除烃气</t>
  </si>
  <si>
    <t>火炬火焰燃燃和泄放(烃气)</t>
  </si>
  <si>
    <t>流量计（量度小孔板）</t>
  </si>
  <si>
    <t>气体分配</t>
  </si>
  <si>
    <t>碳化鈣炉气</t>
  </si>
  <si>
    <t>气体加工处理</t>
  </si>
  <si>
    <t>气体储存</t>
  </si>
  <si>
    <t>气体輸送</t>
  </si>
  <si>
    <t>气体进料成份：</t>
  </si>
  <si>
    <t>碳</t>
  </si>
  <si>
    <t>氢</t>
  </si>
  <si>
    <t>高洩放</t>
  </si>
  <si>
    <t>较高热值</t>
  </si>
  <si>
    <t>水力發电</t>
  </si>
  <si>
    <t>烃类气体的排放和火矩火焰燃烧</t>
  </si>
  <si>
    <t>压缩机清单：</t>
  </si>
  <si>
    <t>脱水器清单：</t>
  </si>
  <si>
    <t>脱硫装置清单：</t>
  </si>
  <si>
    <t>清单的出错：</t>
  </si>
  <si>
    <t>气动化学剂注加泵清单：</t>
  </si>
  <si>
    <t>压力容器清单：</t>
  </si>
  <si>
    <t>油气井清单：</t>
  </si>
  <si>
    <t>泄洩</t>
  </si>
  <si>
    <t>当地大气压力。</t>
  </si>
  <si>
    <t>低排洩</t>
  </si>
  <si>
    <t>衡量</t>
  </si>
  <si>
    <t>流量计（孔板）</t>
  </si>
  <si>
    <t>天然气〔混組〕</t>
  </si>
  <si>
    <t>天然气〔气涡輪机〕</t>
  </si>
  <si>
    <t>无排洩</t>
  </si>
  <si>
    <t>暫不能断定</t>
  </si>
  <si>
    <t>注意：部件计数字段中的“＃N/A”表示指定行业部门的过程单位类型无效（或未定义）。</t>
  </si>
  <si>
    <t>注意: EF 用于生产方面的可用于所有的系统。</t>
  </si>
  <si>
    <t>其他煤碳气</t>
  </si>
  <si>
    <t>其他碳氢化合物含量</t>
  </si>
  <si>
    <t>管道有关泄事故</t>
  </si>
  <si>
    <t>购买</t>
  </si>
  <si>
    <t>参考年:</t>
  </si>
  <si>
    <t>总排放量(Nm3 CH4/h)</t>
  </si>
  <si>
    <t>总排放量 (m3 CH4/d):</t>
  </si>
  <si>
    <t>發电厂的类型</t>
  </si>
  <si>
    <t>泄放</t>
  </si>
  <si>
    <t>容器排污</t>
  </si>
  <si>
    <t>容器計数</t>
  </si>
  <si>
    <t>燃碳火力發电厰</t>
  </si>
  <si>
    <t>Calculations - Combustion</t>
  </si>
  <si>
    <t>Calculations - Fugitives</t>
  </si>
  <si>
    <t>EFs - Equipment Leaks</t>
  </si>
  <si>
    <t>EFs - Other</t>
  </si>
  <si>
    <t>外购电力</t>
  </si>
  <si>
    <t>总排放量</t>
  </si>
  <si>
    <t>Nm3 CH4/106 Nm3  处理气体</t>
  </si>
  <si>
    <t>行业部门:</t>
  </si>
  <si>
    <t>设施类型:</t>
  </si>
  <si>
    <t>地点:</t>
  </si>
  <si>
    <t>设备名称:</t>
  </si>
  <si>
    <t>公司名称:</t>
  </si>
  <si>
    <t>设施识别号:</t>
  </si>
  <si>
    <t>设施定义:</t>
  </si>
  <si>
    <t>生产</t>
  </si>
  <si>
    <t>鼓风炉</t>
  </si>
  <si>
    <t>开放线（OEL）</t>
  </si>
  <si>
    <t>减压阀（PRV）</t>
  </si>
  <si>
    <t>转换因子查找表</t>
  </si>
  <si>
    <t>泄漏控制因子查找表</t>
  </si>
  <si>
    <t>错误（代码）</t>
  </si>
  <si>
    <t>错误信息（当前）</t>
  </si>
  <si>
    <t>从</t>
  </si>
  <si>
    <t>至</t>
  </si>
  <si>
    <t>转换系数</t>
  </si>
  <si>
    <t>值</t>
  </si>
  <si>
    <t>描述符</t>
  </si>
  <si>
    <t>设备类型</t>
  </si>
  <si>
    <t>修正</t>
  </si>
  <si>
    <t>控制效率</t>
  </si>
  <si>
    <t>Translation Table</t>
  </si>
  <si>
    <t>语言</t>
  </si>
  <si>
    <t>工作表</t>
  </si>
  <si>
    <t>工作表号</t>
  </si>
  <si>
    <t>表/块</t>
  </si>
  <si>
    <t>行</t>
  </si>
  <si>
    <t>当前</t>
  </si>
  <si>
    <t>英文</t>
  </si>
  <si>
    <t>表/块号</t>
  </si>
  <si>
    <t>(标方/年/容器)</t>
  </si>
  <si>
    <t>Note: The English version of this table must be maintained in current sorted order (i.e., in ascending order).</t>
  </si>
  <si>
    <t>Briquette Coal</t>
  </si>
  <si>
    <t>Specific Heat Capacity (Cp)</t>
  </si>
  <si>
    <t>n-Butane</t>
  </si>
  <si>
    <t>Volume of gas purged from a depressurized process unit or piping system.</t>
  </si>
  <si>
    <t>Natural gas-driven pneumatic pump, j, volume rate (Sm3/liter/pump) determined from the following correlation and coefficients in Table 22 (derived from manufacturer specifications).</t>
  </si>
  <si>
    <t>Administrative Header</t>
  </si>
  <si>
    <t xml:space="preserve">Gaseous Fuels:  </t>
  </si>
  <si>
    <t>Electric Power Purchases:</t>
  </si>
  <si>
    <t>Purchased</t>
  </si>
  <si>
    <t>Española (Colombia)</t>
  </si>
  <si>
    <t>错误信息</t>
  </si>
  <si>
    <t>错误：必须填写此字段.</t>
  </si>
  <si>
    <t>错误：需要填写类型或值源字段.</t>
  </si>
  <si>
    <t>错误：指定行业细分的流程类型无效或未定义.</t>
  </si>
  <si>
    <t>错误：输入值的总和不得超过 100%.</t>
  </si>
  <si>
    <t>错误：需要设置合成值的来源.</t>
  </si>
  <si>
    <t>Lookup Lists</t>
  </si>
  <si>
    <t>Valid Options</t>
  </si>
  <si>
    <t>有效选项</t>
  </si>
  <si>
    <t>列表</t>
  </si>
  <si>
    <t>有效选项（活动)</t>
  </si>
  <si>
    <t>脱水机类型</t>
  </si>
  <si>
    <t>语</t>
  </si>
  <si>
    <t>气体燃料</t>
  </si>
  <si>
    <t>液体燃料</t>
  </si>
  <si>
    <t>固体燃料</t>
  </si>
  <si>
    <t>财产来源</t>
  </si>
  <si>
    <t>数量的来源</t>
  </si>
  <si>
    <t>烃类液体</t>
  </si>
  <si>
    <t>气动供气</t>
  </si>
  <si>
    <t>没有任何</t>
  </si>
  <si>
    <t>封闭式通风系统</t>
  </si>
  <si>
    <t>带阻隔液系统的双机械密封</t>
  </si>
  <si>
    <t>焊接在一起</t>
  </si>
  <si>
    <t>盲、盖、塞或第二个阀门</t>
  </si>
  <si>
    <t>爆破片组件</t>
  </si>
  <si>
    <t>无密封设计</t>
  </si>
  <si>
    <t>压缩机曲轴箱通风口</t>
  </si>
  <si>
    <t>压缩机密封</t>
  </si>
  <si>
    <t>减压装置</t>
  </si>
  <si>
    <t>泵</t>
  </si>
  <si>
    <t>监管机构</t>
  </si>
  <si>
    <t>ValidValveCF</t>
  </si>
  <si>
    <t>ValidPumpCF</t>
  </si>
  <si>
    <t>ValidCompSealCF</t>
  </si>
  <si>
    <t>ValidCompCrankcaseCF</t>
  </si>
  <si>
    <t>ValidPRVCF</t>
  </si>
  <si>
    <t>ValidRegulatorCF</t>
  </si>
  <si>
    <t>ValidConnectorCF</t>
  </si>
  <si>
    <t>ValidOELCF</t>
  </si>
  <si>
    <t>ValidSampConCF</t>
  </si>
  <si>
    <t>ValidDrainCF</t>
  </si>
  <si>
    <t>ValidOtherCF</t>
  </si>
  <si>
    <t>全部</t>
  </si>
  <si>
    <t>在各种温度和压力下“浓雜加工天然气”的压缩因子1</t>
  </si>
  <si>
    <r>
      <t>m</t>
    </r>
    <r>
      <rPr>
        <vertAlign val="superscript"/>
        <sz val="11"/>
        <color theme="1"/>
        <rFont val="Calibri"/>
        <family val="2"/>
        <scheme val="minor"/>
      </rPr>
      <t>3</t>
    </r>
    <r>
      <rPr>
        <sz val="11"/>
        <color theme="1"/>
        <rFont val="Calibri"/>
        <family val="2"/>
        <scheme val="minor"/>
      </rPr>
      <t xml:space="preserve"> per day</t>
    </r>
  </si>
  <si>
    <t>Definición de Instalación</t>
  </si>
  <si>
    <t>No. de Identificación de Instalación</t>
  </si>
  <si>
    <t>Nombre de Compañía:</t>
  </si>
  <si>
    <t>Nombre de Instalación:</t>
  </si>
  <si>
    <t>Ubicación:</t>
  </si>
  <si>
    <t>Año de Referencia:</t>
  </si>
  <si>
    <t>Segmento de la Industria</t>
  </si>
  <si>
    <t>Tipo de Instalación</t>
  </si>
  <si>
    <t>Instalación: Emisiones Totales Estimadas</t>
  </si>
  <si>
    <t>Categoría de Fuente Primaria</t>
  </si>
  <si>
    <t>Contabilización</t>
  </si>
  <si>
    <t>(t)</t>
  </si>
  <si>
    <t>Quema de Combustibles:</t>
  </si>
  <si>
    <t>Incluida</t>
  </si>
  <si>
    <t>No incluida</t>
  </si>
  <si>
    <t xml:space="preserve">    - Combustibles Sólidos</t>
  </si>
  <si>
    <t xml:space="preserve">    - Combustibles Líquidos</t>
  </si>
  <si>
    <t xml:space="preserve">    - Combustibles Gaseosos</t>
  </si>
  <si>
    <t>Remoción de Gas Ácido</t>
  </si>
  <si>
    <t>Quema y Venteo (Gas con Hidrocarburos)</t>
  </si>
  <si>
    <t>Emisiones Fugitivas en Equipos</t>
  </si>
  <si>
    <t>Pozos:</t>
  </si>
  <si>
    <t>Dispositivos Neumáticos:</t>
  </si>
  <si>
    <t xml:space="preserve">    - Arranques de Compresor</t>
  </si>
  <si>
    <t>Venteos de Proceso:</t>
  </si>
  <si>
    <t xml:space="preserve">    - Deshidratadores</t>
  </si>
  <si>
    <t xml:space="preserve">    - Unidades de Endulzamiento</t>
  </si>
  <si>
    <t>Actividades de Inspección y Mantenimiento:</t>
  </si>
  <si>
    <t>Incidentes:</t>
  </si>
  <si>
    <t>Emisiones Recicladas y Utilizadas:</t>
  </si>
  <si>
    <t>Emisiones Indirectas de Compras de Energía Eléctrica y Calor:</t>
  </si>
  <si>
    <t>Parámetro</t>
  </si>
  <si>
    <t>Valor</t>
  </si>
  <si>
    <t>Mensaje de Errror</t>
  </si>
  <si>
    <t>Hidrocarburos Líquidos:</t>
  </si>
  <si>
    <t>Niveles de Actividad de Instalación</t>
  </si>
  <si>
    <t>Tipo</t>
  </si>
  <si>
    <t>Unidades de Medición</t>
  </si>
  <si>
    <t>Fuente de Valor</t>
  </si>
  <si>
    <t>Facturas o Recibos de Gas Natural:</t>
  </si>
  <si>
    <t>Recibos de Condensados:</t>
  </si>
  <si>
    <r>
      <t>m</t>
    </r>
    <r>
      <rPr>
        <vertAlign val="superscript"/>
        <sz val="11"/>
        <color theme="1"/>
        <rFont val="Calibri"/>
        <family val="2"/>
        <scheme val="minor"/>
      </rPr>
      <t>3</t>
    </r>
    <r>
      <rPr>
        <sz val="11"/>
        <color theme="1"/>
        <rFont val="Calibri"/>
        <family val="2"/>
        <scheme val="minor"/>
      </rPr>
      <t xml:space="preserve"> / día</t>
    </r>
  </si>
  <si>
    <t>Recibos de Agua de Producción:</t>
  </si>
  <si>
    <r>
      <t>m</t>
    </r>
    <r>
      <rPr>
        <vertAlign val="superscript"/>
        <sz val="11"/>
        <color rgb="FF000000"/>
        <rFont val="Calibri"/>
        <family val="2"/>
        <scheme val="minor"/>
      </rPr>
      <t>3</t>
    </r>
    <r>
      <rPr>
        <sz val="11"/>
        <color rgb="FF000000"/>
        <rFont val="Calibri"/>
        <family val="2"/>
        <scheme val="minor"/>
      </rPr>
      <t xml:space="preserve"> / día</t>
    </r>
  </si>
  <si>
    <t>Hidrocarburo Gaseoso Enviado a Tea:</t>
  </si>
  <si>
    <t>Gas Ácido Enviado a Tea:</t>
  </si>
  <si>
    <t>Hidrocarburo Gaseoso Venteado:</t>
  </si>
  <si>
    <t>Gas Ácido Venteado:</t>
  </si>
  <si>
    <t>Combustibles Sólidos:</t>
  </si>
  <si>
    <t>Combustibles Líquidos:</t>
  </si>
  <si>
    <t>Combustibles Gaseosos:</t>
  </si>
  <si>
    <t>Compras de Energía Eléctrica</t>
  </si>
  <si>
    <t>Compra de Calor: Vapor:</t>
  </si>
  <si>
    <t>Compra de Calor: Agua Caliente:</t>
  </si>
  <si>
    <t>Procesos Utilizados en la Instalación</t>
  </si>
  <si>
    <t>Unidad No.</t>
  </si>
  <si>
    <t>Tipo de Proceso</t>
  </si>
  <si>
    <t>Cantidad</t>
  </si>
  <si>
    <t>Tiempo de Operación (Porcentaje)</t>
  </si>
  <si>
    <t>Gas Suministrado</t>
  </si>
  <si>
    <t>Tipo de Controladores</t>
  </si>
  <si>
    <t>En Operación</t>
  </si>
  <si>
    <t>En Espera y Presurizado</t>
  </si>
  <si>
    <t>Despresurizado</t>
  </si>
  <si>
    <t>Composiciones de Gas</t>
  </si>
  <si>
    <t>Corriente</t>
  </si>
  <si>
    <t>Peso Molecular de Mezcla Gaseosa</t>
  </si>
  <si>
    <t>Contenido de CH4 (% mol)</t>
  </si>
  <si>
    <t>Contenido de CO2 (%mol)</t>
  </si>
  <si>
    <t>Contenido de N2 (%mol)</t>
  </si>
  <si>
    <t>Contenido de H2S (%mol)</t>
  </si>
  <si>
    <t>Fuente de Valpores</t>
  </si>
  <si>
    <t>Gas de Proceso</t>
  </si>
  <si>
    <t>Gas Combustible</t>
  </si>
  <si>
    <t>Gas Motriz Neumático (Gas Natural)</t>
  </si>
  <si>
    <t>Vapores (Producto)</t>
  </si>
  <si>
    <t>Propiedades de Combustible Sólido</t>
  </si>
  <si>
    <t>Tipo de Combustible</t>
  </si>
  <si>
    <t>Poder Calorífico Inferior</t>
  </si>
  <si>
    <t>Contenido de Carbono</t>
  </si>
  <si>
    <t>Tasa de Oxidación de Carbono</t>
  </si>
  <si>
    <t>Emisiones</t>
  </si>
  <si>
    <t>Quemada</t>
  </si>
  <si>
    <t>Fuente</t>
  </si>
  <si>
    <t>Referencia</t>
  </si>
  <si>
    <t>(GJ/t)</t>
  </si>
  <si>
    <t>(tC/GJ)</t>
  </si>
  <si>
    <t>Antracita</t>
  </si>
  <si>
    <t>Lignito</t>
  </si>
  <si>
    <t>Carbón Limpio</t>
  </si>
  <si>
    <t>Otro Carbón Lavado</t>
  </si>
  <si>
    <t>Carbón en Briquetas</t>
  </si>
  <si>
    <t>Coque</t>
  </si>
  <si>
    <t>Coque de Petróleo</t>
  </si>
  <si>
    <t>Propiedades de Combustible Líquido:</t>
  </si>
  <si>
    <t>Petróleo Crudo</t>
  </si>
  <si>
    <t>Combustóleo</t>
  </si>
  <si>
    <t>Gasolina</t>
  </si>
  <si>
    <t>Defecto</t>
  </si>
  <si>
    <t>Diésel</t>
  </si>
  <si>
    <t>Combustible de Aviación</t>
  </si>
  <si>
    <t>Queroseno Común</t>
  </si>
  <si>
    <t>Nafta</t>
  </si>
  <si>
    <t>Gas Licuado de Petróleo</t>
  </si>
  <si>
    <t>Gas Natural Licuado</t>
  </si>
  <si>
    <t>Propiedades de Combustible Gaseoso</t>
  </si>
  <si>
    <t>Gas Natural</t>
  </si>
  <si>
    <t>Gas de Horno de Coque</t>
  </si>
  <si>
    <t>Gas de Alto Horno</t>
  </si>
  <si>
    <t>Gas de Convertidor</t>
  </si>
  <si>
    <t>Gas de Horno de Carburo de Calcio</t>
  </si>
  <si>
    <t>Otros Gases de Carbón</t>
  </si>
  <si>
    <t>Venteo y Quema de Hidrocarburo Gaseoso</t>
  </si>
  <si>
    <t>Contenido de CO2</t>
  </si>
  <si>
    <t xml:space="preserve">Contenido de CH4 </t>
  </si>
  <si>
    <t>Contenido Otros Hidrocarburos</t>
  </si>
  <si>
    <t>Eficiencia de Tea</t>
  </si>
  <si>
    <t>(% mol)</t>
  </si>
  <si>
    <t>Densidad</t>
  </si>
  <si>
    <t>Peso Molecular</t>
  </si>
  <si>
    <t>Venteado</t>
  </si>
  <si>
    <t>Enviado a Tea</t>
  </si>
  <si>
    <t>Venteo y Quema de Gas Ácido</t>
  </si>
  <si>
    <t>Contenido de CH4</t>
  </si>
  <si>
    <t>Tipo de Planta de Generación Eléctrica</t>
  </si>
  <si>
    <t>Electricidad</t>
  </si>
  <si>
    <t>Factores de Emisión (t/MWh)</t>
  </si>
  <si>
    <t>Comprada</t>
  </si>
  <si>
    <t>Hidroeléctrica</t>
  </si>
  <si>
    <t>Planta de Generación Eléctrica a Carbón</t>
  </si>
  <si>
    <t>Gas Natural (Turbina a Gas)</t>
  </si>
  <si>
    <t>Gas Natural (Ciclo Combinado)</t>
  </si>
  <si>
    <t>Inventario de Componentes de Equipo y Fugitivas</t>
  </si>
  <si>
    <t>Segmento de la Industria:</t>
  </si>
  <si>
    <t>Hidrocarburo Líquido:</t>
  </si>
  <si>
    <t>Factor de Producto</t>
  </si>
  <si>
    <t>Columna</t>
  </si>
  <si>
    <t>Tipo de Componente de Equipo</t>
  </si>
  <si>
    <t>Servicio</t>
  </si>
  <si>
    <t>Factor de Emisión (m3 CH4/h/componente)</t>
  </si>
  <si>
    <t>Cálculo de Emisiones</t>
  </si>
  <si>
    <t>Punteros</t>
  </si>
  <si>
    <t>Categoría 11</t>
  </si>
  <si>
    <t>Categoría 12</t>
  </si>
  <si>
    <t>Categoría 13</t>
  </si>
  <si>
    <t>Categoría 14</t>
  </si>
  <si>
    <t>Categoría 15</t>
  </si>
  <si>
    <t>Primario</t>
  </si>
  <si>
    <t>Categoría 1</t>
  </si>
  <si>
    <t>Categoría 2</t>
  </si>
  <si>
    <t>Categoría 3</t>
  </si>
  <si>
    <t>Categoría 4</t>
  </si>
  <si>
    <t>Categoría 5</t>
  </si>
  <si>
    <t>Categoría 6</t>
  </si>
  <si>
    <t>Categoría 7</t>
  </si>
  <si>
    <t>Categoría 8</t>
  </si>
  <si>
    <t>Categoría 9</t>
  </si>
  <si>
    <t>Categoría 10</t>
  </si>
  <si>
    <t>Número de Componentes</t>
  </si>
  <si>
    <t>Emisiones (m3 CH4/h)</t>
  </si>
  <si>
    <t>Válvulas</t>
  </si>
  <si>
    <t>Líquidos Ligeros</t>
  </si>
  <si>
    <t>Líquidos Pesados</t>
  </si>
  <si>
    <t>Válvulas (Bloqueo)</t>
  </si>
  <si>
    <t>Válvulas (Control)</t>
  </si>
  <si>
    <t>Sellos de Bombas</t>
  </si>
  <si>
    <t>Sellos de Compresor (Reciprocante - En Operación)</t>
  </si>
  <si>
    <t>Sellos de Compresor (Reciprocante - En Espera y Presurizado)</t>
  </si>
  <si>
    <t>Sellos de Compresor (Reciprocante - Despresurizado)</t>
  </si>
  <si>
    <t>Sellos de Compresor (Centrífugo - En Operación)</t>
  </si>
  <si>
    <t>Sellos de Compresor (Centrífugo - En Espera y Presurizado)</t>
  </si>
  <si>
    <t>Sellos de Compresor (Centrífugo - Despresurizado)</t>
  </si>
  <si>
    <t>Compresor (Reciprocante - Venteo de Cárter)</t>
  </si>
  <si>
    <t>Válvulas de Alivio de Presión</t>
  </si>
  <si>
    <t>Reguladores</t>
  </si>
  <si>
    <t>Conectores</t>
  </si>
  <si>
    <t>Líneas con Extremo Abierto</t>
  </si>
  <si>
    <t>Conexiones para Muestreo</t>
  </si>
  <si>
    <t>Todas</t>
  </si>
  <si>
    <t>Drenes</t>
  </si>
  <si>
    <t>Medidor (Orificio)</t>
  </si>
  <si>
    <t>Medidor (Otro)</t>
  </si>
  <si>
    <t>Sistema de Purga</t>
  </si>
  <si>
    <t>Otros</t>
  </si>
  <si>
    <t>Emisiones Totales (Nm3 CH4/h)</t>
  </si>
  <si>
    <t>Gran Total de Emisiones</t>
  </si>
  <si>
    <t>Verificación de Errores:</t>
  </si>
  <si>
    <t>Nm3 CH4/año</t>
  </si>
  <si>
    <t>Nota: "#N/a" en el campo de Número de componente indica que el tipo de unidad de proceso es inválido (o no definido) para el sector específico de la industria</t>
  </si>
  <si>
    <t>t CH4/año</t>
  </si>
  <si>
    <t>Inventario de Controladores Neumáticos:</t>
  </si>
  <si>
    <t>Tipo de Controlador</t>
  </si>
  <si>
    <t>Factores de Emisión (m3/d/controlador)</t>
  </si>
  <si>
    <t>Cálculos de Emisiones</t>
  </si>
  <si>
    <t>Número de Controladores</t>
  </si>
  <si>
    <t>Emisiones (m3/d)</t>
  </si>
  <si>
    <t>Alta Purga</t>
  </si>
  <si>
    <t>Purga Intermitente</t>
  </si>
  <si>
    <t>Baja Purga</t>
  </si>
  <si>
    <t>Sin Purga</t>
  </si>
  <si>
    <t>No Aplicable</t>
  </si>
  <si>
    <t>Emisiones Totales (m3 CH4/d):</t>
  </si>
  <si>
    <t>Gran Total:</t>
  </si>
  <si>
    <t>Inventario de Bombas de Inyección de Químicos:</t>
  </si>
  <si>
    <t>Factor de Emisión</t>
  </si>
  <si>
    <t>TO</t>
  </si>
  <si>
    <t>(Nm3/d/bomba)</t>
  </si>
  <si>
    <t>Contenido (% mol)</t>
  </si>
  <si>
    <t>m3 CH4/año</t>
  </si>
  <si>
    <t>Inventario de Recipientes a Presión:</t>
  </si>
  <si>
    <t>(Nm3/año/recipiente)</t>
  </si>
  <si>
    <t>Emisiones (Nm3 CH4/año)</t>
  </si>
  <si>
    <t>Número de Recipientes</t>
  </si>
  <si>
    <t>Nota: Se utiliza el FE de segmento producción para todos los segmentos</t>
  </si>
  <si>
    <t>Totales (Nm3 CH4/año)</t>
  </si>
  <si>
    <t>Inventario de Compresores:</t>
  </si>
  <si>
    <t>(Nm3/año/compresor)</t>
  </si>
  <si>
    <t>(Nm3/año)</t>
  </si>
  <si>
    <t>Nm3/año</t>
  </si>
  <si>
    <t>Inventario de Deshidratadores:</t>
  </si>
  <si>
    <t>Actividad</t>
  </si>
  <si>
    <r>
      <t>Nm3 CH4/10</t>
    </r>
    <r>
      <rPr>
        <vertAlign val="superscript"/>
        <sz val="11"/>
        <color rgb="FF000000"/>
        <rFont val="Calibri"/>
        <family val="2"/>
        <scheme val="minor"/>
      </rPr>
      <t>6</t>
    </r>
    <r>
      <rPr>
        <sz val="11"/>
        <color rgb="FF000000"/>
        <rFont val="Calibri"/>
        <family val="2"/>
        <scheme val="minor"/>
      </rPr>
      <t xml:space="preserve"> Nm3 gas procesado</t>
    </r>
  </si>
  <si>
    <r>
      <t>(10</t>
    </r>
    <r>
      <rPr>
        <vertAlign val="superscript"/>
        <sz val="11"/>
        <color rgb="FF000000"/>
        <rFont val="Calibri"/>
        <family val="2"/>
        <scheme val="minor"/>
      </rPr>
      <t>6</t>
    </r>
    <r>
      <rPr>
        <sz val="11"/>
        <color rgb="FF000000"/>
        <rFont val="Calibri"/>
        <family val="2"/>
        <scheme val="minor"/>
      </rPr>
      <t xml:space="preserve"> m3 gas procesado/d)</t>
    </r>
  </si>
  <si>
    <t>Deshidratación (Glicol con Bomba Asistida a Gas)</t>
  </si>
  <si>
    <t>Deshidratación (Glicol sin Bomba Asistida a Gas)</t>
  </si>
  <si>
    <t>Inventario de Unidades de Endulzamiento de Gas:</t>
  </si>
  <si>
    <r>
      <t>(10</t>
    </r>
    <r>
      <rPr>
        <vertAlign val="superscript"/>
        <sz val="11"/>
        <color rgb="FF000000"/>
        <rFont val="Calibri"/>
        <family val="2"/>
        <scheme val="minor"/>
      </rPr>
      <t>6</t>
    </r>
    <r>
      <rPr>
        <sz val="11"/>
        <color rgb="FF000000"/>
        <rFont val="Calibri"/>
        <family val="2"/>
        <scheme val="minor"/>
      </rPr>
      <t xml:space="preserve"> Nm3 gas procesado/año)</t>
    </r>
  </si>
  <si>
    <t>(Nm3 CH4/año)</t>
  </si>
  <si>
    <t>(t CH4/año)</t>
  </si>
  <si>
    <t>Endulzamiento (Chemsweet)</t>
  </si>
  <si>
    <t>Endulzamiento (DEA - Dietanolamina)</t>
  </si>
  <si>
    <t>Endulzamiento (DGA - Diglicolamina)</t>
  </si>
  <si>
    <t>Endulzamiento (Genérico)</t>
  </si>
  <si>
    <t>Endulzamiento (Hierro Esponja)</t>
  </si>
  <si>
    <t>Endulzamiento (LoCat)</t>
  </si>
  <si>
    <t>Endulzamiento (MDEA - Monodietanolamina)</t>
  </si>
  <si>
    <t>Endulzamiento (MEA - Monoetanolamina)</t>
  </si>
  <si>
    <t>Endulzamiento (Solvente Físico)</t>
  </si>
  <si>
    <t>Endulzamiento (Selexol)</t>
  </si>
  <si>
    <t>Endulzamiento (Sulfacheck)</t>
  </si>
  <si>
    <t>Endulzamiento (Sulfinol)</t>
  </si>
  <si>
    <t>Factor de Conversión:</t>
  </si>
  <si>
    <t>(Nm3 CH4/m3 Hidrocarburo Líquido)</t>
  </si>
  <si>
    <t>Tanque de Almacenamiento (Aceite Producido, sin Control de Vapores)</t>
  </si>
  <si>
    <t>Tanque de Almacenamiento (Aceite Producido, con Control de Vapores)</t>
  </si>
  <si>
    <t>Tanque de Almacenamiento (Agua de Producción, sin Control de Vapores)</t>
  </si>
  <si>
    <t>Tanque de Almacenamiento (Agua de Producción, con Control de Vapores)</t>
  </si>
  <si>
    <t>Inventario de Accidentes:</t>
  </si>
  <si>
    <t>Factor de Emisión:</t>
  </si>
  <si>
    <r>
      <t>(Nm3/10</t>
    </r>
    <r>
      <rPr>
        <vertAlign val="superscript"/>
        <sz val="11"/>
        <color rgb="FF000000"/>
        <rFont val="Calibri"/>
        <family val="2"/>
        <scheme val="minor"/>
      </rPr>
      <t>6</t>
    </r>
    <r>
      <rPr>
        <sz val="11"/>
        <color rgb="FF000000"/>
        <rFont val="Calibri"/>
        <family val="2"/>
        <scheme val="minor"/>
      </rPr>
      <t xml:space="preserve"> Nm3 gas procesado)</t>
    </r>
  </si>
  <si>
    <r>
      <t>(10</t>
    </r>
    <r>
      <rPr>
        <vertAlign val="superscript"/>
        <sz val="11"/>
        <color rgb="FF000000"/>
        <rFont val="Calibri"/>
        <family val="2"/>
        <scheme val="minor"/>
      </rPr>
      <t>6</t>
    </r>
    <r>
      <rPr>
        <sz val="11"/>
        <color rgb="FF000000"/>
        <rFont val="Calibri"/>
        <family val="2"/>
        <scheme val="minor"/>
      </rPr>
      <t xml:space="preserve"> Nm3 gas procesado/d)</t>
    </r>
  </si>
  <si>
    <t>Inventario de Pozos:</t>
  </si>
  <si>
    <t>Venteo de Anulares</t>
  </si>
  <si>
    <t>Pozo (Crudo Convencional)</t>
  </si>
  <si>
    <t>Pozo (Gas)</t>
  </si>
  <si>
    <t>Pozo (Crudo Pesado)</t>
  </si>
  <si>
    <t>Eventos de Venteo a Nivel Instalación</t>
  </si>
  <si>
    <t>No Determinado Actualmente.</t>
  </si>
  <si>
    <t>Eventos de Venteo Relacionados con Líneas</t>
  </si>
  <si>
    <t>Factores de Emisión EPA UOG (US EPA, 1995: EPA-453/R-95-017)</t>
  </si>
  <si>
    <t xml:space="preserve">Factores de Emisión Caso Base EPA UOG </t>
  </si>
  <si>
    <t>Factores de Emisión EPA UOG</t>
  </si>
  <si>
    <t>Factor de Emisión Promedio Desarrollado</t>
  </si>
  <si>
    <t>Fuga Implícita</t>
  </si>
  <si>
    <t>Promedio</t>
  </si>
  <si>
    <t>Fuga</t>
  </si>
  <si>
    <t>No-Fuga</t>
  </si>
  <si>
    <t>No Controlada</t>
  </si>
  <si>
    <t>Controlada</t>
  </si>
  <si>
    <t>Fuga Especificada</t>
  </si>
  <si>
    <t>Modificación a Equipo</t>
  </si>
  <si>
    <t>Frecuencia</t>
  </si>
  <si>
    <t>(kg/h/fuente)</t>
  </si>
  <si>
    <t>Ajuste</t>
  </si>
  <si>
    <t>Modificación</t>
  </si>
  <si>
    <t>Porcentaje de</t>
  </si>
  <si>
    <t>Factor de Control</t>
  </si>
  <si>
    <t>(Nm3/h/fuente)</t>
  </si>
  <si>
    <t>(Nm3 CH4/h/fuente)</t>
  </si>
  <si>
    <t>Componentes Controlados</t>
  </si>
  <si>
    <t>Calculado (utilizar como valor por defecto)</t>
  </si>
  <si>
    <t>US EPA-453/R-95-017 Tabla 2-4</t>
  </si>
  <si>
    <t>US EPA-453/R-95-017 Tabla 2-8</t>
  </si>
  <si>
    <t>Calculado con base en factores de Fuga, No-Fuga y frecuencia de fuga ajustable</t>
  </si>
  <si>
    <t>Calculado con base en factores de no controlados y factor de control ajustable</t>
  </si>
  <si>
    <t>Entrada Ajustable (Suponer como cero si no se ingresa)</t>
  </si>
  <si>
    <t>Determinado de Tabla Buscada</t>
  </si>
  <si>
    <t>Transporte y Almacenamiento de Gas Natural</t>
  </si>
  <si>
    <t>Factores CEPEI (2016)</t>
  </si>
  <si>
    <t>Determinado de Tabla de Búsqueda</t>
  </si>
  <si>
    <t>Válvulas (Todas)</t>
  </si>
  <si>
    <t>Distribución de Gas Natural</t>
  </si>
  <si>
    <t>Distribución de Gas Natural (Sitios con Medidor Comercial)</t>
  </si>
  <si>
    <t>Distribución de Gas Natural (Sitios con Medidor Residencial)</t>
  </si>
  <si>
    <t>Controladores Neumáticos</t>
  </si>
  <si>
    <t>Tipo de</t>
  </si>
  <si>
    <t>Factor de Emisión No Controlado</t>
  </si>
  <si>
    <t>Fuente de</t>
  </si>
  <si>
    <t>Según Reportado en Referencia</t>
  </si>
  <si>
    <t>Factor de Conversión</t>
  </si>
  <si>
    <t>Controlador</t>
  </si>
  <si>
    <t>(Nm3/d/dispositivo)</t>
  </si>
  <si>
    <t>Información</t>
  </si>
  <si>
    <t>Valor de FE</t>
  </si>
  <si>
    <t>Medición</t>
  </si>
  <si>
    <t>Conversión</t>
  </si>
  <si>
    <t>Unidades de</t>
  </si>
  <si>
    <t>Bombas Neumáticas de Inyección de Químicos</t>
  </si>
  <si>
    <t>Subcategoría</t>
  </si>
  <si>
    <t>Fuente de Información</t>
  </si>
  <si>
    <t>Base para Segmento de la Industria</t>
  </si>
  <si>
    <t>Bomba Promedio (Si se desconoce el tipo)</t>
  </si>
  <si>
    <t>Deshidratadores:</t>
  </si>
  <si>
    <t>Emisiones con Bomba Asistida a Gas</t>
  </si>
  <si>
    <t>Emisiones sin Bomba Asistida a Gas</t>
  </si>
  <si>
    <t>Unidades de Endulzamiento de Gas:</t>
  </si>
  <si>
    <t>Tanques de Almacenamiento:</t>
  </si>
  <si>
    <t>Pérdidas por Flasheo No Controladas</t>
  </si>
  <si>
    <t>Específico para China</t>
  </si>
  <si>
    <t>(Nm3/m3 líquido recibido)</t>
  </si>
  <si>
    <t>Condensado</t>
  </si>
  <si>
    <t>Agua de Producción</t>
  </si>
  <si>
    <t>Venteos de Anulares de Pozos de Petróleo:</t>
  </si>
  <si>
    <t>Tipo de Pozo</t>
  </si>
  <si>
    <t>Pérdidas de CH4 por Flasheo No Controladas</t>
  </si>
  <si>
    <t>(Nm3 / m3 líquido producido)</t>
  </si>
  <si>
    <t>Crudo Pesado Frío (Activo)</t>
  </si>
  <si>
    <t>Crudo Pesado Frío (Inactivo)</t>
  </si>
  <si>
    <t>Crudo Pesado Térmico</t>
  </si>
  <si>
    <t>Venteos de Anulares de Pozos:</t>
  </si>
  <si>
    <t>(Nm3/d/pozo)</t>
  </si>
  <si>
    <t>Gas de Baja Presión</t>
  </si>
  <si>
    <t>Pozos de Crudo Convencionales</t>
  </si>
  <si>
    <t>Bitumen (Activo)</t>
  </si>
  <si>
    <t>Bitumen (Suspendido)</t>
  </si>
  <si>
    <t>Purgas de Recipientes</t>
  </si>
  <si>
    <t>Arranques de Compresor</t>
  </si>
  <si>
    <t>Purgas de Compresor</t>
  </si>
  <si>
    <t>Rehabilitación de Pozo de Gas (Mantenimiento a Tubing)</t>
  </si>
  <si>
    <t>Rehabilitación de Pozo de Petróleo (Mantenimiento a Tubing)</t>
  </si>
  <si>
    <t>Purgas de Líneas de Gas Recolectado</t>
  </si>
  <si>
    <t>Terminación de Pozo de Gas Costa Afuera</t>
  </si>
  <si>
    <t>Mantenimiento de Estación de Bombeo de Crudo</t>
  </si>
  <si>
    <t>Descarga de Válvula de Alivio</t>
  </si>
  <si>
    <t>Accidentes en Líneas de Recolección de Gas (Ruptura por Impacto)</t>
  </si>
  <si>
    <t>Paro de Emergencia Costa Afuera</t>
  </si>
  <si>
    <t>Actividades No Rutinarias</t>
  </si>
  <si>
    <t>Purgas de Estación de Compresión de Gas</t>
  </si>
  <si>
    <t>Ciclos de PRV</t>
  </si>
  <si>
    <t>Activación de ESD</t>
  </si>
  <si>
    <t>Purgas de Estaciones de Medición y Regulación</t>
  </si>
  <si>
    <t>Misceláneos</t>
  </si>
  <si>
    <t>Venteo y Purga de Líneas de Gas</t>
  </si>
  <si>
    <t>Venteo de Estación de Almacenamiento de Gas</t>
  </si>
  <si>
    <t>Mantenimiento de Estación de Medición y Regulación</t>
  </si>
  <si>
    <t>Venteos de Odorizador y Muestreo de Gas</t>
  </si>
  <si>
    <t xml:space="preserve">Purgas de Líneas de Gas </t>
  </si>
  <si>
    <t>Accidentes en Líneas de Gas (Ruptura por Impacto)</t>
  </si>
  <si>
    <t>Importante: se suponen valores resaltados en rojo</t>
  </si>
  <si>
    <t>Resumen de relación de equipo de instalaciones de producción y proceso.</t>
  </si>
  <si>
    <t>Cero</t>
  </si>
  <si>
    <t>Unidad o Área de Proceso</t>
  </si>
  <si>
    <t>Número de Fuentes de Emisión Asociadas con el Proceso</t>
  </si>
  <si>
    <t>Recipiente</t>
  </si>
  <si>
    <t>Referencia Primaria</t>
  </si>
  <si>
    <t>Campo</t>
  </si>
  <si>
    <t>Sistema de Purga de Unidad</t>
  </si>
  <si>
    <t>Drenes de Proceso</t>
  </si>
  <si>
    <t>Servicio de Hidrocarburos Gaseosos</t>
  </si>
  <si>
    <t>Servicio de Hidrocarburos Líquidos</t>
  </si>
  <si>
    <t>Válvulas de Bloqueo</t>
  </si>
  <si>
    <t>Válvulas de Control</t>
  </si>
  <si>
    <t>Conector</t>
  </si>
  <si>
    <t>Regulador</t>
  </si>
  <si>
    <t>Sello de Compresor (Reciprocante)</t>
  </si>
  <si>
    <t>Sello de Compresor (Centrífugo)</t>
  </si>
  <si>
    <t>Venteo de Cárter (Compresor Reciprocante)</t>
  </si>
  <si>
    <t>Medidor de Flujo (Orificio)</t>
  </si>
  <si>
    <t>Medidor de Flujo (Otro)</t>
  </si>
  <si>
    <t>Controladores de Instrumentos</t>
  </si>
  <si>
    <t>Válvula</t>
  </si>
  <si>
    <t>Biblioteca Química</t>
  </si>
  <si>
    <t>Sustancia</t>
  </si>
  <si>
    <t>Densidad de Gas a Condiciones Estándar</t>
  </si>
  <si>
    <t>Densidad de Líquido</t>
  </si>
  <si>
    <t>Calor Específico (Cp)</t>
  </si>
  <si>
    <t>Poder Calorífico Superior</t>
  </si>
  <si>
    <t>Composición (Átomos/Molécula)</t>
  </si>
  <si>
    <t>Nombre</t>
  </si>
  <si>
    <t>Fórmula</t>
  </si>
  <si>
    <t>A 15°C</t>
  </si>
  <si>
    <t>A T estándar</t>
  </si>
  <si>
    <t>Gas Ideal</t>
  </si>
  <si>
    <t>Líquido</t>
  </si>
  <si>
    <t>(kJ/kg°C)</t>
  </si>
  <si>
    <t>Metano</t>
  </si>
  <si>
    <t>Etano</t>
  </si>
  <si>
    <t>Propano</t>
  </si>
  <si>
    <t>Isobutano</t>
  </si>
  <si>
    <t>n-Butano</t>
  </si>
  <si>
    <t>Isopentano</t>
  </si>
  <si>
    <t>n-Pentano</t>
  </si>
  <si>
    <t>Hexano</t>
  </si>
  <si>
    <t>Heptano</t>
  </si>
  <si>
    <t>Octano</t>
  </si>
  <si>
    <t>Nonano</t>
  </si>
  <si>
    <t>Decano</t>
  </si>
  <si>
    <t>Sulfuro de Hidrógeno</t>
  </si>
  <si>
    <t>Dióxido de Carbono</t>
  </si>
  <si>
    <t>Nitrógeno</t>
  </si>
  <si>
    <t>Agua</t>
  </si>
  <si>
    <t>Dióxido de Azufre</t>
  </si>
  <si>
    <t>Oxígeno</t>
  </si>
  <si>
    <t>Constantes Misceláneas</t>
  </si>
  <si>
    <t>Temperatura Estándar</t>
  </si>
  <si>
    <t>Presión Estándar</t>
  </si>
  <si>
    <t>Volumen Estándar</t>
  </si>
  <si>
    <t>Constante de los Gases</t>
  </si>
  <si>
    <r>
      <t>m3kPakmol</t>
    </r>
    <r>
      <rPr>
        <vertAlign val="superscript"/>
        <sz val="11"/>
        <color rgb="FF000000"/>
        <rFont val="Calibri"/>
        <family val="2"/>
        <scheme val="minor"/>
      </rPr>
      <t>-1</t>
    </r>
    <r>
      <rPr>
        <sz val="11"/>
        <color rgb="FF000000"/>
        <rFont val="Calibri"/>
        <family val="2"/>
        <scheme val="minor"/>
      </rPr>
      <t>K</t>
    </r>
    <r>
      <rPr>
        <vertAlign val="superscript"/>
        <sz val="11"/>
        <color rgb="FF000000"/>
        <rFont val="Calibri"/>
        <family val="2"/>
        <scheme val="minor"/>
      </rPr>
      <t>-1</t>
    </r>
  </si>
  <si>
    <t>Tabla de Consulta de Factor de Conversión</t>
  </si>
  <si>
    <t>De</t>
  </si>
  <si>
    <t>Para</t>
  </si>
  <si>
    <t>Tabla de Consulta de Factor de Control</t>
  </si>
  <si>
    <t>Tipo de Equipo</t>
  </si>
  <si>
    <t>Eficiencia de Control</t>
  </si>
  <si>
    <t>Ventilación del cárter del compresor</t>
  </si>
  <si>
    <t>Sellos de compresor</t>
  </si>
  <si>
    <t>Dispositivos de alivio de presión</t>
  </si>
  <si>
    <t>Zapatillas</t>
  </si>
  <si>
    <t>Sistema de ventilación cerrada</t>
  </si>
  <si>
    <t>Ninguna</t>
  </si>
  <si>
    <t>Sellos mecánicos dobles con sistema de fluido de barrera</t>
  </si>
  <si>
    <t>Soldados Juntos</t>
  </si>
  <si>
    <t>Válvula ciega, tapa, tapón o segunda</t>
  </si>
  <si>
    <t>Conjunto de disco de ruptura</t>
  </si>
  <si>
    <t>Diseño sin sello</t>
  </si>
  <si>
    <t>Tabla de Consulta de Tipo de Instalación</t>
  </si>
  <si>
    <t>Producción</t>
  </si>
  <si>
    <t>Proceso de Gas</t>
  </si>
  <si>
    <t>Transporte de Gas</t>
  </si>
  <si>
    <t>Almacenamiento de Gas</t>
  </si>
  <si>
    <t>Distribución de Gas</t>
  </si>
  <si>
    <t>Mensajes de Error</t>
  </si>
  <si>
    <t>Código de Error</t>
  </si>
  <si>
    <t>Mensaje de Error (Activo)</t>
  </si>
  <si>
    <t>Mensaje de Error</t>
  </si>
  <si>
    <t>Error: Este campo debe ser completado.</t>
  </si>
  <si>
    <t>Error: se debe completar el campo Tipo o Fuente de valor.</t>
  </si>
  <si>
    <t>Error: tipo de proceso inválido o indefinido para el segmento de industria especificado.</t>
  </si>
  <si>
    <t>Error: la suma de los valores ingresados no debe exceder el 100%.</t>
  </si>
  <si>
    <t>Error: es necesario establecer la fuente de los valores de composición.</t>
  </si>
  <si>
    <t>Lista</t>
  </si>
  <si>
    <t>Opciones Válidas (Activas)</t>
  </si>
  <si>
    <t>Opciones Válidas</t>
  </si>
  <si>
    <t>Tipos de deshidratadores</t>
  </si>
  <si>
    <t>Suministro neumático de gas</t>
  </si>
  <si>
    <t>Aire comprimido</t>
  </si>
  <si>
    <t>Hidrocarburo Líquido</t>
  </si>
  <si>
    <t>Ligero</t>
  </si>
  <si>
    <t>Medio</t>
  </si>
  <si>
    <t>Pesado</t>
  </si>
  <si>
    <t>Muy Pesado</t>
  </si>
  <si>
    <t>Fuente de cantidad</t>
  </si>
  <si>
    <t>Juicio de Ingeniería</t>
  </si>
  <si>
    <t>Calculado</t>
  </si>
  <si>
    <t>Medido</t>
  </si>
  <si>
    <t>Fuente de Propiedad</t>
  </si>
  <si>
    <t>Combustibles sólidos</t>
  </si>
  <si>
    <t>Combustibles Líquidos</t>
  </si>
  <si>
    <t>Combustibles gaseosos</t>
  </si>
  <si>
    <t>Idioma</t>
  </si>
  <si>
    <t>Estimación de Volúmenes de Gas a la Atmósfera por Eventos de Purga</t>
  </si>
  <si>
    <t>m3 a Condiciones Estándar</t>
  </si>
  <si>
    <t>Volumen físico interno de equipo o sistema a despresurizar</t>
  </si>
  <si>
    <t>Presión atmosférica local.</t>
  </si>
  <si>
    <t>Eventos de purga:</t>
  </si>
  <si>
    <t>Presión inicial del sistema.</t>
  </si>
  <si>
    <t>Presión final del sistema.</t>
  </si>
  <si>
    <t>Temperatura inicial del sistema</t>
  </si>
  <si>
    <t>Temperatura final del sistema</t>
  </si>
  <si>
    <t>Adimensional (Vea Hoja "Factores de Compresibilidad")</t>
  </si>
  <si>
    <t>Factor de compresibilidad del gas a condiciones iniciales.</t>
  </si>
  <si>
    <t>Factor de compresibilidad del gas a condiciones finales.</t>
  </si>
  <si>
    <t>Volumen de gas venteado en evento de purga.</t>
  </si>
  <si>
    <t>Volumen de gas purgado de unidad de proceso o sistema de tubería despresurizado.</t>
  </si>
  <si>
    <t>Cálculo de Consumo de Gas por Bombas de Inyeccíón de Químicos Neumáticas</t>
  </si>
  <si>
    <t>Emisiones por venteo neumático de sustancia i y bomba j (t/año)</t>
  </si>
  <si>
    <t>(Litros/año)</t>
  </si>
  <si>
    <t>Volumen anual de químicos líquidos inyectados por la bomba (litros/año)</t>
  </si>
  <si>
    <t>Densidad de CH4 a condiciones estándar de 101.325 kPa y 15°C.</t>
  </si>
  <si>
    <t>(fracción molar)</t>
  </si>
  <si>
    <t>Fracción molar de CH4 en gas venteado</t>
  </si>
  <si>
    <t>(t/kg)</t>
  </si>
  <si>
    <t>Factor de conversión (t/kg)</t>
  </si>
  <si>
    <t>Adimensional</t>
  </si>
  <si>
    <t>Factor de control de emisión (valor adimensional fraccionario entre cero y 1.0)</t>
  </si>
  <si>
    <t>(sm3/Litro/bomba)</t>
  </si>
  <si>
    <t>Bomba neumática a gas natural, j, tasa volumétrica (sm3/litro/bomba) determinada mediante la siguiente correlación y coeficientes de Tabla 22 (derivados de especificaciones de fabricante)</t>
  </si>
  <si>
    <t>Presión de Inyección de Químicos (kPag)</t>
  </si>
  <si>
    <t>Coeficiente P2 de fabricante en tabla siguiente.</t>
  </si>
  <si>
    <t>Coeficiente P1 de fabricante en tabla siguiente.</t>
  </si>
  <si>
    <t>Coeficiente P0 de fabricante en tabla siguiente.</t>
  </si>
  <si>
    <t>Coeficientes de venteo de bomba neumática derivados de especificaciones de fabricante para modelos seleccionados</t>
  </si>
  <si>
    <t>Fabricante</t>
  </si>
  <si>
    <t>Modelo</t>
  </si>
  <si>
    <t>Diámetro de émbolo (pulg.)</t>
  </si>
  <si>
    <t>Carrera (pulg.)</t>
  </si>
  <si>
    <t>Coeficiente P2</t>
  </si>
  <si>
    <t>Coeficiente P1</t>
  </si>
  <si>
    <t>Coeficiente P0</t>
  </si>
  <si>
    <t>Suministro a 30 psi</t>
  </si>
  <si>
    <t>Suministro a 50 psi</t>
  </si>
  <si>
    <t xml:space="preserve">Sello de Hule/PFTE </t>
  </si>
  <si>
    <t>0.02cc odorante/carrera</t>
  </si>
  <si>
    <t>0.04cc odorante/carrera</t>
  </si>
  <si>
    <t>0.06cc odorante/carrera</t>
  </si>
  <si>
    <t>0.08cc odorante/carrera</t>
  </si>
  <si>
    <t>0.10cc odorante/carrera</t>
  </si>
  <si>
    <t>Composición de Corriente Gaseosa de Entrada:</t>
  </si>
  <si>
    <t>Componente</t>
  </si>
  <si>
    <t>Proceso</t>
  </si>
  <si>
    <t>Propiedades Calculadas de Corriente de Gas Especificada:</t>
  </si>
  <si>
    <t>Peso Molecular:</t>
  </si>
  <si>
    <t>Factores de compresibilidad para "Gas Natural Rico Procesado" a varias temperaturas y presiones1.</t>
  </si>
  <si>
    <t>Presión</t>
  </si>
  <si>
    <t>Absoluta</t>
  </si>
  <si>
    <t>(adimensional)</t>
  </si>
  <si>
    <t>Valores calculados utilizando la ecuación de estado de Peng y Robinson (1976) para la siguiente mezcla (% mol): 88.41% C1, 7.45% C2, 1.91% C3, 0.17% iC4, 0.24% nC4, 0.06% iC5, 0.04% nC5, 0.10% nC6+, 0.72% N2 y 0.90% CO2.</t>
  </si>
  <si>
    <t>Factores de compresibilidad para "Mezcla Típica de Gas Natural Procesado 1" a varias temperaturas y presiones1.</t>
  </si>
  <si>
    <t>Absoluto</t>
  </si>
  <si>
    <t>Valores calculados utilizando la ecuación de estado de Peng y Robinson (1976) para la siguiente mezcla (% mol): 92.8693% C1, 4.0556% C2, 1.1112% C3, 0.1601% iC4, 0.2180% nC4, 0.0496% iC5, 0.0389% nC5, 0.0225% nC6+, 0.8291% N2 y 0.6334% CO2</t>
  </si>
  <si>
    <t>Factores de compresibilidad para "Mezcla Típica de Gas Natural Procesado 2" a varias temperaturas y presiones1.</t>
  </si>
  <si>
    <t>Valores calculados utilizando la ecuación de estado de Peng y Robinson (1976) para la siguiente mezcla (% mol): 95.213% C1, 2.4306% C2, 0.1374% C3, 0.0043% iC4, 0.0043% nC4, 0.0013% iC5, 0.0010% nC5, 0.0012% nC6+, 1.6519% N2 y 0.5552% CO2.</t>
  </si>
  <si>
    <t>Hoja</t>
  </si>
  <si>
    <t>Hoja No.</t>
  </si>
  <si>
    <t>Tabla/Bloque</t>
  </si>
  <si>
    <t>No. Tabla/Bloque</t>
  </si>
  <si>
    <t>Fila</t>
  </si>
  <si>
    <t>Activo</t>
  </si>
  <si>
    <t>Inglés</t>
  </si>
  <si>
    <t>Chino</t>
  </si>
  <si>
    <t>Spanish (Colombia)</t>
  </si>
  <si>
    <t>西班牙語（哥倫比亞）</t>
  </si>
  <si>
    <t>Which language would you like to pick?</t>
  </si>
  <si>
    <t>Español (Colombia)</t>
  </si>
  <si>
    <t>“bbl”到“m3”</t>
  </si>
  <si>
    <t>“lb CH4”到“m3 CH4”</t>
  </si>
  <si>
    <t>“磅”到“公斤”</t>
  </si>
  <si>
    <t>“m3/hr/device”到“m3/d/device”</t>
  </si>
  <si>
    <t>“英里”到“公里”</t>
  </si>
  <si>
    <t>“scf”到“m3”</t>
  </si>
  <si>
    <t>“scf/106 scf 气体处理”到“m3/106 m3 气体处理”</t>
  </si>
  <si>
    <t>“scf/活动”到“m3/活动”</t>
  </si>
  <si>
    <t>“scf/activity-day”到“m3/activity-day”</t>
  </si>
  <si>
    <t>“scf/d/device”到“m3/d/device”</t>
  </si>
  <si>
    <t>“scf/y/pipeline-mile”到“m3/y/pipeline-km”</t>
  </si>
  <si>
    <t>“scf/y/source”到“m3/y/source”</t>
  </si>
  <si>
    <t>“吨”到“吨”</t>
  </si>
  <si>
    <t>“吨 CH4/1000 桶液体”至“m3 CH4/m3 液体”</t>
  </si>
  <si>
    <t>"吨 CH4/bbl 液体" 到 "m3 CH4/m3 液体"</t>
  </si>
  <si>
    <t>“吨 CH4/d/源”至“m3 CH4/d/源”</t>
  </si>
  <si>
    <t>"吨 CH4/m3 液体" 至 "m3 CH4/m3 液体"</t>
  </si>
  <si>
    <t>没有</t>
  </si>
  <si>
    <t>m3</t>
  </si>
  <si>
    <t>m3 CH4</t>
  </si>
  <si>
    <t>tonnes CH4</t>
  </si>
  <si>
    <t>m3/d/device</t>
  </si>
  <si>
    <t>m3/106 m3 gas processed</t>
  </si>
  <si>
    <t>m3/activity</t>
  </si>
  <si>
    <t>m3/activity-day</t>
  </si>
  <si>
    <t>m3/y/source</t>
  </si>
  <si>
    <t>m3 CH4/m3 of Liquid</t>
  </si>
  <si>
    <t>m3 CH4/d/source</t>
  </si>
  <si>
    <t>toneladas de CH4</t>
  </si>
  <si>
    <t>toneladas CH4/año</t>
  </si>
  <si>
    <t>m3/d/aparato</t>
  </si>
  <si>
    <t>m3/106 m3 gas procesado</t>
  </si>
  <si>
    <t>m3/actividad</t>
  </si>
  <si>
    <t>m3/actividad-día</t>
  </si>
  <si>
    <t>tonelada</t>
  </si>
  <si>
    <t>m3 CH4/m3 de Líquido</t>
  </si>
  <si>
    <t>m3 CH4/d/fuente</t>
  </si>
  <si>
    <t>立方米</t>
  </si>
  <si>
    <t>立方米 CH4</t>
  </si>
  <si>
    <t>公斤</t>
  </si>
  <si>
    <t>吨 CH4</t>
  </si>
  <si>
    <t>吨 CH4/年</t>
  </si>
  <si>
    <t>m3/d/设备</t>
  </si>
  <si>
    <t>公里</t>
  </si>
  <si>
    <t>m3/106 m3 气体处理</t>
  </si>
  <si>
    <t>立方米/活动</t>
  </si>
  <si>
    <t>立方米/活动日</t>
  </si>
  <si>
    <t>scf/y/管道公里</t>
  </si>
  <si>
    <t>立方米/年/来源</t>
  </si>
  <si>
    <t>m3 CH4/m3 液体</t>
  </si>
  <si>
    <t>m3 CH4/d/源</t>
  </si>
  <si>
    <t>de "bbl" a "m3"</t>
  </si>
  <si>
    <t>de "lb CH4" a "m3 CH4"</t>
  </si>
  <si>
    <t>de "lb" a "kg"</t>
  </si>
  <si>
    <t>de "m3 CH4" a "toneladas CH4"</t>
  </si>
  <si>
    <t>de "m3/h/dispositivo" a "m3/d/dispositivo"</t>
  </si>
  <si>
    <t>de "milla" a "km"</t>
  </si>
  <si>
    <t>de "scf" a "m3"</t>
  </si>
  <si>
    <t>de "scf/106 scf gas procesado" a "m3/106 m3 gas procesado"</t>
  </si>
  <si>
    <t>de "scf/actividad" a "m3/actividad"</t>
  </si>
  <si>
    <t>de "scf/actividad-día" a "m3/actividad-día"</t>
  </si>
  <si>
    <t>de "scf/d/dispositivo" a "m3/d/dispositivo"</t>
  </si>
  <si>
    <t>de "tonelada" a "toneladas"</t>
  </si>
  <si>
    <t>de "toneladas CH4/1000 bbl de líquido" a "m3 CH4/m3 de líquido"</t>
  </si>
  <si>
    <t>de "toneladas CH4/bbl de líquido" a "m3 CH4/m3 de líquido"</t>
  </si>
  <si>
    <t>de "toneladas CH4/d/fuente" a "m3 CH4/d/fuente"</t>
  </si>
  <si>
    <t>de "toneladas CH4/m3 de Líquido" a "m3 CH4/m3 de Líquido"</t>
  </si>
  <si>
    <t>Nada</t>
  </si>
  <si>
    <t>de "m3 CH4/d" a "toneladas CH4/año"</t>
  </si>
  <si>
    <t>scf/año/tubería-km</t>
  </si>
  <si>
    <t>de "scf/año/tubería-milla" a "m3/año/tubería-km"</t>
  </si>
  <si>
    <t>de "scf/año/fuente" a "m3/año/fuente"</t>
  </si>
  <si>
    <t>m3/año/fuente</t>
  </si>
  <si>
    <t>lb CH4</t>
  </si>
  <si>
    <t>m3/hr/device</t>
  </si>
  <si>
    <t>scf/106 scf gas processed</t>
  </si>
  <si>
    <t>tonnes CH4/1000 bbl of Liquid</t>
  </si>
  <si>
    <t>tonnes CH4/bbl of Liquid</t>
  </si>
  <si>
    <t>tonnes CH4/d/source</t>
  </si>
  <si>
    <t>tonnes CH4/m3 of Liquid</t>
  </si>
  <si>
    <t>m3/h/dispositivo</t>
  </si>
  <si>
    <t>milla</t>
  </si>
  <si>
    <t>scf/106 scf gas procesado</t>
  </si>
  <si>
    <t>scf/actividad</t>
  </si>
  <si>
    <t>scf/actividad-día</t>
  </si>
  <si>
    <t>scf/d/dispositivo</t>
  </si>
  <si>
    <t>scf/año/tubería-milla</t>
  </si>
  <si>
    <t>scf/año/fuente</t>
  </si>
  <si>
    <t>toneladas CH4/1000 bbl de líquido</t>
  </si>
  <si>
    <t>toneladas CH4/bbl de líquido</t>
  </si>
  <si>
    <t>toneladas CH4/d/fuente</t>
  </si>
  <si>
    <t>toneladas CH4/m3 de Líquido</t>
  </si>
  <si>
    <t>气泡</t>
  </si>
  <si>
    <t>磅 CH4</t>
  </si>
  <si>
    <t>磅</t>
  </si>
  <si>
    <t>立方米 CH4/d</t>
  </si>
  <si>
    <t>立方米/小时/设备</t>
  </si>
  <si>
    <t>英里</t>
  </si>
  <si>
    <t>scf/106 scf 气体处理</t>
  </si>
  <si>
    <t>scf/活动</t>
  </si>
  <si>
    <t>scf/活动日</t>
  </si>
  <si>
    <t>scf/d/设备</t>
  </si>
  <si>
    <t>scf/y/管道英里</t>
  </si>
  <si>
    <t>scf/y/来源</t>
  </si>
  <si>
    <t>吨</t>
  </si>
  <si>
    <t>吨 CH4/1000 桶液体</t>
  </si>
  <si>
    <t>吨 CH4/桶液体</t>
  </si>
  <si>
    <t>吨 CH4/d/源</t>
  </si>
  <si>
    <t>吨 CH4/m3 液体</t>
  </si>
  <si>
    <t>”m3 CH4" 到 "吨 CH4”</t>
  </si>
  <si>
    <t>”m3 CH4/d" 到 "吨 CH4/y”</t>
  </si>
  <si>
    <t>Emissions Measurement Results (Where Available)</t>
  </si>
  <si>
    <t>Comment</t>
  </si>
  <si>
    <t>Emissions From Detected Leaks</t>
  </si>
  <si>
    <t>Casinghead Venting</t>
  </si>
  <si>
    <t>价值</t>
  </si>
  <si>
    <t>评论</t>
  </si>
  <si>
    <t>检测到的泄漏产生的排放</t>
  </si>
  <si>
    <t>通过气动控制器排气</t>
  </si>
  <si>
    <t>通过气动化学喷射泵排气</t>
  </si>
  <si>
    <t>套管头通风</t>
  </si>
  <si>
    <t>Unidades de medida</t>
  </si>
  <si>
    <t>Comentario</t>
  </si>
  <si>
    <t>Emisiones de fugas detectadas</t>
  </si>
  <si>
    <t>Venteo por Controladores Penumático</t>
  </si>
  <si>
    <t>Ventilación de la cabeza de caja</t>
  </si>
  <si>
    <t>Nm3/h</t>
  </si>
  <si>
    <t>Nm3/d</t>
  </si>
  <si>
    <t>Storage Losses</t>
  </si>
  <si>
    <t>Pérdidas de almacenamiento</t>
  </si>
  <si>
    <t>存储损失</t>
  </si>
  <si>
    <t>Casinghead Vent Gas</t>
  </si>
  <si>
    <t>套管头排放气体</t>
  </si>
  <si>
    <t>Gas de ventilación de la cabeza de caja</t>
  </si>
  <si>
    <t>API Compendium (2021) Table 5-2</t>
  </si>
  <si>
    <t>API Compendium (2021) Table 8-1</t>
  </si>
  <si>
    <t>API Compendium (2021) Table 6-16</t>
  </si>
  <si>
    <t>API Compendium (2021) Table 6-18</t>
  </si>
  <si>
    <t>API Compendium (2021) Table 6-17</t>
  </si>
  <si>
    <t>API Compendium (2021) Table 6-36</t>
  </si>
  <si>
    <t>API Compendium (2021) Table 6-22</t>
  </si>
  <si>
    <t>API Compendium (2021) Table 6-24</t>
  </si>
  <si>
    <t>API Compendium (2021) Table 6-26</t>
  </si>
  <si>
    <t>API Compendium (2021) Table 6-12</t>
  </si>
  <si>
    <t>API Compendium (2021) Table 6-13</t>
  </si>
  <si>
    <t>API Compendium (2021) Table 6-14</t>
  </si>
  <si>
    <t>API Compendium (2021) Table 6-15</t>
  </si>
  <si>
    <t>API Compendium (2021) Table 6-9</t>
  </si>
  <si>
    <t>API Compendium (2021) Table 6-32</t>
  </si>
  <si>
    <t>API Compendium (2021) Table 6-6</t>
  </si>
  <si>
    <t>API Compendium (2021) Table 6-28</t>
  </si>
  <si>
    <t>API Compendium (2021) Table 6-39</t>
  </si>
  <si>
    <t>API Compendium (2021) Table 6-43</t>
  </si>
  <si>
    <t>API Compendium (2021) Table 6-33</t>
  </si>
  <si>
    <t>API Compendium (2021) Table 6-46</t>
  </si>
  <si>
    <t>API Compendium (2021) Table 6-35</t>
  </si>
  <si>
    <t>API Compendium (2021) Table 6-19</t>
  </si>
  <si>
    <t>API Compendium (2021) Table C-6</t>
  </si>
  <si>
    <t>API Compendium (2021) Table C-5</t>
  </si>
  <si>
    <t>Bituminosa</t>
  </si>
  <si>
    <t>API Compendium (2021) Table 3-8</t>
  </si>
  <si>
    <t>Propane (liquid)</t>
  </si>
  <si>
    <t>丙烷（液體）</t>
  </si>
  <si>
    <t>Propano (líquido)</t>
  </si>
  <si>
    <t>Type Unknown</t>
  </si>
  <si>
    <t>类型未知</t>
  </si>
  <si>
    <t>Tipo desconocida
Tipo descononcida</t>
  </si>
  <si>
    <t>连续出血</t>
  </si>
  <si>
    <t>活塞阀操作员</t>
  </si>
  <si>
    <t>Operadora de válvula de pistón</t>
  </si>
  <si>
    <t>气动/液压阀门操作器</t>
  </si>
  <si>
    <t>Operador de válvula neumática/hidráulica</t>
  </si>
  <si>
    <t>涡轮阀门操作员</t>
  </si>
  <si>
    <t>Operadora de válvula de turbina</t>
  </si>
  <si>
    <t>Continuous Vent</t>
  </si>
  <si>
    <t>連續排氣</t>
  </si>
  <si>
    <t>Ventilación continua</t>
  </si>
  <si>
    <t>Intermittent Vent</t>
  </si>
  <si>
    <t>間歇性排氣</t>
  </si>
  <si>
    <t>Ventilación intermitente</t>
  </si>
  <si>
    <t>類型未知</t>
  </si>
  <si>
    <t>Sangrado continuo</t>
  </si>
  <si>
    <t>API Compendium (2021)</t>
  </si>
  <si>
    <t>scf/d/pump</t>
  </si>
  <si>
    <t xml:space="preserve">Piston pumps </t>
  </si>
  <si>
    <t xml:space="preserve">活塞泵 </t>
  </si>
  <si>
    <t xml:space="preserve">Bombas de Pistón </t>
  </si>
  <si>
    <t xml:space="preserve">Diaphragm pumps </t>
  </si>
  <si>
    <t>隔膜泵</t>
  </si>
  <si>
    <t xml:space="preserve">Bombas de Diafragma </t>
  </si>
  <si>
    <t xml:space="preserve">隔膜泵 </t>
  </si>
  <si>
    <t xml:space="preserve">Bombas de Diagragma </t>
  </si>
  <si>
    <t>Diaphragm pumps</t>
  </si>
  <si>
    <t>平均泵（如果类型未知）</t>
  </si>
  <si>
    <t>原油 (不受控制)</t>
  </si>
  <si>
    <t>Petróleo Crudo (sin control)</t>
  </si>
  <si>
    <t>原油 (没有控制的大坦克)</t>
  </si>
  <si>
    <t>Petróleo Crudo (tanque grande sin control)</t>
  </si>
  <si>
    <t>原油（带 VRU 的大罐）</t>
  </si>
  <si>
    <t>Petróleo crudo (tanque grande con VRU)</t>
  </si>
  <si>
    <t>原油（带火炬的大油箱)</t>
  </si>
  <si>
    <t>Petróleo crudo (tanque grande con bengalas)</t>
  </si>
  <si>
    <t>原油（无控制小罐）</t>
  </si>
  <si>
    <t>Petróleo Crudo (pequeño tanque sin control)</t>
  </si>
  <si>
    <t>原油（带火炬的小罐）</t>
  </si>
  <si>
    <t>Petróleo crudo (pequeño tanque con bengalas)</t>
  </si>
  <si>
    <t>凝析油 (没有控制的大坦克)</t>
  </si>
  <si>
    <t>Condensado (tanque grande sin control)</t>
  </si>
  <si>
    <t>凝析油（带 VRU 的大罐)</t>
  </si>
  <si>
    <t>Condensado (tanque grande con VRU)</t>
  </si>
  <si>
    <t>凝析油（带火炬的大油箱)</t>
  </si>
  <si>
    <t>Condensado (tanque grande con bengalas)</t>
  </si>
  <si>
    <t>凝析油（无控制小罐）</t>
  </si>
  <si>
    <t>Condensado (pequeño tanque sin bengalas)</t>
  </si>
  <si>
    <t>凝析油（带火炬的小罐）</t>
  </si>
  <si>
    <t>Condensado (pequeño tanque con bengalas)</t>
  </si>
  <si>
    <t xml:space="preserve">凝析油 (不受控制)
</t>
  </si>
  <si>
    <t>Condensado (sin control)</t>
  </si>
  <si>
    <t>API Compendium (2021) Page 6-31</t>
  </si>
  <si>
    <t>Blowdown venting</t>
  </si>
  <si>
    <t>排污通风</t>
  </si>
  <si>
    <t>Ventilación de purga</t>
  </si>
  <si>
    <t xml:space="preserve">Compressors: </t>
  </si>
  <si>
    <t>壓縮機類型</t>
  </si>
  <si>
    <t>Tipo de compresor</t>
  </si>
  <si>
    <t>不受控制的排放因子</t>
  </si>
  <si>
    <t>Factor de emisión no controlado</t>
  </si>
  <si>
    <t>(Nm3/d/壓縮機)</t>
  </si>
  <si>
    <t>(Nm3/d/compresor)</t>
  </si>
  <si>
    <t>Reciprocating Compressor</t>
  </si>
  <si>
    <t>往復式壓縮機</t>
  </si>
  <si>
    <t>Compresor alternativo</t>
  </si>
  <si>
    <t>Rod packing</t>
  </si>
  <si>
    <t>棒材盤根</t>
  </si>
  <si>
    <t>Empaquetadura de varilla</t>
  </si>
  <si>
    <t>Centrifugal Compressor (Wet Seal)</t>
  </si>
  <si>
    <t>離心式壓縮機（濕密封）</t>
  </si>
  <si>
    <t>Compresor Centrífugo (sello húmedo)</t>
  </si>
  <si>
    <t>Centrifugal Compressor (Dry Seal)</t>
  </si>
  <si>
    <t>離心式壓縮機（乾式密封）</t>
  </si>
  <si>
    <t>Compresor Centrífugo (Sello Seco</t>
  </si>
  <si>
    <t>Reciprocating Compressor Rod Packing (Operating Mode)</t>
  </si>
  <si>
    <t>往復式壓縮機桿填料（運行模式）</t>
  </si>
  <si>
    <t>Empaquetadura de la varilla del compresor alternativo (modo de funcionamiento)</t>
  </si>
  <si>
    <t>Reciprocating Compressor Rod Packing (Standby Mode)</t>
  </si>
  <si>
    <t>往復式壓縮機桿填料（待機模式）</t>
  </si>
  <si>
    <t>Empaquetadura de la varilla del compresor alternativo (modo de espera)</t>
  </si>
  <si>
    <t>Reciprocating Compressor Rod Packing (Average)</t>
  </si>
  <si>
    <t>往復式壓縮機桿填料（平均）</t>
  </si>
  <si>
    <t>Empaque de la varilla del compresor alternativo (promedio)</t>
  </si>
  <si>
    <t>Summary of the equipment schedules production and processing facilities.</t>
  </si>
  <si>
    <t>tonnes CH4/compressor-day</t>
  </si>
  <si>
    <t>EFs - Other'!c7,'EFs - Other'!c8,'EFs - Other'!c9,'EFs - Other'!c10,'EFs - Other'!c11,'EFs - Other'!c12</t>
  </si>
  <si>
    <t>Introduction:</t>
  </si>
  <si>
    <t>The tool can be used to assess GHG emissions for a specific oil or natural gas facility (e.g., for environmental reporting purposes or as a check of the results determined using other methodologies). Alternatively, the tool may be used to estimate emissions for an “average” facility of a specified type. In these cases, it may be reasonable to multiple the “average facility” results by the total count of all facilities of the specified type to estimate their combined GHG emissions contribution.</t>
  </si>
  <si>
    <t>Language Options:</t>
  </si>
  <si>
    <t>This tool currently supports English, Mandarin Chinese and Spanish. The language of choice may be selected using the selection feature presented at the top of this worksheet.</t>
  </si>
  <si>
    <t>Navigation and Colour Coding Rules:</t>
  </si>
  <si>
    <t>All cells that either require user input information or contain information that the user may change are highlighted in yellow. All other cells are password protected to prevent calculation formulas from being inadvertently corrupted or erased, and to prevent critical information from being overwritten.</t>
  </si>
  <si>
    <t>Facility Selection and Setup</t>
  </si>
  <si>
    <t>Details of applied calculations are shown on the Calculation worksheets. The sources of the applied emission factors are documented on the EF worksheets. Default equipment component counts for the range of potential types of process packages are given on the “Equipment Schedule” worksheet. All constants and conversion factors used by the tool are presented on the “Constants” worksheet.</t>
  </si>
  <si>
    <t>The Utilities worksheets provides tools for estimating volumes of gas released from blowdown and purging events and for calculating properties of specified gas streams.</t>
  </si>
  <si>
    <t>A lookup table for natural gas compressibility factors is presented on the Compressibility Factors Worksheet.</t>
  </si>
  <si>
    <t>The Translation Table worksheet is used by the spreadsheet program for switching between languages. The Lookup Tables worksheet defines all the menu lists.</t>
  </si>
  <si>
    <t>Introduction</t>
  </si>
  <si>
    <t xml:space="preserve">This spreadsheet tool assesses atmospheric emissions of greenhouses gases (GHG) (i.e., CH4, CO2, N2O and CO2E) for a single user specified oil or natural gas facility. In addition to specifying the type of facility, the user must define the process activity levels as well as the type and amount of process infrastructure used at the facility. The spreadsheet program then uses this information to assess the annual amount of GHG emissions for the facility. A different instance of the spreadsheet needs to be created to estimate emissions for each facility of interest. </t>
  </si>
  <si>
    <t xml:space="preserve">Additional information on this spreadsheet tool is provided in the user's manual. </t>
  </si>
  <si>
    <t>Applied Assessment Methodology:</t>
  </si>
  <si>
    <t>Total GHG emissions for the facility are assessed using a bottom-up approach that determines the emissions contributions for each applicable emissions source category and then aggregates these results. The results are report by type of climate pollutant and primary source category. The applied methodology for each source category is generally based on the guidance provided in the API Compendium (2021) (Source:</t>
  </si>
  <si>
    <t>https://www.api.org/~/media/Files/Policy/ESG/GHG/2021-API-GHG-Compendium-110921.pdf).</t>
  </si>
  <si>
    <t>Introducción:</t>
  </si>
  <si>
    <t xml:space="preserve">Esta hoja de cálculo realiza estimaciones de gases de efecto invernadero (GEI) (CH4, CO2, N2O y CO2e) para una instalación individual de petróleo o gas natural especificada por el usuario. Además de especificar la instalación, el usuario debe definir los niveles de actividad de proceso, así como el tipo y cantidad de infraestructura para proceso utilizada en la instalación. El programa de hoja de cálculo utiliza dicha información para estimar las emisiones anuales de GEI para la instalación. Debe crearse una nueva hoja de cálculo para la estimación de emisiones de cada instalación de interés. </t>
  </si>
  <si>
    <t>La herramienta puede utilizarse para la estimación de emisiones de GEI de una instalación específica de petróleo y gas natural (p.ej., para propósitos de reportes ambientales o como una verificación de resultados obtenidos mediante el empleo de otras metodologías). De manera alterna, la herramienta puede emplearse para estimar las emisiones para una instalación “promedio” de cierto tipo específico. En esos casos, sería razonable multiplicar los resultados de la “instalación promedio” por el número total de instalaciones del tipo especificado para estimar sus contribuciones combinadas de emisiones de GEI.</t>
  </si>
  <si>
    <t xml:space="preserve">Puede encontrarse más información acerca de esta herramienta de hoja de cálculo en el manual de usuario. </t>
  </si>
  <si>
    <t>Opciones de Idioma:</t>
  </si>
  <si>
    <t>Esta herramienta actualmente puede utilizarse en inglés, chino mandarín y español. El idioma de elección debe indicarse utilizando la opción de selección presentada en la parte superior de esta hoja de trabajo.</t>
  </si>
  <si>
    <t>Reglas para Navegación y Código de Colores:</t>
  </si>
  <si>
    <t>Todas las celdas que requieren ya sea información introducida por el usuario o que contienen información que el usuario puede cambiar, se encuentran resaltadas en amarillo. El resto de las celdas están protegidas por una contraseña para evitar que las fórmulas para cálculo puedan ser dañadas o borradas involuntariamente, así como para evitar que se superponga información en celdas con datos críticos.</t>
  </si>
  <si>
    <t>Selección de Instalación e Inicio:</t>
  </si>
  <si>
    <t xml:space="preserve">• Definición de la instalación: en esta sección, el usuario especifica el segmento de la industria y el tipo de instalación que será analizada. Estas elecciones determinarán los factores de emisión específicos a ser utilizados por algunos tipos de fuentes tales como emisiones fugitivas en equipos. El usuario también puede introducir ciertos datos de denominación y administrativos para tener una identificación única de la instalación. </t>
  </si>
  <si>
    <t>• Niveles de Actividad de la Instalación: Esta sección captura información típica de contabilidad de producción para la instalación especificada, tal como volúmenes recibidos y destino o disposición de los productos.</t>
  </si>
  <si>
    <t xml:space="preserve">• Resultados de Medición de Emisiones (Si Disponibles): Si se han efectuado mediciones específicas en el sitio, los resultados pueden introducirse en esta sección. Si no se ingresan datos acerca de dichos resultados de medición para una cierta categoría de fuente, la hoja de cálculo estima automáticamente las contribuciones de emisiones aplicables a dicha categoría de fuente. </t>
  </si>
  <si>
    <t>• Procesos Utilizados en la Instalación: Aquí se declaran la cantidad y tipo de paquetes de proceso utilizados en la instalación. Adicionalmente, el usuario puede proporcionar ciertos datos de operación e información relacionada con dispositivos neumáticos.</t>
  </si>
  <si>
    <t>• Composiciones de Gas: La composición típica de las corrientes de gas en la instalación se especifican en esta sección. Para simplificar esta tarea, el usuario requiere únicamente introducir el contenido de CH4 y de las impurezas principales (CO2, N2 and H2S). La hoja de cálculo estima el contenido del resto de los compuestos según se requiera.</t>
  </si>
  <si>
    <t>Metodología de Estimación Aplicada:</t>
  </si>
  <si>
    <t xml:space="preserve">Las emisiones totales de GEI para la instalación se estiman utilizando un enfoque “bottom-up”, en donde se determinan las contribuciones de emisiones aplicables a cada categoría de fuente y luego se agregan dichos resultados. Los resultados se reportan por tipo de contaminante del clima y categoría primaria de fuente. La metodología aplicada para cada categoría de fuente generalmente se basa en los lineamientos indicados en el Compendio API (2021) (Fuente: </t>
  </si>
  <si>
    <t>Los detalles de los cálculos aplicados se muestran en las hojas de trabajo de cálculo. Las fuentes de los factores de emisión aplicados están documentadas en las hojas de trabajo de Factores de Emisión (FE o EF por sus siglas en inglés). Los conteos de componentes de equipo por defecto para los paquetes de proceso incluidos se proporcionan en la hoja de trabajo “Equipment Schedule”. Todas las constantes y factores de conversión empleados por la herramienta se presentan en la hoja de trabajo “Constants”.</t>
  </si>
  <si>
    <t>Las hojas de trabajo de productos (Utilities) proporcionan herramientas para la estimación de volúmenes de gas enviado a la atmósfera proveniente de eventos de purga y soplado, y para el cálculo de propiedades de corrientes de gas especificadas.</t>
  </si>
  <si>
    <t>También se presenta una tabla para compresibilidad del gas natural en la hoja de trabajo “Compressibility Factors”.</t>
  </si>
  <si>
    <t>La hoja de trabajo “Translation Table” se emplea por el programa de hoja de cálculo para cambiar el idioma de presentación. En la hoja de trabajo “Lookup Tables” se definen todas las listas de menús.</t>
  </si>
  <si>
    <t>•  Facility Definition: this section is where the user specifies the industry segment and type of facility to be assessed. These choices will determine the specific emission factors used for some source types such as fugitive equipment leaks. The user may also enter certain and administrative data to uniquely identify the facility.</t>
  </si>
  <si>
    <t>•  Facility Activity Levels: This section captures typical production accounting data for the specified facility such as receipt volumes and disposition of the produced products.</t>
  </si>
  <si>
    <t>•  Emissions Measurement Results (Where Available): If any site-specific emission measurements have been performed, then these results may be entered in this section. If no emission measurement results are entered for a given source category, then the spreadsheet automatically estimates the applicable emission contributions for that source category.</t>
  </si>
  <si>
    <r>
      <t>•  Gas Compositions: The chemical composition for the primary gas streams at the facility is specified in this section. To simplify this task, the user only needs to enter the CH</t>
    </r>
    <r>
      <rPr>
        <vertAlign val="subscript"/>
        <sz val="11"/>
        <color theme="1"/>
        <rFont val="Calibri"/>
        <family val="2"/>
        <scheme val="minor"/>
      </rPr>
      <t>4</t>
    </r>
    <r>
      <rPr>
        <sz val="11"/>
        <color theme="1"/>
        <rFont val="Calibri"/>
        <family val="2"/>
        <scheme val="minor"/>
      </rPr>
      <t xml:space="preserve"> content and content of the main impurities (i.e., CO</t>
    </r>
    <r>
      <rPr>
        <vertAlign val="subscript"/>
        <sz val="11"/>
        <color theme="1"/>
        <rFont val="Calibri"/>
        <family val="2"/>
        <scheme val="minor"/>
      </rPr>
      <t>2</t>
    </r>
    <r>
      <rPr>
        <sz val="11"/>
        <color theme="1"/>
        <rFont val="Calibri"/>
        <family val="2"/>
        <scheme val="minor"/>
      </rPr>
      <t>, N</t>
    </r>
    <r>
      <rPr>
        <vertAlign val="subscript"/>
        <sz val="11"/>
        <color theme="1"/>
        <rFont val="Calibri"/>
        <family val="2"/>
        <scheme val="minor"/>
      </rPr>
      <t>2</t>
    </r>
    <r>
      <rPr>
        <sz val="11"/>
        <color theme="1"/>
        <rFont val="Calibri"/>
        <family val="2"/>
        <scheme val="minor"/>
      </rPr>
      <t xml:space="preserve"> and H</t>
    </r>
    <r>
      <rPr>
        <vertAlign val="subscript"/>
        <sz val="11"/>
        <color theme="1"/>
        <rFont val="Calibri"/>
        <family val="2"/>
        <scheme val="minor"/>
      </rPr>
      <t>2</t>
    </r>
    <r>
      <rPr>
        <sz val="11"/>
        <color theme="1"/>
        <rFont val="Calibri"/>
        <family val="2"/>
        <scheme val="minor"/>
      </rPr>
      <t>S). The spreadsheet estimates the content of all other compounds as needed.</t>
    </r>
  </si>
  <si>
    <t>•  Processes Used at the Facility: This is where the quantity and types of process packages used at the facility are declared. Additionally, the user may provide certain operational data and information concerning pneumatic devices.</t>
  </si>
  <si>
    <t>此电子表格工具评估单个用户指定的石油或天然气设施的温室气体 (GHG)（即 CH4、CO2、N2O 和 CO2E）的大气排放。 除了指定设施的类型外，用户还必须定义过程活动级别以及设施中使用的过程基础设施的类型和数量。 然后，电子表格程序使用这些信息来评估该设施的年度温室气体排放量。 需要创建一个不同的电子表格实例来估算每个感兴趣设施的排放量。</t>
  </si>
  <si>
    <t>评估结果按主要来源类别和温室气体类型汇总在“结果 - 总排放量”工作表中。</t>
  </si>
  <si>
    <t>该工具可用于评估特定石油或天然气设施的温室气体排放（例如，用于环境报告目的或检查使用其他方法确定的结果）。 或者，该工具可用于估算特定类型的“平均”设施的排放。 在这些情况下，将“平均设施”结果乘以指定类型的所有设施的总数来估计它们的综合温室气体排放贡献可能是合理的。</t>
  </si>
  <si>
    <t>用户手册中提供了有关此电子表格工具的其他信息。</t>
  </si>
  <si>
    <t>语言选项：</t>
  </si>
  <si>
    <t>该工具目前支持英语、普通话和西班牙语。 可以使用此工作表顶部显示的选择功能来选择选择的语言。</t>
  </si>
  <si>
    <t>导航和颜色编码规则：</t>
  </si>
  <si>
    <t>所有需要用户输入信息或包含用户可能更改的信息的单元格都以黄色突出显示。 所有其他单元格均受密码保护，以防止计算公式被意外损坏或擦除，并防止关键信息被覆盖。</t>
  </si>
  <si>
    <t>设施选择和设置</t>
  </si>
  <si>
    <t>“初级设置”工作表是用户定义设施类型并提供评估设施温室气体排放量所需的基本信息的地方。 所需的输入信息分为以下几个部分：</t>
  </si>
  <si>
    <t>• 设施定义：此部分是用户指定要评估的行业部门和设施类型的地方。 这些选择将确定用于某些源类型的特定排放因子，例如无组织设备泄漏。 用户还可以输入某些管理数据来唯一标识设施。</t>
  </si>
  <si>
    <t>• 设施活动水平：此部分捕获指定设施的典型生产会计数据，例如收货量和生产产品的处置。</t>
  </si>
  <si>
    <t>• 排放测量结果（如果可用）：如果已执行任何特定地点的排放测量，则可以在本节中输入这些结果。 如果没有为给定源类别输入排放测量结果，则电子表格会自动估计该源类别的适用排放贡献。</t>
  </si>
  <si>
    <t>• 工厂使用的流程：这是声明工厂使用的流程包的数量和类型的地方。 此外，用户可以提供有关气动装置的某些操作数据和信息。</t>
  </si>
  <si>
    <t>• 气体成分：本节规定了设施中主要气流的化学成分。 为简化此任务，用户只需输入 CH4 含量和主要杂质（即 CO2、N2 和 H2S）的含量。 电子表格根据需要估计所有其他化合物的含量。</t>
  </si>
  <si>
    <t>应用评估方法：</t>
  </si>
  <si>
    <t>该设施的温室气体排放总量使用自下而上的方法进行评估，该方法确定每个适用排放源类别的排放贡献，然后汇总这些结果。 结果按气候污染物类型和主要来源类别报告。 每个源类别的应用方法通常基于 API 纲要 (2021) 中提供的指南（来源：</t>
  </si>
  <si>
    <t>应用计算的详细信息显示在计算工作表上。 应用排放因子的来源记录在 EF 工作表中。 “设备计划”工作表中给出了潜在类型的工艺包范围内的默认设备组件计数。 该工具使用的所有常数和转换因子都显示在“常数”工作表中。</t>
  </si>
  <si>
    <t>Utilities 工作表提供了用于估算从排污和吹扫事件中释放的气体量以及用于计算特定气流特性的工具。</t>
  </si>
  <si>
    <t>压缩系数工作表中提供了天然气压缩系数的查找表。</t>
  </si>
  <si>
    <t>电子表格程序使用翻译表工作表在语言之间切换。 查找表工作表定义所有菜单列表。</t>
  </si>
  <si>
    <t>介绍:</t>
  </si>
  <si>
    <t>Country Flags</t>
  </si>
  <si>
    <t>Country</t>
  </si>
  <si>
    <t>Flags</t>
  </si>
  <si>
    <t>EspañolColombia</t>
  </si>
  <si>
    <t>English</t>
  </si>
  <si>
    <t>Language:</t>
  </si>
  <si>
    <t>语言:</t>
  </si>
  <si>
    <t>您想选择哪种语言？</t>
  </si>
  <si>
    <t>¿Qué idioma te gustaría elegir?</t>
  </si>
  <si>
    <t>Idioma:</t>
  </si>
  <si>
    <t>Not Avialble</t>
  </si>
  <si>
    <t>Calculation Method</t>
  </si>
  <si>
    <t>Método de cálculo</t>
  </si>
  <si>
    <t>计算方法</t>
  </si>
  <si>
    <t>Tab Name</t>
  </si>
  <si>
    <t>Translated Tab Name</t>
  </si>
  <si>
    <t>Nombre de la pestaña</t>
  </si>
  <si>
    <t>选项卡名称</t>
  </si>
  <si>
    <t>翻译的选项卡名称</t>
  </si>
  <si>
    <t>Nombre de pestaña traducido</t>
  </si>
  <si>
    <t>Hyperlink</t>
  </si>
  <si>
    <t>超链接</t>
  </si>
  <si>
    <t>Hipervínculo</t>
  </si>
  <si>
    <t>Go To Sheet</t>
  </si>
  <si>
    <t>Ir a la hoja</t>
  </si>
  <si>
    <t>转到工作表</t>
  </si>
  <si>
    <t>选项卡名称表</t>
  </si>
  <si>
    <t>Tabla de nombres de pestañas</t>
  </si>
  <si>
    <t>Application</t>
  </si>
  <si>
    <t>Includes Contributions from Leakers and Non-Leakers</t>
  </si>
  <si>
    <t>AP-42, Table 3.3-1</t>
  </si>
  <si>
    <t>AP-42, Table 3.1-2a</t>
  </si>
  <si>
    <t>N2O Emission Factor</t>
  </si>
  <si>
    <t>CH4 Emission Factor</t>
  </si>
  <si>
    <t>AP-42, Table 3.2-1</t>
  </si>
  <si>
    <t>AP-42, Table 3.2-2</t>
  </si>
  <si>
    <t>AP-42, Table 3.2-3</t>
  </si>
  <si>
    <t>Application Type</t>
  </si>
  <si>
    <t>lb/mmBTU</t>
  </si>
  <si>
    <t>Heaters &amp; Boilers</t>
  </si>
  <si>
    <t>AP-42, Table 1.4-2</t>
  </si>
  <si>
    <t>Heaters &amp; Boilers (Low-NOx)</t>
  </si>
  <si>
    <t>lb/mmBTU fuel input</t>
  </si>
  <si>
    <t>lb/mmscf</t>
  </si>
  <si>
    <t>AP-42, Table 1.5-1</t>
  </si>
  <si>
    <t>tonnes/GJ</t>
  </si>
  <si>
    <t>"lb/mmBTU" to "tonnes/GJ"</t>
  </si>
  <si>
    <t>g/ton</t>
  </si>
  <si>
    <t>tonne/tonne</t>
  </si>
  <si>
    <t>"g/ton" to "tonne/tonne"</t>
  </si>
  <si>
    <t>US EPA (2016)</t>
  </si>
  <si>
    <t>g/gal</t>
  </si>
  <si>
    <t>g/scf</t>
  </si>
  <si>
    <t>US EPA (2016) - Greenhouse Gas Inventory Guidance</t>
  </si>
  <si>
    <r>
      <t>10^</t>
    </r>
    <r>
      <rPr>
        <vertAlign val="superscript"/>
        <sz val="11"/>
        <color theme="1"/>
        <rFont val="Calibri"/>
        <family val="2"/>
        <scheme val="minor"/>
      </rPr>
      <t>3</t>
    </r>
    <r>
      <rPr>
        <sz val="11"/>
        <color theme="1"/>
        <rFont val="Calibri"/>
        <family val="2"/>
        <scheme val="minor"/>
      </rPr>
      <t xml:space="preserve"> Nm</t>
    </r>
    <r>
      <rPr>
        <vertAlign val="superscript"/>
        <sz val="11"/>
        <color theme="1"/>
        <rFont val="Calibri"/>
        <family val="2"/>
        <scheme val="minor"/>
      </rPr>
      <t>3</t>
    </r>
    <r>
      <rPr>
        <sz val="11"/>
        <color theme="1"/>
        <rFont val="Calibri"/>
        <family val="2"/>
        <scheme val="minor"/>
      </rPr>
      <t xml:space="preserve"> / día</t>
    </r>
  </si>
  <si>
    <r>
      <t>10^</t>
    </r>
    <r>
      <rPr>
        <vertAlign val="superscript"/>
        <sz val="11"/>
        <color theme="1"/>
        <rFont val="Calibri"/>
        <family val="2"/>
        <scheme val="minor"/>
      </rPr>
      <t>3</t>
    </r>
    <r>
      <rPr>
        <sz val="11"/>
        <color theme="1"/>
        <rFont val="Calibri"/>
        <family val="2"/>
        <scheme val="minor"/>
      </rPr>
      <t xml:space="preserve"> Nm3 每天</t>
    </r>
  </si>
  <si>
    <t>Tonnes per Year</t>
  </si>
  <si>
    <t>t/y</t>
  </si>
  <si>
    <t>MWh per Year</t>
  </si>
  <si>
    <t>MWh/y</t>
  </si>
  <si>
    <t>GJ per Year</t>
  </si>
  <si>
    <t>GJ/y</t>
  </si>
  <si>
    <t>(tonnes/y)</t>
  </si>
  <si>
    <t>(t/y)</t>
  </si>
  <si>
    <t>(MWh/y)</t>
  </si>
  <si>
    <t>(tonnes/10^3 Nm3)</t>
  </si>
  <si>
    <t>(公吨/10^3 Nm3)</t>
  </si>
  <si>
    <t>(t/10^3 Nm3)</t>
  </si>
  <si>
    <t>(GJ/10^3 Nm3)</t>
  </si>
  <si>
    <t>(GJ/10^3 m3)</t>
  </si>
  <si>
    <t>tonnes/10^3 Nm3</t>
  </si>
  <si>
    <t>吨/10^3 Nm3</t>
  </si>
  <si>
    <t>t/10^3 Nm3</t>
  </si>
  <si>
    <t>GJ/10^3 Nm3</t>
  </si>
  <si>
    <r>
      <t>10^3 Nm</t>
    </r>
    <r>
      <rPr>
        <vertAlign val="superscript"/>
        <sz val="11"/>
        <color theme="1"/>
        <rFont val="Calibri"/>
        <family val="2"/>
        <scheme val="minor"/>
      </rPr>
      <t>3</t>
    </r>
    <r>
      <rPr>
        <sz val="11"/>
        <color theme="1"/>
        <rFont val="Calibri"/>
        <family val="2"/>
        <scheme val="minor"/>
      </rPr>
      <t>/d</t>
    </r>
  </si>
  <si>
    <r>
      <t>10^3 Nm</t>
    </r>
    <r>
      <rPr>
        <vertAlign val="superscript"/>
        <sz val="11"/>
        <color theme="1"/>
        <rFont val="Calibri"/>
        <family val="2"/>
        <scheme val="minor"/>
      </rPr>
      <t>3</t>
    </r>
    <r>
      <rPr>
        <sz val="11"/>
        <color theme="1"/>
        <rFont val="Calibri"/>
        <family val="2"/>
        <scheme val="minor"/>
      </rPr>
      <t>/ dia</t>
    </r>
  </si>
  <si>
    <t>kg/Nm3</t>
  </si>
  <si>
    <t>"g/scf" to "kg/Nm3"</t>
  </si>
  <si>
    <t>更高的熱值</t>
  </si>
  <si>
    <t>General literature.</t>
  </si>
  <si>
    <t>Valor Calorífico Superior</t>
  </si>
  <si>
    <t>MJ/m3</t>
  </si>
  <si>
    <t>General Literature</t>
  </si>
  <si>
    <t>错误：需要在 G 列设置输入值的来源.</t>
  </si>
  <si>
    <t>Error: la fuente del valor de entrada debe establecerse en la columna G.</t>
  </si>
  <si>
    <t>Total for Reciprocating Engines</t>
  </si>
  <si>
    <t>Actual Leak</t>
  </si>
  <si>
    <t>Applied Leak</t>
  </si>
  <si>
    <t>Tipo de aplicacion</t>
  </si>
  <si>
    <t>申请类型</t>
  </si>
  <si>
    <t>燃气轮机</t>
  </si>
  <si>
    <t>Turbina de gas</t>
  </si>
  <si>
    <t>Receta de gasolina Motor (2 tiempos de mezcla pobre)</t>
  </si>
  <si>
    <t>Receta de gasolina Motor (4 tiempos de mezcla pobre)</t>
  </si>
  <si>
    <t>气体接收。发动机（2 冲程稀薄燃烧</t>
  </si>
  <si>
    <t>气体接收。发动机（4 冲程稀薄燃烧</t>
  </si>
  <si>
    <t>气体接收。发动机（4 冲程富燃)</t>
  </si>
  <si>
    <t>Receta de gasolina Motor (4 tiempos Rich-Burn)</t>
  </si>
  <si>
    <t>Calentadores y Calderas</t>
  </si>
  <si>
    <t>加热器和锅炉</t>
  </si>
  <si>
    <t>加热器和锅炉（低氮氧化物)</t>
  </si>
  <si>
    <t>Calentadores y Calderas (Bajo NOx)</t>
  </si>
  <si>
    <t>Solicitud</t>
  </si>
  <si>
    <t>应用</t>
  </si>
  <si>
    <t xml:space="preserve">    - Turbine Engines</t>
  </si>
  <si>
    <t xml:space="preserve">    - Heaters and Boilers</t>
  </si>
  <si>
    <t xml:space="preserve">    - 加热器和锅炉</t>
  </si>
  <si>
    <t xml:space="preserve">    - 往复式发动机</t>
  </si>
  <si>
    <t xml:space="preserve">    - 涡轮发动机 </t>
  </si>
  <si>
    <t xml:space="preserve">    - Motores de turbina</t>
  </si>
  <si>
    <t xml:space="preserve">    - Motores alternativos</t>
  </si>
  <si>
    <t xml:space="preserve">    - Calentadores y calderas</t>
  </si>
  <si>
    <t>Incluye contribuciones de Leakers y Non-Leakers</t>
  </si>
  <si>
    <t>包括来自泄密者和非泄密者的贡献</t>
  </si>
  <si>
    <t xml:space="preserve">    - Reciprocating Engines</t>
  </si>
  <si>
    <t>(公斤/立方米)</t>
  </si>
  <si>
    <t>10^3 立方米/天</t>
  </si>
  <si>
    <t>10^3 m3/día</t>
  </si>
  <si>
    <t>兆焦耳/立方米</t>
  </si>
  <si>
    <t>Factor de conversión</t>
  </si>
  <si>
    <t>Factor de emisión de CH4</t>
  </si>
  <si>
    <t>CH4 排放因子</t>
  </si>
  <si>
    <t>N2O 排放因子</t>
  </si>
  <si>
    <t>Factor de emisión de N2O</t>
  </si>
  <si>
    <t>转换</t>
  </si>
  <si>
    <t>应用泄漏</t>
  </si>
  <si>
    <t>Fuga Aplicada</t>
  </si>
  <si>
    <t>实际泄漏</t>
  </si>
  <si>
    <t>Fuga Real</t>
  </si>
  <si>
    <t>tonne/10^3 m3</t>
  </si>
  <si>
    <t>"lb/mmscf" to "tonne/10^3 m3"</t>
  </si>
  <si>
    <t>Measured Contribution:</t>
  </si>
  <si>
    <t>Estimated Contribution:</t>
  </si>
  <si>
    <t>Blowdown System: Generic (Pit or Vent)</t>
  </si>
  <si>
    <t>Chemical Injection Pump: Pneumatic (Diaphragm Type)</t>
  </si>
  <si>
    <t>Chemical Injection Pump: Pneumatic (Piston Type)</t>
  </si>
  <si>
    <t>Chemical Injection Pump: Pneumatic (Unknown Type)</t>
  </si>
  <si>
    <t>Compressor: Reciprocating: (Stages: 1) (Driver: Electric Motor)</t>
  </si>
  <si>
    <t>Compressor: Reciprocating: (Stages: 1) (Driver: Recip Engine)</t>
  </si>
  <si>
    <t>Compressor: Reciprocating: (Stages: 2) (Driver: Electric Motor)</t>
  </si>
  <si>
    <t>Compressor: Reciprocating: (Stages: 2) (Driver: Recip Engine)</t>
  </si>
  <si>
    <t>Compressor: Reciprocating: (Stages: 3) (Driver: Electric Motor)</t>
  </si>
  <si>
    <t>Compressor: Reciprocating: (Stages: 3) (Driver: Recip Engine)</t>
  </si>
  <si>
    <t>Compressor: Screw (Driver: Electric Motor)</t>
  </si>
  <si>
    <t>Compressor: Screw (Driver: Recip Engine)</t>
  </si>
  <si>
    <t>Dehydration: Desiccant (Adsorber Columns: 2)</t>
  </si>
  <si>
    <t>Dehydration: Desiccant (Adsorber Columns: 3)</t>
  </si>
  <si>
    <t>Dehydration: Glycol (with Gas-assisted Pump)</t>
  </si>
  <si>
    <t>Dehydration: Glycol (without Gas-assisted Pump)</t>
  </si>
  <si>
    <t>Flare System: Generic (Including Knock-out Drum)</t>
  </si>
  <si>
    <t>Heater/Boiler/Reboiler: Generic (Burner Assemblies: 1)</t>
  </si>
  <si>
    <t>Heater/Boiler/Reboiler: Generic (Burner Assemblies: 2)</t>
  </si>
  <si>
    <t>Heater/Boiler/Reboiler: Generic (Burner Assemblies: 3)</t>
  </si>
  <si>
    <t>Heater/Boiler/Reboiler: Treater (Burner Assemblies: 1)</t>
  </si>
  <si>
    <t>Heater/Boiler/Reboiler: Treater (Burner Assemblies: 2)</t>
  </si>
  <si>
    <t>Heater/Boiler/Reboiler: Treater (Burner Assemblies: 3)</t>
  </si>
  <si>
    <t>Hydrocarbon Dewpoint Control: Joule-Thomson Unit (Excluding Compressor)</t>
  </si>
  <si>
    <t>Hydrocarbon Dewpoint Control: Propane Refrigeration</t>
  </si>
  <si>
    <t>Inlet Header : Heavy Oil Battery</t>
  </si>
  <si>
    <t>Inlet Header: Conventional Oil Battery</t>
  </si>
  <si>
    <t>LPG Extraction: Deepcut (C2 to C4)</t>
  </si>
  <si>
    <t>LPG Extraction: Shallow Cut (C3 to C4)</t>
  </si>
  <si>
    <t>Power Generator: Natural Gas Fuelled (Driver: Recip. Engine)</t>
  </si>
  <si>
    <t>Separator: Filter Separator</t>
  </si>
  <si>
    <t>Separator: Horizontal (Phases: 2)</t>
  </si>
  <si>
    <t>Separator: Horizontal (Phases: 3)</t>
  </si>
  <si>
    <t>Separator: Vertical (Phases: 2)</t>
  </si>
  <si>
    <t>Separator: Vertical (Phases: 3)</t>
  </si>
  <si>
    <t>Stabilizer: with Reflux Loop</t>
  </si>
  <si>
    <t>Stabilizer: without Reflux Loop</t>
  </si>
  <si>
    <t>Sulphur Recovery: Claus</t>
  </si>
  <si>
    <t>Sulphur Recovery: MCRC (Sub-dewpoint)</t>
  </si>
  <si>
    <t>Sweetening: (Physical Solvent)</t>
  </si>
  <si>
    <t>Sweetening: Chemsweet</t>
  </si>
  <si>
    <t>Sweetening: DEA (Diethanolamine)</t>
  </si>
  <si>
    <t>Sweetening: DGA (Diglycolamine)</t>
  </si>
  <si>
    <t>Sweetening: Generic</t>
  </si>
  <si>
    <t>Sweetening: Iron Sponge</t>
  </si>
  <si>
    <t>Sweetening: LoCat</t>
  </si>
  <si>
    <t>Sweetening: MDEA (Monodiethanolamine)</t>
  </si>
  <si>
    <t>Sweetening: MEA (Monoethanolamine)</t>
  </si>
  <si>
    <t>Sweetening: Selexol</t>
  </si>
  <si>
    <t>Sweetening: Sulfacheck</t>
  </si>
  <si>
    <t>Sweetening: Sulfinol</t>
  </si>
  <si>
    <t>Vapor Recovery Unit: Offshore</t>
  </si>
  <si>
    <t>Vapor Recovery Unit: Onshore</t>
  </si>
  <si>
    <t>Well: Conventional Oil</t>
  </si>
  <si>
    <t>Well: Gas</t>
  </si>
  <si>
    <t>Well: Heavy Oil</t>
  </si>
  <si>
    <t>Well: Offshore</t>
  </si>
  <si>
    <t>Drain Tank</t>
  </si>
  <si>
    <t>Meter Run: Generic</t>
  </si>
  <si>
    <t>Meter Set: Commercial</t>
  </si>
  <si>
    <t>Meter Set: Farm Tap</t>
  </si>
  <si>
    <t>Meter Set: Industrial</t>
  </si>
  <si>
    <t>Meter Station: Border</t>
  </si>
  <si>
    <t>Meter Station: Receipt/Sales</t>
  </si>
  <si>
    <t>Meter Set: Residential</t>
  </si>
  <si>
    <t>kg/h</t>
  </si>
  <si>
    <t>tonnes/d</t>
  </si>
  <si>
    <t>tonnes/mo</t>
  </si>
  <si>
    <t>tonnes/y</t>
  </si>
  <si>
    <t>m3/h</t>
  </si>
  <si>
    <t>bbl/d</t>
  </si>
  <si>
    <t>bbl/mo</t>
  </si>
  <si>
    <t>bbl/y</t>
  </si>
  <si>
    <t>usg/h</t>
  </si>
  <si>
    <t>GJ/h</t>
  </si>
  <si>
    <t>GJ/d</t>
  </si>
  <si>
    <t>GJ/mo</t>
  </si>
  <si>
    <t>mmbtu/h</t>
  </si>
  <si>
    <t>mmbtu/d</t>
  </si>
  <si>
    <t>mmbtu/mo</t>
  </si>
  <si>
    <t>mmbtu/y</t>
  </si>
  <si>
    <t>tonne/y</t>
  </si>
  <si>
    <t>tonelada/y</t>
  </si>
  <si>
    <t>mmscf/h</t>
  </si>
  <si>
    <t>mmscf/d</t>
  </si>
  <si>
    <t>mmscf/mo</t>
  </si>
  <si>
    <t>mmscf/y</t>
  </si>
  <si>
    <t>m^3/h</t>
  </si>
  <si>
    <t>m^3/d</t>
  </si>
  <si>
    <t>m^3/mo</t>
  </si>
  <si>
    <t>m^3/y</t>
  </si>
  <si>
    <t>E+03 sm^3/d</t>
  </si>
  <si>
    <t>E+03 sm^3/mo</t>
  </si>
  <si>
    <t>E+03 sm^3/y</t>
  </si>
  <si>
    <t>sm^3/d</t>
  </si>
  <si>
    <t>sm^3/mo</t>
  </si>
  <si>
    <t>sm^3/y</t>
  </si>
  <si>
    <t>sm^3/h</t>
  </si>
  <si>
    <t>Total Emissions</t>
  </si>
  <si>
    <t>Emisiones totales</t>
  </si>
  <si>
    <t>CEL</t>
  </si>
  <si>
    <t>Isolation Block Valve</t>
  </si>
  <si>
    <t>Applied Global Warming Potentials (GWPs)</t>
  </si>
  <si>
    <t>Venting by Glycol Dehydrators</t>
  </si>
  <si>
    <t>"kg/h" to "tonne/y"</t>
  </si>
  <si>
    <t>"m^3/h" to "m3/h"</t>
  </si>
  <si>
    <t>"m^3/d" to "m3/h"</t>
  </si>
  <si>
    <t>Venting by Gas Sweetening Units</t>
  </si>
  <si>
    <t>Value (sm^3 CH4/h)</t>
  </si>
  <si>
    <t>值（sm^3 CH4/h）</t>
  </si>
  <si>
    <t>Valor (sm^3 CH4/h)</t>
  </si>
  <si>
    <t>sm^3  CH4/h</t>
  </si>
  <si>
    <t>sm^3  CH4/d</t>
  </si>
  <si>
    <t>sm^3  CH4/mo</t>
  </si>
  <si>
    <t>sm^3  CH4/y</t>
  </si>
  <si>
    <t>mmscf  CH4/h</t>
  </si>
  <si>
    <t>mmscf  CH4/d</t>
  </si>
  <si>
    <t>mmscf  CH4/mo</t>
  </si>
  <si>
    <t>mmscf  CH4/y</t>
  </si>
  <si>
    <t>Chemicals (Fixed - Roof Tank with Natural Gas Blanketing)</t>
  </si>
  <si>
    <t>Condensate (External Floating - Roof Tank)</t>
  </si>
  <si>
    <t>Condensate (Fixed - Roof Tank with Vapor Control)</t>
  </si>
  <si>
    <t>Condensate (Fixed - Roof Tank without Vapor Control)</t>
  </si>
  <si>
    <t>Condensate (Internal Floating - Roof Tank))</t>
  </si>
  <si>
    <t>Produced Water (External Floating - Roof Tank)</t>
  </si>
  <si>
    <t>Produced Water (Fixed - Roof Tank with Vapor Control)</t>
  </si>
  <si>
    <t>Produced Water (Fixed - Roof Tank without Vapor Control)</t>
  </si>
  <si>
    <t>Produced Water (Internal Floating - Roof Tank)</t>
  </si>
  <si>
    <t>Adapted from API</t>
  </si>
  <si>
    <t>How To Use This Tool</t>
  </si>
  <si>
    <t>Cell Styles</t>
  </si>
  <si>
    <t>Warning</t>
  </si>
  <si>
    <t>Input Cell</t>
  </si>
  <si>
    <t>Description</t>
  </si>
  <si>
    <r>
      <t>scf/10</t>
    </r>
    <r>
      <rPr>
        <vertAlign val="superscript"/>
        <sz val="11"/>
        <color theme="1"/>
        <rFont val="Arial Narrow"/>
        <family val="2"/>
      </rPr>
      <t>6</t>
    </r>
    <r>
      <rPr>
        <sz val="11"/>
        <color theme="1"/>
        <rFont val="Arial Narrow"/>
        <family val="2"/>
      </rPr>
      <t xml:space="preserve"> scf gas processed</t>
    </r>
  </si>
  <si>
    <r>
      <t>tonnes/m</t>
    </r>
    <r>
      <rPr>
        <vertAlign val="superscript"/>
        <sz val="11"/>
        <color theme="1"/>
        <rFont val="Arial Narrow"/>
        <family val="2"/>
      </rPr>
      <t>3</t>
    </r>
    <r>
      <rPr>
        <sz val="11"/>
        <color theme="1"/>
        <rFont val="Arial Narrow"/>
        <family val="2"/>
      </rPr>
      <t xml:space="preserve"> of crude oil</t>
    </r>
  </si>
  <si>
    <r>
      <t>tonnes/m</t>
    </r>
    <r>
      <rPr>
        <vertAlign val="superscript"/>
        <sz val="11"/>
        <color theme="1"/>
        <rFont val="Arial Narrow"/>
        <family val="2"/>
      </rPr>
      <t>3</t>
    </r>
    <r>
      <rPr>
        <sz val="11"/>
        <color theme="1"/>
        <rFont val="Arial Narrow"/>
        <family val="2"/>
      </rPr>
      <t xml:space="preserve"> of condensate</t>
    </r>
  </si>
  <si>
    <r>
      <t>m3/10</t>
    </r>
    <r>
      <rPr>
        <vertAlign val="superscript"/>
        <sz val="11"/>
        <color theme="1"/>
        <rFont val="Arial Narrow"/>
        <family val="2"/>
      </rPr>
      <t>6</t>
    </r>
    <r>
      <rPr>
        <sz val="11"/>
        <color theme="1"/>
        <rFont val="Arial Narrow"/>
        <family val="2"/>
      </rPr>
      <t xml:space="preserve"> m3 processed</t>
    </r>
  </si>
  <si>
    <r>
      <t>scf CH4/10</t>
    </r>
    <r>
      <rPr>
        <vertAlign val="superscript"/>
        <sz val="11"/>
        <color theme="1"/>
        <rFont val="Arial Narrow"/>
        <family val="2"/>
      </rPr>
      <t>6</t>
    </r>
    <r>
      <rPr>
        <sz val="11"/>
        <color theme="1"/>
        <rFont val="Arial Narrow"/>
        <family val="2"/>
      </rPr>
      <t xml:space="preserve"> scf processed</t>
    </r>
  </si>
  <si>
    <r>
      <t>CH</t>
    </r>
    <r>
      <rPr>
        <vertAlign val="subscript"/>
        <sz val="11"/>
        <color theme="1"/>
        <rFont val="Arial Narrow"/>
        <family val="2"/>
      </rPr>
      <t>4</t>
    </r>
  </si>
  <si>
    <r>
      <t>C</t>
    </r>
    <r>
      <rPr>
        <vertAlign val="subscript"/>
        <sz val="11"/>
        <color theme="1"/>
        <rFont val="Arial Narrow"/>
        <family val="2"/>
      </rPr>
      <t>2</t>
    </r>
    <r>
      <rPr>
        <sz val="11"/>
        <color theme="1"/>
        <rFont val="Arial Narrow"/>
        <family val="2"/>
      </rPr>
      <t>H</t>
    </r>
    <r>
      <rPr>
        <vertAlign val="subscript"/>
        <sz val="11"/>
        <color theme="1"/>
        <rFont val="Arial Narrow"/>
        <family val="2"/>
      </rPr>
      <t>6</t>
    </r>
  </si>
  <si>
    <r>
      <t>C</t>
    </r>
    <r>
      <rPr>
        <vertAlign val="subscript"/>
        <sz val="11"/>
        <color theme="1"/>
        <rFont val="Arial Narrow"/>
        <family val="2"/>
      </rPr>
      <t>3</t>
    </r>
    <r>
      <rPr>
        <sz val="11"/>
        <color theme="1"/>
        <rFont val="Arial Narrow"/>
        <family val="2"/>
      </rPr>
      <t>H</t>
    </r>
    <r>
      <rPr>
        <vertAlign val="subscript"/>
        <sz val="11"/>
        <color theme="1"/>
        <rFont val="Arial Narrow"/>
        <family val="2"/>
      </rPr>
      <t>8</t>
    </r>
  </si>
  <si>
    <r>
      <t>C</t>
    </r>
    <r>
      <rPr>
        <vertAlign val="subscript"/>
        <sz val="11"/>
        <color theme="1"/>
        <rFont val="Arial Narrow"/>
        <family val="2"/>
      </rPr>
      <t>4</t>
    </r>
    <r>
      <rPr>
        <sz val="11"/>
        <color theme="1"/>
        <rFont val="Arial Narrow"/>
        <family val="2"/>
      </rPr>
      <t>H</t>
    </r>
    <r>
      <rPr>
        <vertAlign val="subscript"/>
        <sz val="11"/>
        <color theme="1"/>
        <rFont val="Arial Narrow"/>
        <family val="2"/>
      </rPr>
      <t>10</t>
    </r>
  </si>
  <si>
    <r>
      <t>C</t>
    </r>
    <r>
      <rPr>
        <vertAlign val="subscript"/>
        <sz val="11"/>
        <color theme="1"/>
        <rFont val="Arial Narrow"/>
        <family val="2"/>
      </rPr>
      <t>5</t>
    </r>
    <r>
      <rPr>
        <sz val="11"/>
        <color theme="1"/>
        <rFont val="Arial Narrow"/>
        <family val="2"/>
      </rPr>
      <t>H</t>
    </r>
    <r>
      <rPr>
        <vertAlign val="subscript"/>
        <sz val="11"/>
        <color theme="1"/>
        <rFont val="Arial Narrow"/>
        <family val="2"/>
      </rPr>
      <t>12</t>
    </r>
  </si>
  <si>
    <r>
      <t>C</t>
    </r>
    <r>
      <rPr>
        <vertAlign val="subscript"/>
        <sz val="11"/>
        <color theme="1"/>
        <rFont val="Arial Narrow"/>
        <family val="2"/>
      </rPr>
      <t>6</t>
    </r>
    <r>
      <rPr>
        <sz val="11"/>
        <color theme="1"/>
        <rFont val="Arial Narrow"/>
        <family val="2"/>
      </rPr>
      <t>H</t>
    </r>
    <r>
      <rPr>
        <vertAlign val="subscript"/>
        <sz val="11"/>
        <color theme="1"/>
        <rFont val="Arial Narrow"/>
        <family val="2"/>
      </rPr>
      <t>14</t>
    </r>
  </si>
  <si>
    <r>
      <t>C</t>
    </r>
    <r>
      <rPr>
        <vertAlign val="subscript"/>
        <sz val="11"/>
        <color theme="1"/>
        <rFont val="Arial Narrow"/>
        <family val="2"/>
      </rPr>
      <t>7</t>
    </r>
    <r>
      <rPr>
        <sz val="11"/>
        <color theme="1"/>
        <rFont val="Arial Narrow"/>
        <family val="2"/>
      </rPr>
      <t>H</t>
    </r>
    <r>
      <rPr>
        <vertAlign val="subscript"/>
        <sz val="11"/>
        <color theme="1"/>
        <rFont val="Arial Narrow"/>
        <family val="2"/>
      </rPr>
      <t>16</t>
    </r>
  </si>
  <si>
    <r>
      <t>C</t>
    </r>
    <r>
      <rPr>
        <vertAlign val="subscript"/>
        <sz val="11"/>
        <color theme="1"/>
        <rFont val="Arial Narrow"/>
        <family val="2"/>
      </rPr>
      <t>8</t>
    </r>
    <r>
      <rPr>
        <sz val="11"/>
        <color theme="1"/>
        <rFont val="Arial Narrow"/>
        <family val="2"/>
      </rPr>
      <t>H</t>
    </r>
    <r>
      <rPr>
        <vertAlign val="subscript"/>
        <sz val="11"/>
        <color theme="1"/>
        <rFont val="Arial Narrow"/>
        <family val="2"/>
      </rPr>
      <t>18</t>
    </r>
  </si>
  <si>
    <r>
      <t>C</t>
    </r>
    <r>
      <rPr>
        <vertAlign val="subscript"/>
        <sz val="11"/>
        <color theme="1"/>
        <rFont val="Arial Narrow"/>
        <family val="2"/>
      </rPr>
      <t>9</t>
    </r>
    <r>
      <rPr>
        <sz val="11"/>
        <color theme="1"/>
        <rFont val="Arial Narrow"/>
        <family val="2"/>
      </rPr>
      <t>H</t>
    </r>
    <r>
      <rPr>
        <vertAlign val="subscript"/>
        <sz val="11"/>
        <color theme="1"/>
        <rFont val="Arial Narrow"/>
        <family val="2"/>
      </rPr>
      <t>20</t>
    </r>
  </si>
  <si>
    <r>
      <t>C</t>
    </r>
    <r>
      <rPr>
        <vertAlign val="subscript"/>
        <sz val="11"/>
        <color theme="1"/>
        <rFont val="Arial Narrow"/>
        <family val="2"/>
      </rPr>
      <t>10</t>
    </r>
    <r>
      <rPr>
        <sz val="11"/>
        <color theme="1"/>
        <rFont val="Arial Narrow"/>
        <family val="2"/>
      </rPr>
      <t>H</t>
    </r>
    <r>
      <rPr>
        <vertAlign val="subscript"/>
        <sz val="11"/>
        <color theme="1"/>
        <rFont val="Arial Narrow"/>
        <family val="2"/>
      </rPr>
      <t>22</t>
    </r>
  </si>
  <si>
    <r>
      <t>H</t>
    </r>
    <r>
      <rPr>
        <vertAlign val="subscript"/>
        <sz val="11"/>
        <color theme="1"/>
        <rFont val="Arial Narrow"/>
        <family val="2"/>
      </rPr>
      <t>2</t>
    </r>
    <r>
      <rPr>
        <sz val="11"/>
        <color theme="1"/>
        <rFont val="Arial Narrow"/>
        <family val="2"/>
      </rPr>
      <t>S</t>
    </r>
  </si>
  <si>
    <r>
      <t>CO</t>
    </r>
    <r>
      <rPr>
        <vertAlign val="subscript"/>
        <sz val="11"/>
        <color theme="1"/>
        <rFont val="Arial Narrow"/>
        <family val="2"/>
      </rPr>
      <t>2</t>
    </r>
  </si>
  <si>
    <r>
      <t>N</t>
    </r>
    <r>
      <rPr>
        <vertAlign val="subscript"/>
        <sz val="11"/>
        <color theme="1"/>
        <rFont val="Arial Narrow"/>
        <family val="2"/>
      </rPr>
      <t>2</t>
    </r>
  </si>
  <si>
    <r>
      <t>H</t>
    </r>
    <r>
      <rPr>
        <vertAlign val="subscript"/>
        <sz val="11"/>
        <color theme="1"/>
        <rFont val="Arial Narrow"/>
        <family val="2"/>
      </rPr>
      <t>2</t>
    </r>
    <r>
      <rPr>
        <sz val="11"/>
        <color theme="1"/>
        <rFont val="Arial Narrow"/>
        <family val="2"/>
      </rPr>
      <t>O</t>
    </r>
  </si>
  <si>
    <r>
      <t>SO</t>
    </r>
    <r>
      <rPr>
        <vertAlign val="subscript"/>
        <sz val="11"/>
        <color theme="1"/>
        <rFont val="Arial Narrow"/>
        <family val="2"/>
      </rPr>
      <t>2</t>
    </r>
  </si>
  <si>
    <r>
      <t>O</t>
    </r>
    <r>
      <rPr>
        <vertAlign val="subscript"/>
        <sz val="11"/>
        <color theme="1"/>
        <rFont val="Arial Narrow"/>
        <family val="2"/>
      </rPr>
      <t>2</t>
    </r>
  </si>
  <si>
    <r>
      <t>Q</t>
    </r>
    <r>
      <rPr>
        <vertAlign val="subscript"/>
        <sz val="12"/>
        <color theme="1"/>
        <rFont val="Arial Narrow"/>
        <family val="2"/>
      </rPr>
      <t xml:space="preserve">j  </t>
    </r>
    <r>
      <rPr>
        <sz val="12"/>
        <color theme="1"/>
        <rFont val="Arial Narrow"/>
        <family val="2"/>
      </rPr>
      <t xml:space="preserve"> =</t>
    </r>
  </si>
  <si>
    <r>
      <t>ρ</t>
    </r>
    <r>
      <rPr>
        <vertAlign val="subscript"/>
        <sz val="12"/>
        <color theme="1"/>
        <rFont val="Arial Narrow"/>
        <family val="2"/>
      </rPr>
      <t>CH4</t>
    </r>
    <r>
      <rPr>
        <sz val="12"/>
        <color theme="1"/>
        <rFont val="Arial Narrow"/>
        <family val="2"/>
      </rPr>
      <t xml:space="preserve"> =</t>
    </r>
  </si>
  <si>
    <r>
      <t>Y</t>
    </r>
    <r>
      <rPr>
        <vertAlign val="subscript"/>
        <sz val="12"/>
        <color theme="1"/>
        <rFont val="Arial Narrow"/>
        <family val="2"/>
      </rPr>
      <t>CH4</t>
    </r>
    <r>
      <rPr>
        <sz val="12"/>
        <color theme="1"/>
        <rFont val="Arial Narrow"/>
        <family val="2"/>
      </rPr>
      <t xml:space="preserve"> =</t>
    </r>
  </si>
  <si>
    <r>
      <t>g</t>
    </r>
    <r>
      <rPr>
        <vertAlign val="subscript"/>
        <sz val="12"/>
        <color theme="1"/>
        <rFont val="Arial Narrow"/>
        <family val="2"/>
      </rPr>
      <t>c</t>
    </r>
    <r>
      <rPr>
        <sz val="12"/>
        <color theme="1"/>
        <rFont val="Arial Narrow"/>
        <family val="2"/>
      </rPr>
      <t xml:space="preserve"> =</t>
    </r>
  </si>
  <si>
    <r>
      <t>E</t>
    </r>
    <r>
      <rPr>
        <vertAlign val="subscript"/>
        <sz val="12"/>
        <color theme="1"/>
        <rFont val="Arial Narrow"/>
        <family val="2"/>
      </rPr>
      <t xml:space="preserve">i,j </t>
    </r>
    <r>
      <rPr>
        <sz val="12"/>
        <color theme="1"/>
        <rFont val="Arial Narrow"/>
        <family val="2"/>
      </rPr>
      <t>=</t>
    </r>
  </si>
  <si>
    <t xml:space="preserve">Default equipment component counts for the range of potential types of process packages are given on the “Equipment Schedule” worksheet. </t>
  </si>
  <si>
    <t>All constants and conversion factors used by the tool are presented on the “Constants” worksheet.</t>
  </si>
  <si>
    <t>Table of Contents</t>
  </si>
  <si>
    <t>Contents</t>
  </si>
  <si>
    <t>This tab displays a graphical summary of the emissions assessment results.</t>
  </si>
  <si>
    <t>This tab provides a tabular summary of the emissions assessment results presented by primary source category and type of GHG.</t>
  </si>
  <si>
    <t>Details of the applied emission calculations are shown on the "Calculation" worksheets.</t>
  </si>
  <si>
    <t xml:space="preserve">The sources of the applied emission factors are documented on the "EF" worksheets. </t>
  </si>
  <si>
    <t>The "Lookup Tables and List" worksheet defines all the menu lists.</t>
  </si>
  <si>
    <t>The "Utilities" worksheets provide tools for estimating volumes of gas released from blowdown and purging events and for calculating properties of specified gas streams.</t>
  </si>
  <si>
    <t>A lookup table for natural gas compressibility factors is presented on the "Compressibility Factors" worksheet.</t>
  </si>
  <si>
    <t xml:space="preserve">The "Translation Table" worksheet is used by the spreadsheet program for switching between languages. </t>
  </si>
  <si>
    <t xml:space="preserve">Abandoned wells </t>
  </si>
  <si>
    <t>Production Platform (c/w Compression)</t>
  </si>
  <si>
    <t>Production Platform (wells only)</t>
  </si>
  <si>
    <t>Processing Platform</t>
  </si>
  <si>
    <t>Asset ID:</t>
  </si>
  <si>
    <t>Country:</t>
  </si>
  <si>
    <t>Longitude:</t>
  </si>
  <si>
    <t>Latitude:</t>
  </si>
  <si>
    <t>Idioma y guía del usuario</t>
  </si>
  <si>
    <t>语言和用户指南</t>
  </si>
  <si>
    <t>设置 - 设施评估</t>
  </si>
  <si>
    <t>Configuración - evaluación de las instalaciones</t>
  </si>
  <si>
    <t>Category 16</t>
  </si>
  <si>
    <t>Category 17</t>
  </si>
  <si>
    <t>Category 18</t>
  </si>
  <si>
    <t>Category 19</t>
  </si>
  <si>
    <t>Category 20</t>
  </si>
  <si>
    <t>类别16</t>
  </si>
  <si>
    <t>类别17</t>
  </si>
  <si>
    <t>类别18</t>
  </si>
  <si>
    <t>类别19</t>
  </si>
  <si>
    <t>类别20</t>
  </si>
  <si>
    <t>Categoría 16</t>
  </si>
  <si>
    <t>Categoría 17</t>
  </si>
  <si>
    <t>Categoría 18</t>
  </si>
  <si>
    <t>Categoría 19</t>
  </si>
  <si>
    <t>Categoría 20</t>
  </si>
  <si>
    <t>Resultados (tabulares) – Instalación</t>
  </si>
  <si>
    <t>结果（表格）——设施</t>
  </si>
  <si>
    <t>Results (Graphical) – Facility</t>
  </si>
  <si>
    <t>结果（图形）——设施</t>
  </si>
  <si>
    <t>Resultados (Gráficos) – Instalación</t>
  </si>
  <si>
    <t>Emission Results(Facility Level) - Summary by Source Category and Pollutant Type</t>
  </si>
  <si>
    <t>Emission Results (Facility Level) – Summary by Source Category and Pollutant Type</t>
  </si>
  <si>
    <t>LNG Plant (Liquefaction)</t>
  </si>
  <si>
    <t>LNG Shipping</t>
  </si>
  <si>
    <t>LNG Regasification</t>
  </si>
  <si>
    <t>Distribution LNG Satellite</t>
  </si>
  <si>
    <t>Prepared for US Environmental Protection Agency by Tetra Tech and Clearstone Engineering Ltd.</t>
  </si>
  <si>
    <t>Go To 'Contents'</t>
  </si>
  <si>
    <t>Results (Tabular) - Facility</t>
  </si>
  <si>
    <t>NOx</t>
  </si>
  <si>
    <t>CO</t>
  </si>
  <si>
    <t>NMVOC</t>
  </si>
  <si>
    <t>SO2</t>
  </si>
  <si>
    <t>NOx Emission Factor</t>
  </si>
  <si>
    <t>CO Emission Factor</t>
  </si>
  <si>
    <t>NMVOC Emission Factor</t>
  </si>
  <si>
    <t>SO2 Emission Factor</t>
  </si>
  <si>
    <t>lb/ton</t>
  </si>
  <si>
    <t>US EPA AP-42, Table 1.1-9</t>
  </si>
  <si>
    <t>US EPA AP-42, Table 1.2-6</t>
  </si>
  <si>
    <t>US EPA AP-42, Table 1.7-1</t>
  </si>
  <si>
    <t>lb/10^3 gal</t>
  </si>
  <si>
    <t>US EPA AP-42, Table 1.5-1</t>
  </si>
  <si>
    <t>US EPA AP-42, Table 3.1-1</t>
  </si>
  <si>
    <t>US EPA AP-42, Table 3.1-2a</t>
  </si>
  <si>
    <t>(Nm3 CO2/d)</t>
  </si>
  <si>
    <t>(tonnes CO2/y)</t>
  </si>
  <si>
    <t>(Nm3 NMVOC/d)</t>
  </si>
  <si>
    <t>(tonnes NMVOC/y)</t>
  </si>
  <si>
    <t>Emissions Mitigation Technologies</t>
  </si>
  <si>
    <t>Centrifugal Compressors | US EPA</t>
  </si>
  <si>
    <t>Compressor Starts | US EPA</t>
  </si>
  <si>
    <t>Compressor Station Blowdowns | US EPA</t>
  </si>
  <si>
    <t>Equipment Leaks | US EPA</t>
  </si>
  <si>
    <t>Glycol Dehydrators | US EPA</t>
  </si>
  <si>
    <t>Electric Glycol Circulation Pumps | US EPA</t>
  </si>
  <si>
    <t>Methanol Injection | US EPA</t>
  </si>
  <si>
    <t>Optimize Glycol Circulation | US EPA</t>
  </si>
  <si>
    <t>Advanced Methane Detection | US EPA</t>
  </si>
  <si>
    <t>Route Blowdown Gas to Low Pressure System | US EPA</t>
  </si>
  <si>
    <t>Air Starters | US EPA</t>
  </si>
  <si>
    <t>Vapor Recovery Units | US EPA</t>
  </si>
  <si>
    <t>Flash Tank Separators | US EPA</t>
  </si>
  <si>
    <t>Desiccant Dehydrators | US EPA</t>
  </si>
  <si>
    <t>Reroute Glycol Skimmer Gas | US EPA</t>
  </si>
  <si>
    <t>Plunger Lift System Without Planned Atmospheric Venting | US EPA</t>
  </si>
  <si>
    <t>Pipeline Hot Taps | US EPA</t>
  </si>
  <si>
    <t>Pipeline Pig Launching and Receiving | US EPA</t>
  </si>
  <si>
    <t>Pneumatic Controllers | US EPA</t>
  </si>
  <si>
    <t>Instrument Air Controllers | US EPA</t>
  </si>
  <si>
    <t>Mechanical Controllers | US EPA</t>
  </si>
  <si>
    <t>Reciprocating Compressors | US EPA</t>
  </si>
  <si>
    <t>Storage Tanks | US EPA</t>
  </si>
  <si>
    <t>Pressurized Storage Tank | US EPA</t>
  </si>
  <si>
    <t>Solid Fuel Compositions</t>
  </si>
  <si>
    <t>S (Mass Percent)</t>
  </si>
  <si>
    <t>Composiciones de combustibles sólidos</t>
  </si>
  <si>
    <t>固体燃料组合物</t>
  </si>
  <si>
    <t>S（质量百分比）</t>
  </si>
  <si>
    <t>S (porcentaje de masa)</t>
  </si>
  <si>
    <t>Toda</t>
  </si>
  <si>
    <t>NOx 排放因子</t>
  </si>
  <si>
    <t>Factor de emisión de Nox</t>
  </si>
  <si>
    <t>Factor de emisión de CO</t>
  </si>
  <si>
    <t>Factor de emisión de NMVOC</t>
  </si>
  <si>
    <t>Factor de emisión de SO2</t>
  </si>
  <si>
    <t>SO2 排放因子</t>
  </si>
  <si>
    <t>NMVOC 排放因子</t>
  </si>
  <si>
    <t>CO 排放因子</t>
  </si>
  <si>
    <t>US EPA AP-42, Table 1.2-1</t>
  </si>
  <si>
    <t>US EPA AP-42, Tab;e 1.1-3</t>
  </si>
  <si>
    <t>US EPA AP-42, Table1.7-1</t>
  </si>
  <si>
    <t>US EPA AP-42, Tab;e 1.3-1</t>
  </si>
  <si>
    <t>US EPA AP-42, Tabl;e 1.2-2</t>
  </si>
  <si>
    <t>减排技术</t>
  </si>
  <si>
    <t>Tecnologías de mitigación de emisiones</t>
  </si>
  <si>
    <t>Potenciales de calentamiento global (GWP) aplicados</t>
  </si>
  <si>
    <t>应用全球变暖潜势 (GWP)</t>
  </si>
  <si>
    <t>Atomic Mass</t>
  </si>
  <si>
    <t>Carbon</t>
  </si>
  <si>
    <t>Sulphur</t>
  </si>
  <si>
    <t>Hydrogen</t>
  </si>
  <si>
    <t>Atomic Data</t>
  </si>
  <si>
    <t>Carbon Monoxide</t>
  </si>
  <si>
    <t>Nitrous Oxide</t>
  </si>
  <si>
    <t>Non-Methane VOC</t>
  </si>
  <si>
    <t>(Nm3/d)</t>
  </si>
  <si>
    <t>(10^6 Nm3 gas processed/d)</t>
  </si>
  <si>
    <t>(Nm3 CO2/y)</t>
  </si>
  <si>
    <t>(Nm3 NMVOC/y)</t>
  </si>
  <si>
    <t>Venting by Pneumatic Controllers</t>
  </si>
  <si>
    <t>Venting by Pneumatic Chemical Injection Pumps</t>
  </si>
  <si>
    <t>Venteo por Bombas de Inyección de Químicos Pneumatic</t>
  </si>
  <si>
    <t>Heater/Boiler/Reboiler: Line (Burner Assemblies: 1)</t>
  </si>
  <si>
    <t>Heater/Boiler/Reboiler: Line (Burner Assemblies: 2)</t>
  </si>
  <si>
    <t>Heater/Boiler/Reboiler: Line (Burner Assemblies: 3)</t>
  </si>
  <si>
    <t>Power Generator: Natural Gas Fuelled (Driver: Gas Turbine)</t>
  </si>
  <si>
    <t>m3·kPa·kmol-1·°K-1</t>
  </si>
  <si>
    <t>Mol fraction of CH4 in the vented gas.</t>
  </si>
  <si>
    <t>US EPA AP-42, Table 1.3-3</t>
  </si>
  <si>
    <t>tonne/m3</t>
  </si>
  <si>
    <t>"lb/10^3 gal" to "tonne/m3"</t>
  </si>
  <si>
    <t>"g/gal" to "tonne/m3"</t>
  </si>
  <si>
    <t>US EPA AP-42, Table 3.2-1 (90-105% Load)</t>
  </si>
  <si>
    <t>US EPA AP-42, Table 3.2-2 (90-105% Load)</t>
  </si>
  <si>
    <t>US EPA AP-42, Table 3.2-3 (90-105% Load)</t>
  </si>
  <si>
    <t>US EPA AP-42, Table 3.2-1</t>
  </si>
  <si>
    <t>US EPA AP-42, Table 3.2-2</t>
  </si>
  <si>
    <t>US EPA AP-42, Table 3.2-3</t>
  </si>
  <si>
    <t>US EPA AP-42, Table 1.4-1 (Large Wall-Fired Boilers, Uncontrolled (Pre-NSPS))</t>
  </si>
  <si>
    <t>Fuel Gas HHV</t>
  </si>
  <si>
    <t>Calculated from fuel gas composition</t>
  </si>
  <si>
    <t>US EPA AP-42, Table 1.4-1 (Large Wall-Fired Boilers, Low NOx)</t>
  </si>
  <si>
    <t>US EPA AP-42, Table 1.4-2</t>
  </si>
  <si>
    <t>"lb/ton" to"tonne/tonne"</t>
  </si>
  <si>
    <t>Equipment Leaks | US EPA
Advanced Methane Detection | US EPA
Centrifugal Compressors | US EPA
Reciprocating Compressors | US EPA</t>
  </si>
  <si>
    <t>Well Completions and Workovers | US EPA
Reduced Emission Well Completions and Workovers | US EPA
Liquids Unloading | US EPA</t>
  </si>
  <si>
    <t>Pneumatic Controllers | US EPA
Instrument Air Controllers | US EPA
Mechanical Controllers | US EPA</t>
  </si>
  <si>
    <t>Compressor Starts | US EPA
Air Starters | US EPA</t>
  </si>
  <si>
    <t>Glycol Dehydrators | US EPA
Electric Glycol Circulation Pumps | US EPA
Methanol Injection | US EPA
Optimize Glycol Circulation | US EPA
Flash Tank Separators | US EPA
Desiccant Dehydrators | US EPA
Reroute Glycol Skimmer Gas | US EPA</t>
  </si>
  <si>
    <t>Storage Tanks | US EPA
Vapor Recovery Units | US EPA
Pressurized Storage Tank | US EPA</t>
  </si>
  <si>
    <t>Compressor Station Blowdowns | US EPA
Route Blowdown Gas to Low Pressure System | US EPA
Pipeline Hot Taps | US EPA
Pipeline Pig Launching and Receiving | US EPA</t>
  </si>
  <si>
    <t xml:space="preserve"> - Casing Vents</t>
  </si>
  <si>
    <t xml:space="preserve"> - Workovers</t>
  </si>
  <si>
    <t xml:space="preserve"> - 表层套管</t>
  </si>
  <si>
    <t xml:space="preserve"> - 修井</t>
  </si>
  <si>
    <t xml:space="preserve"> - Venteo de Anulares</t>
  </si>
  <si>
    <t xml:space="preserve"> - Rehabilitación</t>
  </si>
  <si>
    <t>Total for Turbines Engines</t>
  </si>
  <si>
    <t>Total for Heaters and Boilers</t>
  </si>
  <si>
    <t>Grand Total</t>
  </si>
  <si>
    <t>US EPA, AP-42, Table 13.5-1</t>
  </si>
  <si>
    <t>Flare Gas HHV</t>
  </si>
  <si>
    <t>Engine Exhaust | US EPA</t>
  </si>
  <si>
    <t>Cover</t>
  </si>
  <si>
    <t>ValidValveCF_V</t>
  </si>
  <si>
    <t>Oxides of Nitrogen</t>
  </si>
  <si>
    <t xml:space="preserve">Los resultados del análisis se resumen en la hoja de cálculo “Results (Tabular) - Facility”, reportados por categoría de fuente y tipo de GEI. </t>
  </si>
  <si>
    <t>The assessment results are summarized on the “Results (Tabular) - Facility” worksheet by primary source category and type of GHG.</t>
  </si>
  <si>
    <t>Info</t>
  </si>
  <si>
    <t xml:space="preserve">Allowed Values for Source are: </t>
  </si>
  <si>
    <t>Los valores permitidos para la fuente son:</t>
  </si>
  <si>
    <t>源的允许值为：</t>
  </si>
  <si>
    <t>Venting by Other Sources</t>
  </si>
  <si>
    <t>Reported by Facility</t>
  </si>
  <si>
    <t>Reportado por instalación</t>
  </si>
  <si>
    <t>由设施报告</t>
  </si>
  <si>
    <t>Emissions From Pits &amp; Ponds</t>
  </si>
  <si>
    <t>Emissions From Associated Well Sites</t>
  </si>
  <si>
    <t>Emissions From Other Associated Offsite Installations</t>
  </si>
  <si>
    <t>Inlet/Outlet Header: Oil Facilities (Fittings Per Pipeline)</t>
  </si>
  <si>
    <t>Inlet/Outlet Header: Gas Facilities (Fittings Per Pipeline)</t>
  </si>
  <si>
    <t>m3/y/pipeline-km</t>
  </si>
  <si>
    <t>tonnes CH4/y/station</t>
  </si>
  <si>
    <t>tonnes CH4/y/mile</t>
  </si>
  <si>
    <t>kg CH4/completion</t>
  </si>
  <si>
    <t>Gas Well Completions without Hydraulic Fracturing (Vented)</t>
  </si>
  <si>
    <t>Oil Well Completions without Hydraulic Fracturing (Vented)</t>
  </si>
  <si>
    <t>scf CH4/y/platform</t>
  </si>
  <si>
    <t>kg CH4/activity</t>
  </si>
  <si>
    <t>m3 CH4/activity</t>
  </si>
  <si>
    <t>"kg CH4/activity" to "m3 CH4/activity"</t>
  </si>
  <si>
    <t>"tonnes CH4" to "m3 CH4"</t>
  </si>
  <si>
    <t>tonnes CH4/pipeline-mile</t>
  </si>
  <si>
    <t>m3 CH4/pipeline-km</t>
  </si>
  <si>
    <t>"tonnes CH4/pipeline-mile" to "m3 CH4/pipeline-km"</t>
  </si>
  <si>
    <t>scf/h/device</t>
  </si>
  <si>
    <t>"scf/h/devioce" to "m3/d/device"</t>
  </si>
  <si>
    <t>scf/h/devoce</t>
  </si>
  <si>
    <t>`</t>
  </si>
  <si>
    <t>Language &amp; User Guide</t>
  </si>
  <si>
    <t>This tool currently supports English, Mandarin Chinese, and Spanish. The language of choice may be selected using the selection feature located at the top of the "Language &amp; User Guide" worksheet.</t>
  </si>
  <si>
    <t>Setup - Facility Details</t>
  </si>
  <si>
    <t>The “Setup - Facility Details” worksheet is where the user defines the type of facility for which GHG emissions are to be assessed and provides the basic input information needed to perform the assessment. The necessary input information includes activity data, details on the major process or equipment packaged at the facility, and emissions monitoring results (where available).</t>
  </si>
  <si>
    <t xml:space="preserve">The “Setup - Facility Details” worksheet is where the user defines the type of facility and provides the basic information needed to assess the amount of GHG emissions at the facility. The required input information is divided into the following sections: </t>
  </si>
  <si>
    <t>La hoja de trabajo “Setup - Facility Details” es donde el usuario define el tipo de instalación y proporciona la información básica requerida para la estimación de las emisiones de GEI en la instalación. La información requerida que debe introducirse está dividida en las siguientes secciones:</t>
  </si>
  <si>
    <t>N/A</t>
  </si>
  <si>
    <t>Source Type</t>
  </si>
  <si>
    <t>Compressor Engines</t>
  </si>
  <si>
    <t>Process Work</t>
  </si>
  <si>
    <t>Generator Engines</t>
  </si>
  <si>
    <t>Basis</t>
  </si>
  <si>
    <t>Gas Throughput</t>
  </si>
  <si>
    <t>Heater/Boiler Type</t>
  </si>
  <si>
    <t>Engine Type</t>
  </si>
  <si>
    <t>Turbine</t>
  </si>
  <si>
    <t>Reciprocating Engine</t>
  </si>
  <si>
    <t>Heater (Natural Draft)</t>
  </si>
  <si>
    <t>Heater (Forced Draft)</t>
  </si>
  <si>
    <t>Boiler</t>
  </si>
  <si>
    <t>Fuel Category</t>
  </si>
  <si>
    <t>Category</t>
  </si>
  <si>
    <t>(kW)</t>
  </si>
  <si>
    <t>Combustibles Sólidos</t>
  </si>
  <si>
    <t>Combustibles Gaseosos</t>
  </si>
  <si>
    <t>加热器/锅炉类型</t>
  </si>
  <si>
    <t>加热器（自然通风）</t>
  </si>
  <si>
    <t>加热器（强制通风）</t>
  </si>
  <si>
    <t>锅炉</t>
  </si>
  <si>
    <t>发动机类型</t>
  </si>
  <si>
    <t>涡轮机</t>
  </si>
  <si>
    <t>往复式发动机</t>
  </si>
  <si>
    <t>Tipo de calentador/caldera</t>
  </si>
  <si>
    <t>Calentador (tiro natural)</t>
  </si>
  <si>
    <t>Calentador (tiro forzado)</t>
  </si>
  <si>
    <t>Caldera</t>
  </si>
  <si>
    <t>Tipo de motor</t>
  </si>
  <si>
    <t>Turbina</t>
  </si>
  <si>
    <t>Motor alternativo</t>
  </si>
  <si>
    <t>First Upstream Pressure Vessel</t>
  </si>
  <si>
    <t>Operating Pressure</t>
  </si>
  <si>
    <t>Operating Temperature</t>
  </si>
  <si>
    <t>Oil Gravity or Density</t>
  </si>
  <si>
    <t>Flash Gas Factor</t>
  </si>
  <si>
    <t>Measured Value</t>
  </si>
  <si>
    <t>Combustion Source Type</t>
  </si>
  <si>
    <t>Unknown</t>
  </si>
  <si>
    <t>Measured or Reported</t>
  </si>
  <si>
    <t>Total Facility</t>
  </si>
  <si>
    <t>Checks</t>
  </si>
  <si>
    <t>EF Result</t>
  </si>
  <si>
    <t>Value Used</t>
  </si>
  <si>
    <t>Value (%)</t>
  </si>
  <si>
    <t xml:space="preserve">Inlet </t>
  </si>
  <si>
    <t>Final Outlet</t>
  </si>
  <si>
    <t>Maximum Rated Power Output of Engine</t>
  </si>
  <si>
    <t>"FUEL ALLOCATION BY SOURCE TYPE" SETUP</t>
  </si>
  <si>
    <t>"FACILITY-LEVEL FUEL USE" SETUP</t>
  </si>
  <si>
    <t>"FACILITY-LEVEL FLASH-GAS EMISSIONS" SETUP</t>
  </si>
  <si>
    <t>Flashing Losses</t>
  </si>
  <si>
    <t>Storage System</t>
  </si>
  <si>
    <t>Product</t>
  </si>
  <si>
    <t xml:space="preserve">Receipts </t>
  </si>
  <si>
    <t>System Details</t>
  </si>
  <si>
    <t>Product Details</t>
  </si>
  <si>
    <t>Theoretical Losses</t>
  </si>
  <si>
    <t>Vent Control Device</t>
  </si>
  <si>
    <t>"OIL STORAGE SYSTEM" SETUP</t>
  </si>
  <si>
    <t>"PRODUCED WATER STORAGE SYSTEM" SETUP</t>
  </si>
  <si>
    <t>Entrained Oil</t>
  </si>
  <si>
    <t>% of Produced Water Volume</t>
  </si>
  <si>
    <t>Inlet Separator or Free-Water Knock-Out</t>
  </si>
  <si>
    <t>Estimated Flashing Details</t>
  </si>
  <si>
    <t>"DETAILED RESULTS TABULATION" FOR QUALITY ASSURANCE CHECKS</t>
  </si>
  <si>
    <t>Separator Operating Condtions</t>
  </si>
  <si>
    <t>Stock Tank Oil</t>
  </si>
  <si>
    <t>Correlation Parameters</t>
  </si>
  <si>
    <t>Calculated
Flash Gas Factor</t>
  </si>
  <si>
    <t>Flash-Gas
Emissions</t>
  </si>
  <si>
    <t>Pressure
(kPag)</t>
  </si>
  <si>
    <t>Temperature
(C)</t>
  </si>
  <si>
    <t>Pressure
(psig)</t>
  </si>
  <si>
    <t>Temperature
(F)</t>
  </si>
  <si>
    <t>lnPsp</t>
  </si>
  <si>
    <t>LnTsp</t>
  </si>
  <si>
    <t>API</t>
  </si>
  <si>
    <t>z1</t>
  </si>
  <si>
    <t>Z2</t>
  </si>
  <si>
    <t>z3</t>
  </si>
  <si>
    <t>z</t>
  </si>
  <si>
    <t>(E3 m3/d)</t>
  </si>
  <si>
    <t>Defaults</t>
  </si>
  <si>
    <t>kPa (g)</t>
  </si>
  <si>
    <t>psi</t>
  </si>
  <si>
    <t>bar</t>
  </si>
  <si>
    <t>"kPa" to "psi"</t>
  </si>
  <si>
    <t>(C)</t>
  </si>
  <si>
    <t>m3/d</t>
  </si>
  <si>
    <t>"m3/d" to "E3 m3/d"</t>
  </si>
  <si>
    <t>E3 m3/d</t>
  </si>
  <si>
    <t>"m3/d" to "m3/h"</t>
  </si>
  <si>
    <t>scf/h</t>
  </si>
  <si>
    <t>"m3/d" to "scf/h"</t>
  </si>
  <si>
    <t>mscf/d</t>
  </si>
  <si>
    <t>Oil Density (kg/m3)</t>
  </si>
  <si>
    <t>kg/m3</t>
  </si>
  <si>
    <t>lb/gal</t>
  </si>
  <si>
    <t>lb/ft3</t>
  </si>
  <si>
    <t>"kg/m3" to "lb/gal"</t>
  </si>
  <si>
    <t>"kg/m3" to "lb/ft3l"</t>
  </si>
  <si>
    <t>m3/mo</t>
  </si>
  <si>
    <t>m3/y</t>
  </si>
  <si>
    <t>"m3/d" to "gal/h"</t>
  </si>
  <si>
    <t>gal/h</t>
  </si>
  <si>
    <t>"m3/d" to "bbll/d"</t>
  </si>
  <si>
    <t>"m3/d" to "bbl/mo"</t>
  </si>
  <si>
    <t>"m3/d" to "bbl/y"</t>
  </si>
  <si>
    <t>(Fractional)</t>
  </si>
  <si>
    <t>Vapor Recovery Compressor</t>
  </si>
  <si>
    <t>"m3/d" to "mmscf/d"</t>
  </si>
  <si>
    <t>Free-Water Knock-Out</t>
  </si>
  <si>
    <t>Treater</t>
  </si>
  <si>
    <t>%</t>
  </si>
  <si>
    <t>SCF/BBL of Oil</t>
  </si>
  <si>
    <t>SCF/BBL of Water</t>
  </si>
  <si>
    <t>scf/bbl of water</t>
  </si>
  <si>
    <t>kW</t>
  </si>
  <si>
    <t>scf/bbl of oil</t>
  </si>
  <si>
    <t>CALCULATIONS (GENERATOR ENGINES)</t>
  </si>
  <si>
    <t>CALCULATIONS (COMPRESSOR ENGINES)</t>
  </si>
  <si>
    <t>CALCULATIONS (HEATERS &amp; BOILERS)</t>
  </si>
  <si>
    <t>Heater Conditions</t>
  </si>
  <si>
    <t>Fuel</t>
  </si>
  <si>
    <t>HHV</t>
  </si>
  <si>
    <t>NHV</t>
  </si>
  <si>
    <t>Solid</t>
  </si>
  <si>
    <t>Efficiency</t>
  </si>
  <si>
    <t>Load Factor</t>
  </si>
  <si>
    <t>Load Factor (%)</t>
  </si>
  <si>
    <t>Assumed based on density range.</t>
  </si>
  <si>
    <t>GREET (2010)</t>
  </si>
  <si>
    <t>Performance Specification</t>
  </si>
  <si>
    <t>Operating Factor</t>
  </si>
  <si>
    <t>Output Power Rating</t>
  </si>
  <si>
    <t>HP</t>
  </si>
  <si>
    <t>"kW" to "HP"</t>
  </si>
  <si>
    <t>"HP" to "kW"</t>
  </si>
  <si>
    <t>"kW" to "GJ/h"</t>
  </si>
  <si>
    <t>mmBTU/h</t>
  </si>
  <si>
    <t>"mmBTU/h" to "kW"</t>
  </si>
  <si>
    <t>GJ/H</t>
  </si>
  <si>
    <t>"GJ/h" to "kW"</t>
  </si>
  <si>
    <t>"tonne" to "kg"</t>
  </si>
  <si>
    <t xml:space="preserve"> &lt;--- Defaults</t>
  </si>
  <si>
    <t>y</t>
  </si>
  <si>
    <t>"y" to "h"</t>
  </si>
  <si>
    <t>Design Energy Output Rate</t>
  </si>
  <si>
    <t>Fuel Gas LHV</t>
  </si>
  <si>
    <t>Measured or Reported Value</t>
  </si>
  <si>
    <t>Estimated Value</t>
  </si>
  <si>
    <t>(If Available)</t>
  </si>
  <si>
    <t>Method 1</t>
  </si>
  <si>
    <t>(If Setup Completed)</t>
  </si>
  <si>
    <t>Method 2</t>
  </si>
  <si>
    <t>(Optional)</t>
  </si>
  <si>
    <t>Engine Operating Hours and Performance</t>
  </si>
  <si>
    <t>Method 1 Input Data (Engine Size &amp; Loading)</t>
  </si>
  <si>
    <t>Method 2 Input Data (Compression Work Done)</t>
  </si>
  <si>
    <t>Electricity Produced</t>
  </si>
  <si>
    <t>Method 2 Input Data (Electricity Generated)</t>
  </si>
  <si>
    <t>Heater or Boiler Operating Hours &amp; Performance</t>
  </si>
  <si>
    <t>Gaseous</t>
  </si>
  <si>
    <t>&lt;--- Default Values</t>
  </si>
  <si>
    <t>Method 1 Fuel Consumption</t>
  </si>
  <si>
    <t>Method 2 Fuel Consumption</t>
  </si>
  <si>
    <t>Process Data</t>
  </si>
  <si>
    <t>P1</t>
  </si>
  <si>
    <t>T1</t>
  </si>
  <si>
    <t>P2</t>
  </si>
  <si>
    <t>Z1</t>
  </si>
  <si>
    <t>Pratio</t>
  </si>
  <si>
    <t>(kPa [g])</t>
  </si>
  <si>
    <t>Gas Properties</t>
  </si>
  <si>
    <t>Compressor Properties</t>
  </si>
  <si>
    <t>Defaults-&gt;</t>
  </si>
  <si>
    <t>Centrifugal (typical values: 70 to 85%)</t>
  </si>
  <si>
    <t>Low-speed Recip Comp. (Typical values 75 to 95%)</t>
  </si>
  <si>
    <t>High-Speed Recip Comp (Typical values: 72 to 85%)</t>
  </si>
  <si>
    <t>Assumed based on engine type.</t>
  </si>
  <si>
    <t>Polytropic Exponent</t>
  </si>
  <si>
    <t>Ambient Pressure</t>
  </si>
  <si>
    <t>NG Specific Heat Ratio</t>
  </si>
  <si>
    <t>Air Specific Heat Ratio</t>
  </si>
  <si>
    <t>Air Molecular Weight</t>
  </si>
  <si>
    <t>Acid Gas HHV</t>
  </si>
  <si>
    <t>Fuel Gas Molecular Weight</t>
  </si>
  <si>
    <t>NG Molecualr Weight</t>
  </si>
  <si>
    <t>Air Cv Specific Heat</t>
  </si>
  <si>
    <t>Air Cp Specific Heat</t>
  </si>
  <si>
    <t>J/kg</t>
  </si>
  <si>
    <t>(m)</t>
  </si>
  <si>
    <t>Head</t>
  </si>
  <si>
    <t>NG Density</t>
  </si>
  <si>
    <t>Fuel Gas Density</t>
  </si>
  <si>
    <t>Air Density</t>
  </si>
  <si>
    <t>(kg/s)</t>
  </si>
  <si>
    <t>Engine Conditions</t>
  </si>
  <si>
    <t>Engine Work</t>
  </si>
  <si>
    <t>Mechanical Loss Factor</t>
  </si>
  <si>
    <t>lb/h</t>
  </si>
  <si>
    <t>ton/d</t>
  </si>
  <si>
    <t>tonne/d</t>
  </si>
  <si>
    <t>L/h</t>
  </si>
  <si>
    <t>gal/d</t>
  </si>
  <si>
    <t>mscf/mo</t>
  </si>
  <si>
    <t>E3 m3/mo</t>
  </si>
  <si>
    <t>Units of Measure Lookup Table for Fuels</t>
  </si>
  <si>
    <t>tonne/mo</t>
  </si>
  <si>
    <t>ton/mo</t>
  </si>
  <si>
    <t>ton/y</t>
  </si>
  <si>
    <t>gal/mo</t>
  </si>
  <si>
    <t>gal/y</t>
  </si>
  <si>
    <t>E3 m3/y</t>
  </si>
  <si>
    <t>mscf/y</t>
  </si>
  <si>
    <t>Fuel Consumption (Per unit)</t>
  </si>
  <si>
    <t>Fuel Consumption (Per Unit)</t>
  </si>
  <si>
    <t>"kg/h" to "lb/h"</t>
  </si>
  <si>
    <t>"kg/h" to "ton/d"</t>
  </si>
  <si>
    <t>"kg/h" to "tonne/d"</t>
  </si>
  <si>
    <t>"kg/h" to "ton/mo"</t>
  </si>
  <si>
    <t>"kg/h" to "tonne/mo"</t>
  </si>
  <si>
    <t>"kg/h" to "ton/y"</t>
  </si>
  <si>
    <t>"m3/h" to "gal/h"</t>
  </si>
  <si>
    <t>"m3/h" to "L/h"</t>
  </si>
  <si>
    <t>"m3/h" to "gal/d"</t>
  </si>
  <si>
    <t>"m3/h" to "m3/d"</t>
  </si>
  <si>
    <t>"m3/h" to "gal/mo"</t>
  </si>
  <si>
    <t>"m3/h" to "m3/mo"</t>
  </si>
  <si>
    <t>"m3/h" to "gal/y"</t>
  </si>
  <si>
    <t>"m3/h" to "m3/y"</t>
  </si>
  <si>
    <t>"m3/h" to "scf/h"</t>
  </si>
  <si>
    <t>"m3/h" to "mscf/d"</t>
  </si>
  <si>
    <t>"m3/h" to "E3 m3/d"</t>
  </si>
  <si>
    <t>"m3/h" to "mscf/mo"</t>
  </si>
  <si>
    <t>"m3/h" to "E3 m3/mo"</t>
  </si>
  <si>
    <t>"m3/h" to "mscf/y"</t>
  </si>
  <si>
    <t>"m3/h" to "E3 m3/y"</t>
  </si>
  <si>
    <t>Units of Measure Lookup Table for Oil &amp; Water Receipts</t>
  </si>
  <si>
    <t>Internal Calculation Units of Measure:</t>
  </si>
  <si>
    <t>- Solid Fuels</t>
  </si>
  <si>
    <t>- Liquid Fuels</t>
  </si>
  <si>
    <t>- Gas</t>
  </si>
  <si>
    <t>Units of Measure Lookup Table for Vented and Flared Volumes</t>
  </si>
  <si>
    <t>oz/in2</t>
  </si>
  <si>
    <t>Pa</t>
  </si>
  <si>
    <t>Units of Measure Lookup Table for Natural Gas Receipts</t>
  </si>
  <si>
    <t>E6 m3/d</t>
  </si>
  <si>
    <t>E6 m3/mo</t>
  </si>
  <si>
    <t>E6 m3/y</t>
  </si>
  <si>
    <t>bscf/y</t>
  </si>
  <si>
    <t>- Vented Volumes: E3 m3/d</t>
  </si>
  <si>
    <t>- Flared Volumes: E3 m3/d</t>
  </si>
  <si>
    <t>"E3 m3/d" to "scf/h"</t>
  </si>
  <si>
    <t>"E3 m3/d" to "m3/h"</t>
  </si>
  <si>
    <t>"E3 m3/d" to "mscf/d"</t>
  </si>
  <si>
    <t>"E3 m3/d" to "mmscf/d"</t>
  </si>
  <si>
    <t>"E3 m3/d" to "E3 m3/d"</t>
  </si>
  <si>
    <t>"E3 m3/d" to "E6 m3/d"</t>
  </si>
  <si>
    <t>"E3 m3/d" to "mscf/mo"</t>
  </si>
  <si>
    <t>"E3 m3/d" to "mmscf/mo"</t>
  </si>
  <si>
    <t>"E3 m3/d" to "E6 m3/mo"</t>
  </si>
  <si>
    <t>"E3 m3/d" to "mmscf/y"</t>
  </si>
  <si>
    <t>"E3 m3/d" to "bscf/y"</t>
  </si>
  <si>
    <t>"E3 m3/d" to "E6 m3/y"</t>
  </si>
  <si>
    <t>- Oil Receipts: m3/d</t>
  </si>
  <si>
    <t>E3m3/y</t>
  </si>
  <si>
    <t>"m3/d" to "E3 m3/y"</t>
  </si>
  <si>
    <t>"E3 m3/d" to "m3/d"</t>
  </si>
  <si>
    <t>"E3 m3/d" to "E3 m3/mo"</t>
  </si>
  <si>
    <t>"kPa" to "oz/in2"</t>
  </si>
  <si>
    <t>"kPa" to "Pa"</t>
  </si>
  <si>
    <t>"kPa" to "kPa"</t>
  </si>
  <si>
    <t>"kPa" to "bar"</t>
  </si>
  <si>
    <t>kWh/d</t>
  </si>
  <si>
    <t>kWh/mo</t>
  </si>
  <si>
    <t>"kW" to "kW"</t>
  </si>
  <si>
    <t>"kW" to "kWh/d"</t>
  </si>
  <si>
    <t>"kW" to "kWh/mo"</t>
  </si>
  <si>
    <t>"kW" to "MWh/y"</t>
  </si>
  <si>
    <t>Units of Measure Lookup Table for Heater &amp; Boiler Output Power Rating</t>
  </si>
  <si>
    <t>- Heater or Boiler Output Power Rating: kW</t>
  </si>
  <si>
    <t>Units of Measure Lookup Table for Engine Output Power Rating</t>
  </si>
  <si>
    <t>- Engine Output Power Rating: kW</t>
  </si>
  <si>
    <t>MW</t>
  </si>
  <si>
    <t>mBTU/h</t>
  </si>
  <si>
    <t>"kW" to "mBTU/h"</t>
  </si>
  <si>
    <t>"kW" to "mmBTU/h"</t>
  </si>
  <si>
    <t>"kW" to "MW"</t>
  </si>
  <si>
    <t>Operating Pressure (Gauge)</t>
  </si>
  <si>
    <t>- Gage Pressure: kPag</t>
  </si>
  <si>
    <t>- Absolute Pressure: kPa</t>
  </si>
  <si>
    <t>Subtype</t>
  </si>
  <si>
    <t>Consumption</t>
  </si>
  <si>
    <t>Units of Measure required by "Calculations - Combustion"</t>
  </si>
  <si>
    <t>Reported Site Total</t>
  </si>
  <si>
    <t>Aggregate Measured or Reported Contributions</t>
  </si>
  <si>
    <t>Corrected Total</t>
  </si>
  <si>
    <t>Uncorrected total</t>
  </si>
  <si>
    <t>INTERNAL RESULTS &amp; SITE-WIDE FUEL RECONCILIATION</t>
  </si>
  <si>
    <t>Aggregate
 Estimated Contributions</t>
  </si>
  <si>
    <t>Source-Level Corrected Estimated Contribution</t>
  </si>
  <si>
    <t>Site-Level Corrected Estimated Contribution</t>
  </si>
  <si>
    <t>Site-Based Proration Factors (for Application to Estimated Contributions)</t>
  </si>
  <si>
    <t>Reconcilable Estimated Contribution</t>
  </si>
  <si>
    <t>Final Adjustments to Estimates to Match Total Site-Level Fuel Use</t>
  </si>
  <si>
    <t>Final Adjustments to Source-Level Data to Match Site-Level Fuel-Use</t>
  </si>
  <si>
    <t>Final Total</t>
  </si>
  <si>
    <t>Corrected 
Estimates</t>
  </si>
  <si>
    <t>Electricity
 Produced</t>
  </si>
  <si>
    <t>Units of Measure Lookup Table for Gauge Pressure and Absolute Pressure</t>
  </si>
  <si>
    <t xml:space="preserve">Units of Measure for Oil Density </t>
  </si>
  <si>
    <t>- Oil Density: kg/m3</t>
  </si>
  <si>
    <t>Must Be Calculated</t>
  </si>
  <si>
    <t>Units of Measure for Flash Gas Factors</t>
  </si>
  <si>
    <t>- Flash Gas Factor: m3/m3 oil</t>
  </si>
  <si>
    <t>scf/bbl of Oil</t>
  </si>
  <si>
    <t>m3/m3 of Oil</t>
  </si>
  <si>
    <t>scf/bbl of Water</t>
  </si>
  <si>
    <t>m3/m3 of Water</t>
  </si>
  <si>
    <t>m3/m3 Oil</t>
  </si>
  <si>
    <t>scf/bbl Oil</t>
  </si>
  <si>
    <t>m3/m3 Water</t>
  </si>
  <si>
    <t>scf/bbl Water</t>
  </si>
  <si>
    <t>"m3/m3 Oil" to "scf/bbl Oil"</t>
  </si>
  <si>
    <t>"m3/m3 Water" to "scf/bbl Water"</t>
  </si>
  <si>
    <t>Value (Optional)</t>
  </si>
  <si>
    <t>CALCULATIONS (UNCONTROLLED CRUDE OIL FLASHING LOSSES)</t>
  </si>
  <si>
    <t>CALCULATIONS (UNCONTROLLED PRODUCED WATER FLASHING LOSSES)</t>
  </si>
  <si>
    <t>Output to Fugitives Form</t>
  </si>
  <si>
    <t>Default--&gt;</t>
  </si>
  <si>
    <t>Non-Flashing Losses from Storage Tanks</t>
  </si>
  <si>
    <t>Emitted Substance</t>
  </si>
  <si>
    <t>Emitted Substance Types</t>
  </si>
  <si>
    <t>Units of Measure Lookup Table for Heat Purchased</t>
  </si>
  <si>
    <t>mmBTU/mo</t>
  </si>
  <si>
    <t>mmBTU/y</t>
  </si>
  <si>
    <t>mmBTU/d</t>
  </si>
  <si>
    <t>MJ/h</t>
  </si>
  <si>
    <t>"GJ/y" to "mBTU/h"</t>
  </si>
  <si>
    <t>"GJ/y" to "mmBTU/d"</t>
  </si>
  <si>
    <t>"GJ/y" to "mmBTU/mo"</t>
  </si>
  <si>
    <t>"GJ/y" to "mmBTU/y"</t>
  </si>
  <si>
    <t>"GJ/y" to "MJ/h"</t>
  </si>
  <si>
    <t>"GJ/y" to "GJ/d"</t>
  </si>
  <si>
    <t>"GJ/y" to "GJ/mo"</t>
  </si>
  <si>
    <t>(m3/d of Vapor)</t>
  </si>
  <si>
    <t>Flashing Losses (Oil Production Tanks)</t>
  </si>
  <si>
    <t>Flashing Losses (Produced Water Tanks)</t>
  </si>
  <si>
    <t>Non-Flashing Losses from Storage Tanks (Measured)</t>
  </si>
  <si>
    <t>Inventory of Compressors (Emissions from Compressor Starts)</t>
  </si>
  <si>
    <t>Other Contributions (Measured)</t>
  </si>
  <si>
    <t>Thermal Efficiency (%)</t>
  </si>
  <si>
    <t>Calculation 
Units of
 Measure</t>
  </si>
  <si>
    <t>Final Corrected Aggregate Value</t>
  </si>
  <si>
    <t>DETERMINATION OF AGGREGATE FUEL CONSUMPTION</t>
  </si>
  <si>
    <t>Calculation 
Units of Measure</t>
  </si>
  <si>
    <t>Total Aggregate Consumption (by All Units)</t>
  </si>
  <si>
    <t>Measured or Reported
 (Aggregate for All Units)</t>
  </si>
  <si>
    <t>Estimated
 (Aggregate for All Units)</t>
  </si>
  <si>
    <t>Applied
(Aggregate for All Units)</t>
  </si>
  <si>
    <t>Setup - Fuel Use</t>
  </si>
  <si>
    <t>设置 - 燃料使用</t>
  </si>
  <si>
    <t>Configuración - Uso de combustible</t>
  </si>
  <si>
    <t>Setup - Flashing Losses</t>
  </si>
  <si>
    <t>设置 - 闪烁损失</t>
  </si>
  <si>
    <t>Configuración - Pérdidas intermitentes</t>
  </si>
  <si>
    <t>测量的排放贡献（此处输入的值覆盖了相应的排放因子计算）</t>
  </si>
  <si>
    <t>Contribuciones de emisiones medidas (los valores ingresados ​​aquí anularon los cálculos del factor de emisión correspondiente)</t>
  </si>
  <si>
    <t>排放物质</t>
  </si>
  <si>
    <t>Sustancia emitida</t>
  </si>
  <si>
    <t>Utilities  - Venting Calculation</t>
  </si>
  <si>
    <t>坚硬的</t>
  </si>
  <si>
    <t>Sólida</t>
  </si>
  <si>
    <t>Líquida</t>
  </si>
  <si>
    <t>气态</t>
  </si>
  <si>
    <t>Gaseosa</t>
  </si>
  <si>
    <t>Oil Storage System Type</t>
  </si>
  <si>
    <t>Separator</t>
  </si>
  <si>
    <t>Vapor Recovery Tower</t>
  </si>
  <si>
    <t>Produced Water Storage System Type</t>
  </si>
  <si>
    <t>Inlet Separator</t>
  </si>
  <si>
    <t>Flare</t>
  </si>
  <si>
    <r>
      <t>Oil Production
(m</t>
    </r>
    <r>
      <rPr>
        <b/>
        <vertAlign val="superscript"/>
        <sz val="11"/>
        <color indexed="8"/>
        <rFont val="Arial Narrow"/>
        <family val="2"/>
      </rPr>
      <t>3</t>
    </r>
    <r>
      <rPr>
        <b/>
        <sz val="11"/>
        <color indexed="8"/>
        <rFont val="Arial Narrow"/>
        <family val="2"/>
      </rPr>
      <t>/d)</t>
    </r>
  </si>
  <si>
    <r>
      <t>Oil Gravity
(</t>
    </r>
    <r>
      <rPr>
        <b/>
        <sz val="11"/>
        <color indexed="8"/>
        <rFont val="Arial Narrow"/>
        <family val="2"/>
      </rPr>
      <t>°API)</t>
    </r>
  </si>
  <si>
    <r>
      <t>sm</t>
    </r>
    <r>
      <rPr>
        <b/>
        <vertAlign val="superscript"/>
        <sz val="12"/>
        <color indexed="8"/>
        <rFont val="Arial Narrow"/>
        <family val="2"/>
      </rPr>
      <t xml:space="preserve">3 </t>
    </r>
    <r>
      <rPr>
        <b/>
        <sz val="12"/>
        <color indexed="8"/>
        <rFont val="Arial Narrow"/>
        <family val="2"/>
      </rPr>
      <t>Gas/m</t>
    </r>
    <r>
      <rPr>
        <b/>
        <vertAlign val="superscript"/>
        <sz val="12"/>
        <color indexed="8"/>
        <rFont val="Arial Narrow"/>
        <family val="2"/>
      </rPr>
      <t>3</t>
    </r>
    <r>
      <rPr>
        <b/>
        <sz val="12"/>
        <color indexed="8"/>
        <rFont val="Arial Narrow"/>
        <family val="2"/>
      </rPr>
      <t xml:space="preserve"> of Oil</t>
    </r>
  </si>
  <si>
    <r>
      <t>m</t>
    </r>
    <r>
      <rPr>
        <b/>
        <vertAlign val="superscript"/>
        <sz val="11"/>
        <rFont val="Arial Narrow"/>
        <family val="2"/>
      </rPr>
      <t>3</t>
    </r>
    <r>
      <rPr>
        <b/>
        <sz val="11"/>
        <rFont val="Arial Narrow"/>
        <family val="2"/>
      </rPr>
      <t>/d</t>
    </r>
  </si>
  <si>
    <r>
      <t>Water Production
(m</t>
    </r>
    <r>
      <rPr>
        <b/>
        <vertAlign val="superscript"/>
        <sz val="11"/>
        <color indexed="8"/>
        <rFont val="Arial Narrow"/>
        <family val="2"/>
      </rPr>
      <t>3</t>
    </r>
    <r>
      <rPr>
        <b/>
        <sz val="11"/>
        <color indexed="8"/>
        <rFont val="Arial Narrow"/>
        <family val="2"/>
      </rPr>
      <t>/d)</t>
    </r>
  </si>
  <si>
    <r>
      <t>sm</t>
    </r>
    <r>
      <rPr>
        <b/>
        <vertAlign val="superscript"/>
        <sz val="12"/>
        <color indexed="8"/>
        <rFont val="Arial Narrow"/>
        <family val="2"/>
      </rPr>
      <t xml:space="preserve">3 </t>
    </r>
    <r>
      <rPr>
        <b/>
        <sz val="12"/>
        <color indexed="8"/>
        <rFont val="Arial Narrow"/>
        <family val="2"/>
      </rPr>
      <t>Gas/m</t>
    </r>
    <r>
      <rPr>
        <b/>
        <vertAlign val="superscript"/>
        <sz val="12"/>
        <color indexed="8"/>
        <rFont val="Arial Narrow"/>
        <family val="2"/>
      </rPr>
      <t>3</t>
    </r>
    <r>
      <rPr>
        <b/>
        <sz val="12"/>
        <color indexed="8"/>
        <rFont val="Arial Narrow"/>
        <family val="2"/>
      </rPr>
      <t xml:space="preserve"> of Water</t>
    </r>
  </si>
  <si>
    <t xml:space="preserve">    - Storage Losses</t>
  </si>
  <si>
    <t>- 储存损失</t>
  </si>
  <si>
    <t>- Pérdidas de almacenamiento</t>
  </si>
  <si>
    <t>储存损失</t>
  </si>
  <si>
    <t>其他贡献（已衡量）</t>
  </si>
  <si>
    <t>Otras contribuciones (medidas)</t>
  </si>
  <si>
    <t>Other Contributions (Measured):</t>
  </si>
  <si>
    <t>其他贡献（已衡量）:</t>
  </si>
  <si>
    <t>Otras contribuciones (medidas):</t>
  </si>
  <si>
    <t>Default---&gt;</t>
  </si>
  <si>
    <t xml:space="preserve"> Default Temperature is as per API Compendium (2021) Table 6-20</t>
  </si>
  <si>
    <t>As per API Compendium (2021) Table 6-20.</t>
  </si>
  <si>
    <t>This worksheet is where any gaseous, liquid, and solid fuel use at a facility is reported. Typically, a facility's total fuel consumption by fuel type is measured but the  amount consumed by type of stationary combustion source (e.g., turbines, engines, and process heaters and boilers) is not. Determining the disposition of each fuel type by source type is important since the specific emissions of methane (i.e., due to incomplete combustion) and other pollutants is a function of these two parameters. Accordingly, this worksheet allows the user to input information on each combustion source for use in estimating the sitewide disposition of each fuel. One option for estimating this disposition is to provide the rated power output of each source along with its operating time and estimated percent loading (if known). In the case of drivers (i.e., turbines and engines) for natural gas compressors and electric power generators, a second (more refined) option is to provide information  on the amount of useful  process work being performed, which is then used to back calculate source-specific fuel consumption. In either case, the calculations are designed to minimize the amount of input information required from the user with some information being optional. Where both options are applied, only the results of the second option will be used. If there are multiple combustion sources of the same type and size and having similar operating conditions, then only one instance of this source needs to be entered along with the quantity of these units. The aggregate results from all relevant assessed sources and groups of sources are forced to match the reported sitewide fuel consumption for each fuel type. If sitewide fuel consumption is not measured, then the fuel use estimates are used directly. If some of the combustion sources are equipped with fuel use metering and others are not, then any adjustments needed to achieve a correct fuel balance are primarily applied to the estimated values. These determinations are all done programmatically for the user.</t>
  </si>
  <si>
    <t xml:space="preserve">  -  Gas Engine (2-Stroke Lean-Burn)</t>
  </si>
  <si>
    <t xml:space="preserve">  -  Gas Engine (4-Stroke Lean-Burn)</t>
  </si>
  <si>
    <t xml:space="preserve">  -  Gas Engine (4-Stroke Rich-Burn)</t>
  </si>
  <si>
    <t xml:space="preserve">  -  Heaters &amp; Boilers</t>
  </si>
  <si>
    <t xml:space="preserve">  -  Heaters &amp; Boilers (Low-NOx)</t>
  </si>
  <si>
    <t>Note: the total facility fuel consumption shown above  should match the sum of the listed source contributions below it in Column F but not necessarily in Columns D and E.</t>
  </si>
  <si>
    <t>Estimated Duty</t>
  </si>
  <si>
    <t>Operating Conditions</t>
  </si>
  <si>
    <t>Screw (Typical values: 65 to 75%)</t>
  </si>
  <si>
    <t>CALCULATIONS (SITE-WIDE FUEL RECONCILIATION)</t>
  </si>
  <si>
    <t>Source-Based Proration Factors (For Application to Estimated Contributions)</t>
  </si>
  <si>
    <t>Natural Gas Receipts (input Units of Measure)</t>
  </si>
  <si>
    <t>Solid (Input Unit of Measure)</t>
  </si>
  <si>
    <t>Liquid  (Input Unit of Measure)</t>
  </si>
  <si>
    <t>Gaseous  (Input Unit of Measure)</t>
  </si>
  <si>
    <t>Oil  (Input Unit of Measure)</t>
  </si>
  <si>
    <t>Water  (Input Unit of Measure)</t>
  </si>
  <si>
    <t>Vented Natural Gas  (Input Unit of Measure)</t>
  </si>
  <si>
    <t>Flared  (Input Unit of Measure)</t>
  </si>
  <si>
    <t>Heat Purchased  (Input Unit of Measure)</t>
  </si>
  <si>
    <t>Gauge Pressure  (Input Unit of Measure)</t>
  </si>
  <si>
    <t>Absolute Pressure  (Input Unit of Measure)</t>
  </si>
  <si>
    <t>Flash Gas Factor for Oil  (Input Unit of Measure)</t>
  </si>
  <si>
    <t>Flash Gas Factor for Produced Water  (Input Unit of Measure)</t>
  </si>
  <si>
    <t>Electricity Consumption or Generation  (Input Unit of Measure)</t>
  </si>
  <si>
    <t>Heater &amp; Boiler Output Power Rating  (Input Unit of Measure)</t>
  </si>
  <si>
    <t>Multiplication Factors For Conversion to Internal Calculation Units of Measure</t>
  </si>
  <si>
    <t>Heater &amp; Boiler Output Power Rating (Conversion Factors)</t>
  </si>
  <si>
    <t>Electricity Consumption or Generation (Conversion Factors)</t>
  </si>
  <si>
    <t>Flash Gas Factor Oil (Conversion Factors)</t>
  </si>
  <si>
    <t>Flash Gas Factor Produced Water (Conversion Factors)</t>
  </si>
  <si>
    <t>Oil Density (Conversion Factors)</t>
  </si>
  <si>
    <t>Absolute Pressure (Conversion Factors)</t>
  </si>
  <si>
    <t>Vented Natural Gas (Conversion Factors)</t>
  </si>
  <si>
    <t>Flared (Conversion Factors)</t>
  </si>
  <si>
    <t>Natural Gas Production/Receipts (Conversion Factors)</t>
  </si>
  <si>
    <t>Oil (Conversion Factors)</t>
  </si>
  <si>
    <t>Water (Conversion Factors)</t>
  </si>
  <si>
    <t>Solid (Conversion Factors)</t>
  </si>
  <si>
    <t>Liquid (Conversion Factors)</t>
  </si>
  <si>
    <t>Gaseous (Conversion Factors)</t>
  </si>
  <si>
    <t>"m3/d" to "m3/d"</t>
  </si>
  <si>
    <t>Engine Output Power Rating  (Input Unit of Measure)</t>
  </si>
  <si>
    <t>Not Implemented at this time.</t>
  </si>
  <si>
    <t>No EF, so not implemented.</t>
  </si>
  <si>
    <t>No EF</t>
  </si>
  <si>
    <t>Measured results.</t>
  </si>
  <si>
    <r>
      <rPr>
        <u/>
        <sz val="10"/>
        <color rgb="FF5B9BD5"/>
        <rFont val="Arial Narrow"/>
        <family val="2"/>
      </rPr>
      <t>Electric Compressor Motors | US EPA</t>
    </r>
    <r>
      <rPr>
        <sz val="10"/>
        <color rgb="FF5B9BD5"/>
        <rFont val="Arial Narrow"/>
        <family val="2"/>
      </rPr>
      <t xml:space="preserve">
</t>
    </r>
  </si>
  <si>
    <r>
      <rPr>
        <u/>
        <sz val="11"/>
        <color rgb="FF0070C0"/>
        <rFont val="Arial Narrow"/>
        <family val="2"/>
      </rPr>
      <t>Engine Exhaust | US EPA</t>
    </r>
    <r>
      <rPr>
        <sz val="11"/>
        <color theme="1"/>
        <rFont val="Arial Narrow"/>
        <family val="2"/>
      </rPr>
      <t xml:space="preserve">
</t>
    </r>
    <r>
      <rPr>
        <u/>
        <sz val="11"/>
        <color rgb="FF0070C0"/>
        <rFont val="Arial Narrow"/>
        <family val="2"/>
      </rPr>
      <t>Electric Compressor Motors | US EPA</t>
    </r>
    <r>
      <rPr>
        <sz val="11"/>
        <color theme="1"/>
        <rFont val="Arial Narrow"/>
        <family val="2"/>
      </rPr>
      <t xml:space="preserve">
</t>
    </r>
  </si>
  <si>
    <t>Detailed Results Tabulation</t>
  </si>
  <si>
    <t>Correlation rather than EF applied where applicable.</t>
  </si>
  <si>
    <t>'- Natural gas receipts of throughput Volumes: E3 m3/d</t>
  </si>
  <si>
    <t>'- Heat Purchased: GJ/y</t>
  </si>
  <si>
    <t>Error: The emission calculation for this source category contains an error.</t>
  </si>
  <si>
    <t>Compressor Wet Seals (Centrifugal - Operating)</t>
  </si>
  <si>
    <t>Compressor Dry Seals (Centrifugal - Standby &amp; Pressurized)</t>
  </si>
  <si>
    <t>Compressor Wet Seals (Centrifugal - Standby &amp; Pressurized)</t>
  </si>
  <si>
    <t>Compressor Wet Seals (Centrifugal - Depressurized)</t>
  </si>
  <si>
    <t>Compressor Dry Seals (Centrifugal - Operating)</t>
  </si>
  <si>
    <t>Compressor Dry Seals (Centrifugal - Depressurized)</t>
  </si>
  <si>
    <t>Compressor: Centrifugal: (Stages: 1) (Seals: Wet) (Driver: Electric Motor)</t>
  </si>
  <si>
    <t>Compressor: Centrifugal: (Stages: 1) (Seals: Wet) (Driver: Gas Turbine)</t>
  </si>
  <si>
    <t>Compressor: Centrifugal: (Stages: 2) (Seals: Wet) (Driver: Electric Motor)</t>
  </si>
  <si>
    <t>Compressor: Centrifugal: (Stages: 2) (Seals: Wet) (Driver: Gas Turbine)</t>
  </si>
  <si>
    <t>Compressor: Centrifugal: (Stages: 1) (Seals: Dry) (Driver: Electric Motor)</t>
  </si>
  <si>
    <t>Compressor: Centrifugal: (Stages: 1) (Seals: Dry) (Driver: Gas Turbine)</t>
  </si>
  <si>
    <t>Compressor: Centrifugal: (Stages: 2) (Seals: Dry) (Driver: Electric Motor)</t>
  </si>
  <si>
    <t>Compressor: Centrifugal: (Stages: 2) (Seals: Dry) (Driver: Gas Turbine)</t>
  </si>
  <si>
    <t>Emissions From Compressor Seals</t>
  </si>
  <si>
    <t>Compressor Seals (Contributions From Operating Periods)</t>
  </si>
  <si>
    <t>Equipment Leaks (Contributions From Operating Periods)</t>
  </si>
  <si>
    <t>Compressor Seals (Contributions From Standby &amp; Pressurized Periods)</t>
  </si>
  <si>
    <t>Compressor Seals (Contributions From Depressurized Periods)</t>
  </si>
  <si>
    <t>Equipment Leaks (Contributions From Depressurized Periods)</t>
  </si>
  <si>
    <t>Equipment Leaks (Contributions From Standby &amp; Pressurized Periods)</t>
  </si>
  <si>
    <t>Compressor Seals: Total Emissions (Nm3 CH4/h)</t>
  </si>
  <si>
    <t>Equipment Leaks: Total Emissions (Nm3 CH4/h)</t>
  </si>
  <si>
    <t>Compressor Seals: Grand Total Emissions</t>
  </si>
  <si>
    <t>Equipment Leaks: Grand Total Emissions</t>
  </si>
  <si>
    <t>Equipment Leaks: Measured Contribution</t>
  </si>
  <si>
    <t>Equipment Leaks: Estimated Contribution</t>
  </si>
  <si>
    <t>Compressor Seals: Measured Contribution</t>
  </si>
  <si>
    <t>Compressor Seals: Estimated Contribution</t>
  </si>
  <si>
    <t>Compressor Seal (Wet) (Centrifugal)</t>
  </si>
  <si>
    <t>Compressor (Dry) Seal (Centrifugal)</t>
  </si>
  <si>
    <t>压缩机密封（湿式）（离心式）</t>
  </si>
  <si>
    <t>Sello del compresor (húmedo) (centrífugo)</t>
  </si>
  <si>
    <t>Sello del compresor (seco) (centrífugo)</t>
  </si>
  <si>
    <t>压缩机（干式）密封（离心式）</t>
  </si>
  <si>
    <t>压缩机湿式密封（离心式 - 运行式）</t>
  </si>
  <si>
    <t>Sellos húmedos del compresor (centrífugo - en funcionamiento)</t>
  </si>
  <si>
    <t>Sellos húmedos para compresores (centrífugos, en espera y presurizados)</t>
  </si>
  <si>
    <t>压缩机湿式密封（离心式 - 待机和加压）</t>
  </si>
  <si>
    <t>压缩机湿式密封（离心式-减压式）</t>
  </si>
  <si>
    <t>Sellos húmedos del compresor (centrífugo - despresurizado)</t>
  </si>
  <si>
    <t>Sellos secos del compresor (centrífugo - en funcionamiento)</t>
  </si>
  <si>
    <t>压缩机干式密封（离心式 - 运行式）</t>
  </si>
  <si>
    <t>压缩机干式密封（离心式 - 待机和加压）</t>
  </si>
  <si>
    <t>Sellos secos para compresores (centrífugos, en espera y presurizados)</t>
  </si>
  <si>
    <t>Sellos secos para compresores (centrífugos - despresurizados)</t>
  </si>
  <si>
    <t>压缩机干式密封（离心式-减压式）</t>
  </si>
  <si>
    <t>压缩机密封件的排放</t>
  </si>
  <si>
    <t>Emisiones de los sellos del compresor</t>
  </si>
  <si>
    <t>压缩机密封件</t>
  </si>
  <si>
    <t>Reported or Measured Activity</t>
  </si>
  <si>
    <t>Measured Emission Contributions (Values entered here override corresponding emission factor calculations)</t>
  </si>
  <si>
    <t>Product Vapours</t>
  </si>
  <si>
    <t>- Produced Water Receipts: m3/d</t>
  </si>
  <si>
    <t>Heat Purchased (Conversion Factors)</t>
  </si>
  <si>
    <t>Oil Density  (Input Unit of Measure)</t>
  </si>
  <si>
    <t>Units of Measure Lookup Table for Electricity Consumption or Generation</t>
  </si>
  <si>
    <t>- Electricity Consumption or Generation: kW</t>
  </si>
  <si>
    <t>Fuel Consumption</t>
  </si>
  <si>
    <t>Engine Thermal Efficiency</t>
  </si>
  <si>
    <t>Note: If there is no produced oil, then flashing losses from the produced water are assumed to be negligible.</t>
  </si>
  <si>
    <t>Gage Pressure (Conversion Factors)</t>
  </si>
  <si>
    <t>Error: The quantity of the specified source needs to be declared (Field B).</t>
  </si>
  <si>
    <t>Error: A fuel type has been declared in Field D. The fuel subtype also needs to be declared in Field E.</t>
  </si>
  <si>
    <t>Err11</t>
  </si>
  <si>
    <t>kPa(g)</t>
  </si>
  <si>
    <t>bar(g)</t>
  </si>
  <si>
    <t>kg/cm2(g)</t>
  </si>
  <si>
    <t>kg/cm2</t>
  </si>
  <si>
    <t>psi(g)</t>
  </si>
  <si>
    <t>"kPa(g)" to "psi(g)"</t>
  </si>
  <si>
    <t>"kPa(g)" to "kPa(g)"</t>
  </si>
  <si>
    <t>"kPa(g)" to "bar(g)"</t>
  </si>
  <si>
    <t>"kPa" to "kg/cm2"</t>
  </si>
  <si>
    <t>"kPa(g)" to "kg/cm2(g)"</t>
  </si>
  <si>
    <t>Gas Engine (2-Stroke Lean-Burn)</t>
  </si>
  <si>
    <t>Gas Engine (4-Stroke Lean-Burn)</t>
  </si>
  <si>
    <t>Gas Engine (4-Stroke Rich-Burn)</t>
  </si>
  <si>
    <t xml:space="preserve">  -  Turbine</t>
  </si>
  <si>
    <t>Engine (Liquid Fuel)</t>
  </si>
  <si>
    <t>Err12</t>
  </si>
  <si>
    <t>Err13</t>
  </si>
  <si>
    <t>Annual Operating Hours (Optional)</t>
  </si>
  <si>
    <t>Err14</t>
  </si>
  <si>
    <t>Error: The units of measure (Field G) need to be set.</t>
  </si>
  <si>
    <t>Error: The source of the input value needs to be set in Column G.</t>
  </si>
  <si>
    <t>Error: Either the Type or Source-of-Value field needs to be completed.</t>
  </si>
  <si>
    <t>Error: Invalid or undefined process type for the specified industry segment.</t>
  </si>
  <si>
    <t>Error: The sum of the entered values must not exceed 100%.</t>
  </si>
  <si>
    <t>Error: The source of the composition values needs to be set.</t>
  </si>
  <si>
    <t>Error: The units of measure (Field I) need to be set.</t>
  </si>
  <si>
    <t>Error: The units of measure (Field J) need to be set.</t>
  </si>
  <si>
    <t>Error: The fuel type needs to be set to 'Liquid'.</t>
  </si>
  <si>
    <t>Error: The fuel type needs to be set to 'Gaseous'.</t>
  </si>
  <si>
    <t>Compressor: Reciprocating: (Stages 4) (Driver: Recip Engine)</t>
  </si>
  <si>
    <t>Compressor: Reciprocating: (Stages 4) (Driver: Electric Motor)</t>
  </si>
  <si>
    <t>Offshore Oil Production</t>
  </si>
  <si>
    <t>Offshore Gas Production</t>
  </si>
  <si>
    <t>Onshore Oil Production</t>
  </si>
  <si>
    <t>Onshore Gas Production</t>
  </si>
  <si>
    <t>离岸石油生产</t>
  </si>
  <si>
    <t>离岸天然气生产</t>
  </si>
  <si>
    <t>陆上石油生产</t>
  </si>
  <si>
    <t>陆上天然气生产</t>
  </si>
  <si>
    <t>Producción de petróleo en alta mar</t>
  </si>
  <si>
    <t>Producción de gas en alta mar</t>
  </si>
  <si>
    <t>Producción de petróleo en tierra</t>
  </si>
  <si>
    <t>Producción de gas en tierra</t>
  </si>
  <si>
    <t>Oil Exploration</t>
  </si>
  <si>
    <t>Oil Terminal (Marine)</t>
  </si>
  <si>
    <t>Oil Terminal (Pipeline)</t>
  </si>
  <si>
    <t>Oil Sands Mine and Ore Processing</t>
  </si>
  <si>
    <t>Oil Sands Upgrading</t>
  </si>
  <si>
    <t>Other (Conventional)</t>
  </si>
  <si>
    <t>Other (Unconventional)</t>
  </si>
  <si>
    <t>Gas Exploration</t>
  </si>
  <si>
    <t>LNG Peak Shaving</t>
  </si>
  <si>
    <t>LNG Transport (Truck or Rail)</t>
  </si>
  <si>
    <t>Pipeline</t>
  </si>
  <si>
    <t>Main Lines</t>
  </si>
  <si>
    <t>Post-Meter</t>
  </si>
  <si>
    <t>Service Lines</t>
  </si>
  <si>
    <t>Conventional and Synthetic Crude Oil</t>
  </si>
  <si>
    <t>Heavy Oil</t>
  </si>
  <si>
    <t>Petroleum Refining</t>
  </si>
  <si>
    <t>石油炼制</t>
  </si>
  <si>
    <t>Refinación de petróleo</t>
  </si>
  <si>
    <t>EFs - Other'!c7,'EFs - Other'!c8,'EFs - Other'!c9,'EFs - Other'!c10,'EFs - Other'!c11,'EFs - Other'!c13</t>
  </si>
  <si>
    <t>EFs - Other'!c7,'EFs - Other'!c8,'EFs - Other'!c9,'EFs - Other'!c10,'EFs - Other'!c11,'EFs - Other'!c14</t>
  </si>
  <si>
    <t>EFs - Other'!c7,'EFs - Other'!c8,'EFs - Other'!c9,'EFs - Other'!c10,'EFs - Other'!c11,'EFs - Other'!c15</t>
  </si>
  <si>
    <t>EFs - Other'!c7,'EFs - Other'!c8,'EFs - Other'!c9,'EFs - Other'!c10,'EFs - Other'!c11,'EFs - Other'!c16</t>
  </si>
  <si>
    <t>EFs - Other'!c7,'EFs - Other'!c8,'EFs - Other'!c9,'EFs - Other'!c10,'EFs - Other'!c11,'EFs - Other'!c17</t>
  </si>
  <si>
    <t>EFs - Other'!c7,'EFs - Other'!c8,'EFs - Other'!c9,'EFs - Other'!c10,'EFs - Other'!c11,'EFs - Other'!c18</t>
  </si>
  <si>
    <t>EFs - Other'!c7,'EFs - Other'!c8,'EFs - Other'!c9,'EFs - Other'!c10,'EFs - Other'!c11,'EFs - Other'!c19</t>
  </si>
  <si>
    <t>EFs - Other'!c7,'EFs - Other'!c8,'EFs - Other'!c9,'EFs - Other'!c10,'EFs - Other'!c11,'EFs - Other'!c20</t>
  </si>
  <si>
    <t>Oil Terminal (Truck &amp; Rail)</t>
  </si>
  <si>
    <t>Compressor Type</t>
  </si>
  <si>
    <t>Crude Oil (Without Control)</t>
  </si>
  <si>
    <t>Crude Oil (Large Tanks Without Control)</t>
  </si>
  <si>
    <t>Crude Oil (Large Tanks with VRU)</t>
  </si>
  <si>
    <t>Crude Oil (Large Tanks with Flares)</t>
  </si>
  <si>
    <t>Crude Oil (Small Tanks Without Control)</t>
  </si>
  <si>
    <t>Crude Oil (Small Tanks with Flares)</t>
  </si>
  <si>
    <t>Condensate (Large Tanks Without Control)</t>
  </si>
  <si>
    <t>Condensate (Large Tanks with VRU)</t>
  </si>
  <si>
    <t>Condensate (Large Tanks with Flares)</t>
  </si>
  <si>
    <t>Condensate (Small Tanks without Flares)</t>
  </si>
  <si>
    <t>Condensate (Small Tanks with Flares)</t>
  </si>
  <si>
    <t>Condensate (Without Control)</t>
  </si>
  <si>
    <t>(Nm3/E+06 Nm3 of Gas Processed)</t>
  </si>
  <si>
    <t>Continuous Bleed</t>
  </si>
  <si>
    <t>Piston Valve Operator</t>
  </si>
  <si>
    <t>Pneumatic/Hydraulic Valve Operator</t>
  </si>
  <si>
    <t>Turbine Valve Operator</t>
  </si>
  <si>
    <r>
      <t>E+03 Nm</t>
    </r>
    <r>
      <rPr>
        <vertAlign val="superscript"/>
        <sz val="11"/>
        <color theme="1"/>
        <rFont val="Calibri"/>
        <family val="2"/>
        <scheme val="minor"/>
      </rPr>
      <t>3</t>
    </r>
    <r>
      <rPr>
        <sz val="11"/>
        <color theme="1"/>
        <rFont val="Calibri"/>
        <family val="2"/>
        <scheme val="minor"/>
      </rPr>
      <t xml:space="preserve"> per day</t>
    </r>
  </si>
  <si>
    <t>E+03 m3/day</t>
  </si>
  <si>
    <t>(tonnes/E+03 Nm3)</t>
  </si>
  <si>
    <t>Nm3 CH4/E+06 Nm3 gas processed</t>
  </si>
  <si>
    <t>(E+06 m3 gas processed/d)</t>
  </si>
  <si>
    <t>Dehydration: Glycol (With Gas-assisted Pump)</t>
  </si>
  <si>
    <t>Dehydration: Glycol (Without Gas-assisted Pump)</t>
  </si>
  <si>
    <t>(E+06 Nm3 gas processed/d)</t>
  </si>
  <si>
    <t>(E+06 Nm3 gas processed/y)</t>
  </si>
  <si>
    <t>Storage Tank (Produced Oil, Without Vapor Control)</t>
  </si>
  <si>
    <t>Storage Tank (Produced Oil, With Vapor Control)</t>
  </si>
  <si>
    <t>Storage Tank (Produced Water, Without Vapor Control)</t>
  </si>
  <si>
    <t>Storage Tank (Produced Water, With Vapor Control)</t>
  </si>
  <si>
    <t>(Nm3/E+06 Nm3 gas processed)</t>
  </si>
  <si>
    <t>Closed-vent System</t>
  </si>
  <si>
    <t>(Nm3/compressor seal per day)</t>
  </si>
  <si>
    <t>API Compendium (2021) Table 6-41 (Assume 2 seals per compressor)</t>
  </si>
  <si>
    <t>Adopted from API Compendium (2021) Table 6-41 (Assume 2 seals per compressor)</t>
  </si>
  <si>
    <t>API Compendium (2021) Table 6-40 (Assume 4 seals per compressor)</t>
  </si>
  <si>
    <t>Adopted from API Compendium (2021) Table 6-40 (Assume 4 seals per compressor)</t>
  </si>
  <si>
    <t>API Compendium (2021) Table 6-38 (Assume 2 seals per compressor)</t>
  </si>
  <si>
    <t>API Compendium (2021) Table 6-37 (Assume 4 seals per compressor)</t>
  </si>
  <si>
    <t>Adopted from API Compendium (2021) Table 6-37 (Assume 4 seals per compressor)</t>
  </si>
  <si>
    <t>Adopted from API Compendium (2021) Table 6-38 (Assume 2 seals per compressor)</t>
  </si>
  <si>
    <t>Adopted from API Compendium (2021) Table 6-32</t>
  </si>
  <si>
    <t>Adopted from API Compendium (2021) Table 6-33</t>
  </si>
  <si>
    <t>Adopted from API Compendium (2021) Table 6-36</t>
  </si>
  <si>
    <t>Adopted from API Compendium (2021) Table 6-35</t>
  </si>
  <si>
    <t>Well: Gas (Low-Pressure)</t>
  </si>
  <si>
    <t>Aerial Cooler: Natural Gas Service</t>
  </si>
  <si>
    <t>Heat Exchanger: Hydrocarbon Liquid/Hydrocarbon Liquid</t>
  </si>
  <si>
    <t>Heat Exchanger: Natural Gas/Natural Gas</t>
  </si>
  <si>
    <t>Heat Exchanger: Natural Gas/Steam</t>
  </si>
  <si>
    <t>Heat Exchanger: Natural Gas/Non-Hydrocarbon Liquid</t>
  </si>
  <si>
    <t>Heat Exchanger: Natural Gas/Hydrocarbon Liquid</t>
  </si>
  <si>
    <t>Heat Exchanger: Steam/Hydrocarbon Liquid</t>
  </si>
  <si>
    <t>Aerial Cooler: Hydrocarbon Liquid Service</t>
  </si>
  <si>
    <t>Fractionation Tower: Crude Oil</t>
  </si>
  <si>
    <t>Stripper</t>
  </si>
  <si>
    <t>Storage Tank (Refined Product, with Vapor Control)</t>
  </si>
  <si>
    <t>Storage Tank (Refined Product, without Vapor Control)</t>
  </si>
  <si>
    <t>Pump: Non-Hydrocarbon Service (Driver: Recip Engine) (Fuel: Gaseous)</t>
  </si>
  <si>
    <t>Pump: Hydrocarbon Service (Driver: Motor)</t>
  </si>
  <si>
    <t>Pump: Hydrocarbon Service (Driver: Recip Engine) (Fuel: Gaseous)</t>
  </si>
  <si>
    <t>Pump: Hydrocarbon Service (Driver: Recip Engine) (Fuel: Liquid)</t>
  </si>
  <si>
    <t>Storage Tank: Chemicals with Natural Gas Blanketing)</t>
  </si>
  <si>
    <t>CEl</t>
  </si>
  <si>
    <t>Fugitive Equipment Leaks</t>
  </si>
  <si>
    <t xml:space="preserve">    - Pneumatic Controllers</t>
  </si>
  <si>
    <t xml:space="preserve">     - 气动调节器</t>
  </si>
  <si>
    <t xml:space="preserve">    - Controladores Neumáticos</t>
  </si>
  <si>
    <t xml:space="preserve">    - Chemical Injection Pumps</t>
  </si>
  <si>
    <t xml:space="preserve">     - 化学注入泵</t>
  </si>
  <si>
    <t xml:space="preserve">    - Bombas de Inyección de Químicos</t>
  </si>
  <si>
    <t xml:space="preserve">    - Equipment Depressurization &amp; Purging Events</t>
  </si>
  <si>
    <t xml:space="preserve">     - 设备减压和清洗</t>
  </si>
  <si>
    <t xml:space="preserve">    - Despresurización de Equipo y Eventos de Purga</t>
  </si>
  <si>
    <t>NMVOC HHV</t>
  </si>
  <si>
    <t>NMVOC LHV</t>
  </si>
  <si>
    <t>Symbol</t>
  </si>
  <si>
    <t>Well: Conventional Oil (Gas Lift)</t>
  </si>
  <si>
    <t>Gas-Lift Supply Header (Fittings Per Well or Line)</t>
  </si>
  <si>
    <t xml:space="preserve">                                                                                                                                                                                                                                                                                                                                                                                                                                                                                                                                                                                                                                                                                                                                                                                                                   </t>
  </si>
  <si>
    <t>Fuel Gas Carbon Content</t>
  </si>
  <si>
    <t>tonne C/GJ</t>
  </si>
  <si>
    <t>AP-42, Table 3.2-1 (2024)</t>
  </si>
  <si>
    <t>AP-42, Table 3.1-2a (1998)</t>
  </si>
  <si>
    <t>AP-42, Table 3.2-2 (2024)</t>
  </si>
  <si>
    <t>AP-42, Table 3.2-3 (2024)</t>
  </si>
  <si>
    <t>AP-42, Table 1.4-2 (1998)</t>
  </si>
  <si>
    <t>US EPA AP-42, Table 3.2-1 (90-105% Load) (2024)</t>
  </si>
  <si>
    <t>US EPA AP-42, Table 3.2-2 (90-105% Load) (2024)</t>
  </si>
  <si>
    <t>US EPA AP-42, Table 3.2-3 (90-105% Load) (2024)</t>
  </si>
  <si>
    <t>Liquid Fuel Compositions</t>
  </si>
  <si>
    <t>NG Molecular Weight</t>
  </si>
  <si>
    <t>This worksheet is where information needed to assess flashing losses from produced oil and water storage tanks at production facilities is entered (where applicable). The minimum required input information is the amount of oil and water produced. If it is known, additional input information includes the temperature and pressure of the relevant upstream pressure vessels (e.g., separators, vapor recovery towers, or treaters) and details of any vapor controls that may be in place (if this information is unavailable then conservative default values are applied). The amount of emissions is estimated using the Valko McCain (2003) correlation. The default input data have been adapted from the API Compendium (2021).</t>
  </si>
  <si>
    <t>US EPA Subpart W RY 2024</t>
  </si>
  <si>
    <t>Version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</si>
</sst>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164" formatCode="#,##0.000000"/>
    <numFmt numFmtId="165" formatCode="#,##0.0"/>
    <numFmt numFmtId="166" formatCode="0.000%"/>
    <numFmt numFmtId="167" formatCode="0.000000"/>
    <numFmt numFmtId="168" formatCode="0.0%"/>
    <numFmt numFmtId="169" formatCode="0.000"/>
    <numFmt numFmtId="170" formatCode="0;;;@"/>
    <numFmt numFmtId="171" formatCode="0.0000"/>
    <numFmt numFmtId="172" formatCode="0.000E+00"/>
    <numFmt numFmtId="173" formatCode="#,##0.000"/>
    <numFmt numFmtId="174" formatCode="0.0"/>
    <numFmt numFmtId="175" formatCode="0;\-0;;@"/>
    <numFmt numFmtId="176" formatCode="#,##0.0000"/>
  </numFmts>
  <fonts count="94" x14ac:knownFonts="1">
    <font>
      <sz val="11"/>
      <color theme="1"/>
      <name val="Calibri"/>
      <family val="2"/>
      <scheme val="minor"/>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Calibri"/>
      <family val="2"/>
      <scheme val="minor"/>
    </font>
    <font>
      <b/>
      <sz val="11"/>
      <color theme="1"/>
      <name val="Calibri"/>
      <family val="2"/>
      <scheme val="minor"/>
    </font>
    <font>
      <vertAlign val="superscript"/>
      <sz val="11"/>
      <color theme="1"/>
      <name val="Calibri"/>
      <family val="2"/>
      <scheme val="minor"/>
    </font>
    <font>
      <vertAlign val="subscript"/>
      <sz val="11"/>
      <color theme="1"/>
      <name val="Calibri"/>
      <family val="2"/>
      <scheme val="minor"/>
    </font>
    <font>
      <sz val="11"/>
      <color rgb="FF222222"/>
      <name val="Calibri"/>
      <family val="2"/>
      <scheme val="minor"/>
    </font>
    <font>
      <sz val="11"/>
      <name val="Calibri"/>
      <family val="2"/>
      <scheme val="minor"/>
    </font>
    <font>
      <sz val="11"/>
      <color rgb="FF000000"/>
      <name val="Calibri"/>
      <family val="2"/>
      <scheme val="minor"/>
    </font>
    <font>
      <sz val="8"/>
      <name val="Calibri"/>
      <family val="2"/>
      <scheme val="minor"/>
    </font>
    <font>
      <b/>
      <sz val="11"/>
      <color rgb="FF000000"/>
      <name val="Calibri"/>
      <family val="2"/>
      <scheme val="minor"/>
    </font>
    <font>
      <sz val="11"/>
      <color indexed="8"/>
      <name val="Calibri"/>
      <family val="2"/>
      <scheme val="minor"/>
    </font>
    <font>
      <vertAlign val="superscript"/>
      <sz val="11"/>
      <color rgb="FF000000"/>
      <name val="Calibri"/>
      <family val="2"/>
      <scheme val="minor"/>
    </font>
    <font>
      <u/>
      <sz val="11"/>
      <color theme="10"/>
      <name val="Calibri"/>
      <family val="2"/>
      <scheme val="minor"/>
    </font>
    <font>
      <b/>
      <sz val="11"/>
      <color theme="1"/>
      <name val="Arial Narrow"/>
      <family val="2"/>
    </font>
    <font>
      <sz val="11"/>
      <color theme="0"/>
      <name val="Arial Narrow"/>
      <family val="2"/>
    </font>
    <font>
      <b/>
      <sz val="26"/>
      <color theme="1"/>
      <name val="Arial Narrow"/>
      <family val="2"/>
    </font>
    <font>
      <b/>
      <sz val="18"/>
      <color theme="1"/>
      <name val="Arial Narrow"/>
      <family val="2"/>
    </font>
    <font>
      <sz val="12"/>
      <color theme="1"/>
      <name val="Arial Narrow"/>
      <family val="2"/>
    </font>
    <font>
      <b/>
      <sz val="12"/>
      <color theme="1"/>
      <name val="Arial Narrow"/>
      <family val="2"/>
    </font>
    <font>
      <sz val="18"/>
      <color theme="1"/>
      <name val="Arial Narrow"/>
      <family val="2"/>
    </font>
    <font>
      <u/>
      <sz val="11"/>
      <color theme="10"/>
      <name val="Arial Narrow"/>
      <family val="2"/>
    </font>
    <font>
      <sz val="26"/>
      <color theme="0"/>
      <name val="Arial Narrow"/>
      <family val="2"/>
    </font>
    <font>
      <b/>
      <sz val="26"/>
      <color theme="0"/>
      <name val="Arial Narrow"/>
      <family val="2"/>
    </font>
    <font>
      <b/>
      <sz val="16"/>
      <name val="Arial Narrow"/>
      <family val="2"/>
    </font>
    <font>
      <b/>
      <sz val="18"/>
      <color theme="0"/>
      <name val="Arial Narrow"/>
      <family val="2"/>
    </font>
    <font>
      <b/>
      <sz val="18"/>
      <name val="Arial Narrow"/>
      <family val="2"/>
    </font>
    <font>
      <b/>
      <sz val="12"/>
      <color theme="0"/>
      <name val="Arial Narrow"/>
      <family val="2"/>
    </font>
    <font>
      <b/>
      <sz val="12"/>
      <color rgb="FFFF0000"/>
      <name val="Arial Narrow"/>
      <family val="2"/>
    </font>
    <font>
      <sz val="12"/>
      <color theme="0"/>
      <name val="Arial Narrow"/>
      <family val="2"/>
    </font>
    <font>
      <sz val="14"/>
      <color rgb="FF222222"/>
      <name val="Arial Narrow"/>
      <family val="2"/>
    </font>
    <font>
      <b/>
      <sz val="11"/>
      <color rgb="FFFF0000"/>
      <name val="Arial Narrow"/>
      <family val="2"/>
    </font>
    <font>
      <sz val="10"/>
      <color theme="1"/>
      <name val="Arial Narrow"/>
      <family val="2"/>
    </font>
    <font>
      <sz val="8"/>
      <color theme="1"/>
      <name val="Arial Narrow"/>
      <family val="2"/>
    </font>
    <font>
      <b/>
      <sz val="11"/>
      <color theme="0"/>
      <name val="Arial Narrow"/>
      <family val="2"/>
    </font>
    <font>
      <sz val="11"/>
      <color rgb="FFFF0000"/>
      <name val="Arial Narrow"/>
      <family val="2"/>
    </font>
    <font>
      <b/>
      <sz val="11"/>
      <name val="Arial Narrow"/>
      <family val="2"/>
    </font>
    <font>
      <sz val="11"/>
      <name val="Arial Narrow"/>
      <family val="2"/>
    </font>
    <font>
      <b/>
      <sz val="12"/>
      <name val="Arial Narrow"/>
      <family val="2"/>
    </font>
    <font>
      <sz val="10"/>
      <name val="Arial Narrow"/>
      <family val="2"/>
    </font>
    <font>
      <sz val="11"/>
      <color rgb="FF000000"/>
      <name val="Arial Narrow"/>
      <family val="2"/>
    </font>
    <font>
      <sz val="12"/>
      <name val="Arial Narrow"/>
      <family val="2"/>
    </font>
    <font>
      <sz val="9"/>
      <color theme="1"/>
      <name val="Arial Narrow"/>
      <family val="2"/>
    </font>
    <font>
      <b/>
      <sz val="9"/>
      <color theme="1"/>
      <name val="Arial Narrow"/>
      <family val="2"/>
    </font>
    <font>
      <vertAlign val="superscript"/>
      <sz val="11"/>
      <color theme="1"/>
      <name val="Arial Narrow"/>
      <family val="2"/>
    </font>
    <font>
      <sz val="9"/>
      <name val="Arial Narrow"/>
      <family val="2"/>
    </font>
    <font>
      <b/>
      <sz val="10"/>
      <name val="Arial Narrow"/>
      <family val="2"/>
    </font>
    <font>
      <vertAlign val="subscript"/>
      <sz val="11"/>
      <color theme="1"/>
      <name val="Arial Narrow"/>
      <family val="2"/>
    </font>
    <font>
      <vertAlign val="subscript"/>
      <sz val="12"/>
      <color theme="1"/>
      <name val="Arial Narrow"/>
      <family val="2"/>
    </font>
    <font>
      <b/>
      <sz val="24"/>
      <name val="Arial Narrow"/>
      <family val="2"/>
    </font>
    <font>
      <b/>
      <sz val="20"/>
      <color theme="0"/>
      <name val="Arial Narrow"/>
      <family val="2"/>
    </font>
    <font>
      <b/>
      <sz val="16"/>
      <color theme="0"/>
      <name val="Arial Narrow"/>
      <family val="2"/>
    </font>
    <font>
      <b/>
      <u/>
      <sz val="12"/>
      <color rgb="FF50C9F5"/>
      <name val="Arial Narrow"/>
      <family val="2"/>
    </font>
    <font>
      <b/>
      <u/>
      <sz val="12"/>
      <color rgb="FF00C698"/>
      <name val="Arial Narrow"/>
      <family val="2"/>
    </font>
    <font>
      <b/>
      <u/>
      <sz val="12"/>
      <color rgb="FF0070C0"/>
      <name val="Arial Narrow"/>
      <family val="2"/>
    </font>
    <font>
      <sz val="9"/>
      <color theme="1"/>
      <name val="Calibri"/>
      <family val="2"/>
      <scheme val="minor"/>
    </font>
    <font>
      <sz val="11"/>
      <color rgb="FF5B9BD5"/>
      <name val="Arial Narrow"/>
      <family val="2"/>
    </font>
    <font>
      <sz val="11"/>
      <color rgb="FFED7D31"/>
      <name val="Arial Narrow"/>
      <family val="2"/>
    </font>
    <font>
      <sz val="11"/>
      <color rgb="FFA5A5A5"/>
      <name val="Arial Narrow"/>
      <family val="2"/>
    </font>
    <font>
      <sz val="11"/>
      <color rgb="FFFFC000"/>
      <name val="Arial Narrow"/>
      <family val="2"/>
    </font>
    <font>
      <sz val="11"/>
      <color rgb="FF4472C4"/>
      <name val="Arial Narrow"/>
      <family val="2"/>
    </font>
    <font>
      <sz val="11"/>
      <color rgb="FF70AD47"/>
      <name val="Arial Narrow"/>
      <family val="2"/>
    </font>
    <font>
      <sz val="11"/>
      <color rgb="FF255E91"/>
      <name val="Arial Narrow"/>
      <family val="2"/>
    </font>
    <font>
      <sz val="11"/>
      <color rgb="FF9E480E"/>
      <name val="Arial Narrow"/>
      <family val="2"/>
    </font>
    <font>
      <sz val="11"/>
      <color rgb="FF636363"/>
      <name val="Arial Narrow"/>
      <family val="2"/>
    </font>
    <font>
      <sz val="10"/>
      <color rgb="FF636363"/>
      <name val="Arial Narrow"/>
      <family val="2"/>
    </font>
    <font>
      <sz val="11"/>
      <color rgb="FF997300"/>
      <name val="Arial Narrow"/>
      <family val="2"/>
    </font>
    <font>
      <sz val="10"/>
      <color rgb="FF997300"/>
      <name val="Arial Narrow"/>
      <family val="2"/>
    </font>
    <font>
      <b/>
      <sz val="13"/>
      <color theme="1"/>
      <name val="Arial Narrow"/>
      <family val="2"/>
    </font>
    <font>
      <sz val="9"/>
      <color rgb="FFFF0000"/>
      <name val="Arial Narrow"/>
      <family val="2"/>
    </font>
    <font>
      <b/>
      <sz val="12"/>
      <color rgb="FFFFFFFF"/>
      <name val="Arial Narrow"/>
      <family val="2"/>
    </font>
    <font>
      <b/>
      <sz val="16"/>
      <color rgb="FFFF0000"/>
      <name val="Arial Narrow"/>
      <family val="2"/>
    </font>
    <font>
      <b/>
      <vertAlign val="superscript"/>
      <sz val="11"/>
      <color indexed="8"/>
      <name val="Arial Narrow"/>
      <family val="2"/>
    </font>
    <font>
      <b/>
      <sz val="11"/>
      <color indexed="8"/>
      <name val="Arial Narrow"/>
      <family val="2"/>
    </font>
    <font>
      <b/>
      <vertAlign val="superscript"/>
      <sz val="12"/>
      <color indexed="8"/>
      <name val="Arial Narrow"/>
      <family val="2"/>
    </font>
    <font>
      <b/>
      <sz val="12"/>
      <color indexed="8"/>
      <name val="Arial Narrow"/>
      <family val="2"/>
    </font>
    <font>
      <b/>
      <vertAlign val="superscript"/>
      <sz val="11"/>
      <name val="Arial Narrow"/>
      <family val="2"/>
    </font>
    <font>
      <sz val="11"/>
      <color rgb="FFB398C2"/>
      <name val="Arial Narrow"/>
      <family val="2"/>
    </font>
    <font>
      <u/>
      <sz val="10"/>
      <color rgb="FF5B9BD5"/>
      <name val="Arial Narrow"/>
      <family val="2"/>
    </font>
    <font>
      <sz val="10"/>
      <color rgb="FF5B9BD5"/>
      <name val="Arial Narrow"/>
      <family val="2"/>
    </font>
    <font>
      <b/>
      <sz val="14"/>
      <name val="Arial Narrow"/>
      <family val="2"/>
    </font>
    <font>
      <b/>
      <sz val="14"/>
      <color theme="1"/>
      <name val="Arial Narrow"/>
      <family val="2"/>
    </font>
    <font>
      <u/>
      <sz val="10"/>
      <color rgb="FFFFC000"/>
      <name val="Arial Narrow"/>
      <family val="2"/>
    </font>
    <font>
      <u/>
      <sz val="10"/>
      <color theme="10"/>
      <name val="Arial Narrow"/>
      <family val="2"/>
    </font>
    <font>
      <u/>
      <sz val="10"/>
      <color rgb="FF70AD47"/>
      <name val="Arial Narrow"/>
      <family val="2"/>
    </font>
    <font>
      <u/>
      <sz val="10"/>
      <color rgb="FF255E91"/>
      <name val="Arial Narrow"/>
      <family val="2"/>
    </font>
    <font>
      <u/>
      <sz val="10"/>
      <color rgb="FF9E480E"/>
      <name val="Arial Narrow"/>
      <family val="2"/>
    </font>
    <font>
      <u/>
      <sz val="11"/>
      <color rgb="FF0070C0"/>
      <name val="Arial Narrow"/>
      <family val="2"/>
    </font>
    <font>
      <sz val="11"/>
      <color rgb="FFA24DB3"/>
      <name val="Arial Narrow"/>
      <family val="2"/>
    </font>
    <font>
      <b/>
      <sz val="14"/>
      <color theme="0"/>
      <name val="Arial Narrow"/>
      <family val="2"/>
    </font>
    <font>
      <b/>
      <sz val="11"/>
      <color rgb="FFFF0000"/>
      <name val="Calibri"/>
      <family val="2"/>
      <scheme val="minor"/>
    </font>
  </fonts>
  <fills count="31">
    <fill>
      <patternFill patternType="none"/>
    </fill>
    <fill>
      <patternFill patternType="gray125"/>
    </fill>
    <fill>
      <patternFill patternType="solid">
        <fgColor theme="4" tint="0.79998168889431442"/>
        <bgColor indexed="64"/>
      </patternFill>
    </fill>
    <fill>
      <patternFill patternType="solid">
        <fgColor rgb="FF0070C0"/>
        <bgColor indexed="64"/>
      </patternFill>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1"/>
        <bgColor indexed="64"/>
      </patternFill>
    </fill>
    <fill>
      <patternFill patternType="solid">
        <fgColor rgb="FFF5E050"/>
        <bgColor indexed="64"/>
      </patternFill>
    </fill>
    <fill>
      <patternFill patternType="solid">
        <fgColor rgb="FFD9E1F2"/>
        <bgColor indexed="64"/>
      </patternFill>
    </fill>
    <fill>
      <patternFill patternType="solid">
        <fgColor rgb="FF1FE074"/>
        <bgColor indexed="64"/>
      </patternFill>
    </fill>
    <fill>
      <patternFill patternType="solid">
        <fgColor rgb="FF00C698"/>
        <bgColor indexed="64"/>
      </patternFill>
    </fill>
    <fill>
      <patternFill patternType="solid">
        <fgColor rgb="FFDCFAE9"/>
        <bgColor indexed="64"/>
      </patternFill>
    </fill>
    <fill>
      <patternFill patternType="solid">
        <fgColor rgb="FFDDEBF7"/>
        <bgColor indexed="64"/>
      </patternFill>
    </fill>
    <fill>
      <patternFill patternType="solid">
        <fgColor rgb="FFEEA47F"/>
        <bgColor indexed="64"/>
      </patternFill>
    </fill>
    <fill>
      <patternFill patternType="solid">
        <fgColor rgb="FFFCF6F5"/>
        <bgColor indexed="64"/>
      </patternFill>
    </fill>
    <fill>
      <patternFill patternType="solid">
        <fgColor rgb="FF00A9B5"/>
        <bgColor indexed="64"/>
      </patternFill>
    </fill>
    <fill>
      <patternFill patternType="solid">
        <fgColor rgb="FFFB8500"/>
        <bgColor indexed="64"/>
      </patternFill>
    </fill>
    <fill>
      <patternFill patternType="solid">
        <fgColor rgb="FFE67942"/>
        <bgColor indexed="64"/>
      </patternFill>
    </fill>
    <fill>
      <patternFill patternType="solid">
        <fgColor rgb="FFB398C2"/>
        <bgColor indexed="64"/>
      </patternFill>
    </fill>
    <fill>
      <patternFill patternType="solid">
        <fgColor rgb="FFC8B5D3"/>
        <bgColor indexed="64"/>
      </patternFill>
    </fill>
    <fill>
      <patternFill patternType="solid">
        <fgColor rgb="FFF3EFF5"/>
        <bgColor indexed="64"/>
      </patternFill>
    </fill>
    <fill>
      <patternFill patternType="solid">
        <fgColor rgb="FFFFD44B"/>
        <bgColor indexed="64"/>
      </patternFill>
    </fill>
    <fill>
      <patternFill patternType="solid">
        <fgColor theme="7" tint="0.79998168889431442"/>
        <bgColor indexed="64"/>
      </patternFill>
    </fill>
    <fill>
      <patternFill patternType="solid">
        <fgColor rgb="FFFFFFFF"/>
        <bgColor indexed="64"/>
      </patternFill>
    </fill>
    <fill>
      <patternFill patternType="solid">
        <fgColor theme="5"/>
        <bgColor indexed="64"/>
      </patternFill>
    </fill>
    <fill>
      <patternFill patternType="solid">
        <fgColor rgb="FFAB3E58"/>
        <bgColor indexed="64"/>
      </patternFill>
    </fill>
    <fill>
      <patternFill patternType="solid">
        <fgColor rgb="FFF6E6EA"/>
        <bgColor indexed="64"/>
      </patternFill>
    </fill>
    <fill>
      <patternFill patternType="solid">
        <fgColor rgb="FFAB3E58"/>
        <bgColor theme="4" tint="0.79995117038483843"/>
      </patternFill>
    </fill>
    <fill>
      <patternFill patternType="solid">
        <fgColor rgb="FFF6E6EA"/>
        <bgColor theme="4" tint="0.79998168889431442"/>
      </patternFill>
    </fill>
    <fill>
      <patternFill patternType="solid">
        <fgColor rgb="FFFFFF00"/>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style="thin">
        <color auto="1"/>
      </top>
      <bottom style="thin">
        <color rgb="FF00A9B5"/>
      </bottom>
      <diagonal/>
    </border>
    <border>
      <left/>
      <right style="thin">
        <color auto="1"/>
      </right>
      <top style="thin">
        <color auto="1"/>
      </top>
      <bottom style="thin">
        <color rgb="FF00A9B5"/>
      </bottom>
      <diagonal/>
    </border>
    <border>
      <left/>
      <right/>
      <top/>
      <bottom style="thin">
        <color rgb="FF00A9B5"/>
      </bottom>
      <diagonal/>
    </border>
    <border>
      <left/>
      <right/>
      <top style="thin">
        <color rgb="FF00A9B5"/>
      </top>
      <bottom style="thin">
        <color rgb="FF00A9B5"/>
      </bottom>
      <diagonal/>
    </border>
    <border>
      <left/>
      <right/>
      <top style="thin">
        <color rgb="FF00A9B5"/>
      </top>
      <bottom/>
      <diagonal/>
    </border>
    <border>
      <left/>
      <right style="thin">
        <color auto="1"/>
      </right>
      <top style="thin">
        <color rgb="FF00A9B5"/>
      </top>
      <bottom style="thin">
        <color rgb="FF00A9B5"/>
      </bottom>
      <diagonal/>
    </border>
    <border>
      <left/>
      <right style="thin">
        <color auto="1"/>
      </right>
      <top style="thin">
        <color rgb="FF00A9B5"/>
      </top>
      <bottom/>
      <diagonal/>
    </border>
    <border>
      <left/>
      <right/>
      <top style="thin">
        <color rgb="FF00A9B5"/>
      </top>
      <bottom style="thin">
        <color auto="1"/>
      </bottom>
      <diagonal/>
    </border>
    <border>
      <left style="thin">
        <color indexed="64"/>
      </left>
      <right style="thin">
        <color indexed="64"/>
      </right>
      <top style="thin">
        <color indexed="64"/>
      </top>
      <bottom style="medium">
        <color indexed="64"/>
      </bottom>
      <diagonal/>
    </border>
    <border>
      <left/>
      <right style="thin">
        <color rgb="FF00A9B5"/>
      </right>
      <top style="thin">
        <color auto="1"/>
      </top>
      <bottom style="thin">
        <color rgb="FF00A9B5"/>
      </bottom>
      <diagonal/>
    </border>
    <border>
      <left/>
      <right style="thin">
        <color rgb="FF00A9B5"/>
      </right>
      <top style="thin">
        <color rgb="FF00A9B5"/>
      </top>
      <bottom style="thin">
        <color auto="1"/>
      </bottom>
      <diagonal/>
    </border>
    <border>
      <left/>
      <right style="thin">
        <color indexed="64"/>
      </right>
      <top/>
      <bottom style="thin">
        <color rgb="FF00A9B5"/>
      </bottom>
      <diagonal/>
    </border>
    <border>
      <left/>
      <right style="thin">
        <color indexed="64"/>
      </right>
      <top style="thin">
        <color rgb="FF00A9B5"/>
      </top>
      <bottom style="thin">
        <color auto="1"/>
      </bottom>
      <diagonal/>
    </border>
    <border>
      <left style="thin">
        <color indexed="64"/>
      </left>
      <right/>
      <top style="thin">
        <color rgb="FF00A9B5"/>
      </top>
      <bottom style="thin">
        <color rgb="FF00A9B5"/>
      </bottom>
      <diagonal/>
    </border>
    <border>
      <left style="thin">
        <color indexed="64"/>
      </left>
      <right/>
      <top style="thin">
        <color auto="1"/>
      </top>
      <bottom style="thin">
        <color rgb="FF00A9B5"/>
      </bottom>
      <diagonal/>
    </border>
    <border>
      <left style="thin">
        <color indexed="64"/>
      </left>
      <right/>
      <top/>
      <bottom style="thin">
        <color rgb="FF00A9B5"/>
      </bottom>
      <diagonal/>
    </border>
  </borders>
  <cellStyleXfs count="4">
    <xf numFmtId="0" fontId="0" fillId="0" borderId="0"/>
    <xf numFmtId="9" fontId="5" fillId="0" borderId="0" applyFont="0" applyFill="0" applyBorder="0" applyAlignment="0" applyProtection="0"/>
    <xf numFmtId="44" fontId="5" fillId="0" borderId="0" applyFont="0" applyFill="0" applyBorder="0" applyAlignment="0" applyProtection="0"/>
    <xf numFmtId="0" fontId="16" fillId="0" borderId="0" applyNumberFormat="0" applyFill="0" applyBorder="0" applyAlignment="0" applyProtection="0"/>
  </cellStyleXfs>
  <cellXfs count="1143">
    <xf numFmtId="0" fontId="0" fillId="0" borderId="0" xfId="0"/>
    <xf numFmtId="0" fontId="0" fillId="0" borderId="1" xfId="0" applyBorder="1" applyAlignment="1">
      <alignment vertical="top"/>
    </xf>
    <xf numFmtId="0" fontId="0" fillId="0" borderId="1" xfId="0" applyBorder="1"/>
    <xf numFmtId="0" fontId="0" fillId="0" borderId="1" xfId="0" quotePrefix="1" applyBorder="1" applyAlignment="1">
      <alignment vertical="top"/>
    </xf>
    <xf numFmtId="0" fontId="0" fillId="4" borderId="1" xfId="0" applyFill="1" applyBorder="1"/>
    <xf numFmtId="0" fontId="6" fillId="0" borderId="1" xfId="0" applyFont="1" applyBorder="1"/>
    <xf numFmtId="0" fontId="9" fillId="0" borderId="1" xfId="0" applyFont="1" applyBorder="1" applyAlignment="1">
      <alignment horizontal="left" vertical="top"/>
    </xf>
    <xf numFmtId="0" fontId="6" fillId="5" borderId="1" xfId="0" applyFont="1" applyFill="1" applyBorder="1"/>
    <xf numFmtId="0" fontId="9" fillId="0" borderId="1" xfId="0" applyFont="1" applyBorder="1"/>
    <xf numFmtId="0" fontId="10" fillId="0" borderId="0" xfId="0" applyFont="1"/>
    <xf numFmtId="0" fontId="0" fillId="0" borderId="1" xfId="0" applyBorder="1" applyAlignment="1">
      <alignment horizontal="left" vertical="top"/>
    </xf>
    <xf numFmtId="0" fontId="13" fillId="0" borderId="1" xfId="0" applyFont="1" applyBorder="1" applyAlignment="1">
      <alignment horizontal="left" vertical="top"/>
    </xf>
    <xf numFmtId="0" fontId="0" fillId="0" borderId="1" xfId="0" quotePrefix="1" applyBorder="1"/>
    <xf numFmtId="4" fontId="0" fillId="0" borderId="1" xfId="0" applyNumberFormat="1" applyBorder="1" applyAlignment="1">
      <alignment horizontal="left" vertical="top"/>
    </xf>
    <xf numFmtId="0" fontId="0" fillId="0" borderId="1" xfId="0" quotePrefix="1" applyBorder="1" applyAlignment="1">
      <alignment horizontal="left" vertical="top"/>
    </xf>
    <xf numFmtId="0" fontId="0" fillId="0" borderId="0" xfId="0" applyAlignment="1">
      <alignment horizontal="left" vertical="top"/>
    </xf>
    <xf numFmtId="0" fontId="0" fillId="0" borderId="1" xfId="0" applyBorder="1" applyAlignment="1">
      <alignment wrapText="1"/>
    </xf>
    <xf numFmtId="0" fontId="10" fillId="0" borderId="1" xfId="0" applyFont="1" applyBorder="1" applyAlignment="1">
      <alignment horizontal="left" vertical="top"/>
    </xf>
    <xf numFmtId="44" fontId="10" fillId="0" borderId="1" xfId="2" applyFont="1" applyBorder="1" applyAlignment="1">
      <alignment horizontal="left" vertical="top"/>
    </xf>
    <xf numFmtId="0" fontId="6" fillId="0" borderId="0" xfId="0" applyFont="1"/>
    <xf numFmtId="0" fontId="13" fillId="0" borderId="0" xfId="0" applyFont="1" applyAlignment="1">
      <alignment horizontal="left" vertical="top"/>
    </xf>
    <xf numFmtId="0" fontId="11" fillId="0" borderId="0" xfId="0" applyFont="1" applyAlignment="1">
      <alignment horizontal="left" vertical="top"/>
    </xf>
    <xf numFmtId="20" fontId="0" fillId="0" borderId="0" xfId="0" applyNumberFormat="1"/>
    <xf numFmtId="0" fontId="9" fillId="0" borderId="0" xfId="0" applyFont="1"/>
    <xf numFmtId="0" fontId="14" fillId="0" borderId="1" xfId="0" applyFont="1" applyBorder="1" applyAlignment="1">
      <alignment horizontal="left" vertical="top"/>
    </xf>
    <xf numFmtId="0" fontId="14" fillId="0" borderId="1" xfId="0" applyFont="1" applyBorder="1" applyAlignment="1">
      <alignment horizontal="left" vertical="top" wrapText="1"/>
    </xf>
    <xf numFmtId="0" fontId="10" fillId="0" borderId="1" xfId="0" applyFont="1" applyBorder="1" applyAlignment="1">
      <alignment horizontal="left" wrapText="1"/>
    </xf>
    <xf numFmtId="0" fontId="11" fillId="0" borderId="1" xfId="0" applyFont="1" applyBorder="1" applyAlignment="1">
      <alignment horizontal="left" vertical="top"/>
    </xf>
    <xf numFmtId="0" fontId="11" fillId="6" borderId="1" xfId="0" applyFont="1" applyFill="1" applyBorder="1" applyAlignment="1">
      <alignment horizontal="left" vertical="top"/>
    </xf>
    <xf numFmtId="0" fontId="11" fillId="0" borderId="1" xfId="0" applyFont="1" applyBorder="1" applyAlignment="1">
      <alignment horizontal="left" vertical="top" wrapText="1"/>
    </xf>
    <xf numFmtId="0" fontId="11" fillId="0" borderId="4" xfId="0" applyFont="1" applyBorder="1" applyAlignment="1">
      <alignment horizontal="left" vertical="top"/>
    </xf>
    <xf numFmtId="0" fontId="11" fillId="0" borderId="1" xfId="0" quotePrefix="1" applyFont="1" applyBorder="1" applyAlignment="1">
      <alignment horizontal="left" vertical="top"/>
    </xf>
    <xf numFmtId="0" fontId="0" fillId="0" borderId="14" xfId="0" applyBorder="1" applyAlignment="1">
      <alignment vertical="center"/>
    </xf>
    <xf numFmtId="0" fontId="0" fillId="0" borderId="6" xfId="0" applyBorder="1"/>
    <xf numFmtId="0" fontId="6" fillId="5" borderId="1" xfId="0" applyFont="1" applyFill="1" applyBorder="1" applyAlignment="1">
      <alignment horizontal="left" vertical="top"/>
    </xf>
    <xf numFmtId="0" fontId="23" fillId="0" borderId="0" xfId="0" applyFont="1"/>
    <xf numFmtId="0" fontId="17" fillId="0" borderId="0" xfId="0" applyFont="1"/>
    <xf numFmtId="0" fontId="20" fillId="0" borderId="0" xfId="0" applyFont="1"/>
    <xf numFmtId="0" fontId="30" fillId="3" borderId="1" xfId="0" applyFont="1" applyFill="1" applyBorder="1" applyAlignment="1">
      <alignment horizontal="center" vertical="top"/>
    </xf>
    <xf numFmtId="0" fontId="34" fillId="0" borderId="0" xfId="0" applyFont="1"/>
    <xf numFmtId="4" fontId="30" fillId="3" borderId="1" xfId="0" applyNumberFormat="1" applyFont="1" applyFill="1" applyBorder="1" applyAlignment="1">
      <alignment horizontal="center" vertical="top"/>
    </xf>
    <xf numFmtId="0" fontId="30" fillId="3" borderId="1" xfId="0" applyFont="1" applyFill="1" applyBorder="1" applyAlignment="1">
      <alignment horizontal="center" vertical="top" wrapText="1"/>
    </xf>
    <xf numFmtId="2" fontId="22" fillId="8" borderId="1" xfId="0" applyNumberFormat="1" applyFont="1" applyFill="1" applyBorder="1" applyAlignment="1">
      <alignment horizontal="center" vertical="top" wrapText="1"/>
    </xf>
    <xf numFmtId="0" fontId="21" fillId="0" borderId="0" xfId="0" applyFont="1"/>
    <xf numFmtId="0" fontId="29" fillId="0" borderId="0" xfId="0" applyFont="1"/>
    <xf numFmtId="0" fontId="18" fillId="0" borderId="0" xfId="0" applyFont="1"/>
    <xf numFmtId="0" fontId="4" fillId="0" borderId="0" xfId="0" applyFont="1"/>
    <xf numFmtId="0" fontId="36" fillId="0" borderId="0" xfId="0" applyFont="1"/>
    <xf numFmtId="0" fontId="40" fillId="0" borderId="1" xfId="0" applyFont="1" applyBorder="1"/>
    <xf numFmtId="0" fontId="4" fillId="0" borderId="1" xfId="0" applyFont="1" applyBorder="1"/>
    <xf numFmtId="173" fontId="17" fillId="0" borderId="3" xfId="0" applyNumberFormat="1" applyFont="1" applyBorder="1"/>
    <xf numFmtId="165" fontId="17" fillId="0" borderId="1" xfId="0" applyNumberFormat="1" applyFont="1" applyBorder="1"/>
    <xf numFmtId="0" fontId="17" fillId="0" borderId="1" xfId="0" applyFont="1" applyBorder="1"/>
    <xf numFmtId="4" fontId="36" fillId="0" borderId="0" xfId="0" applyNumberFormat="1" applyFont="1"/>
    <xf numFmtId="0" fontId="40" fillId="0" borderId="1" xfId="0" applyFont="1" applyBorder="1" applyAlignment="1">
      <alignment horizontal="justify" vertical="center"/>
    </xf>
    <xf numFmtId="4" fontId="17" fillId="0" borderId="1" xfId="0" applyNumberFormat="1" applyFont="1" applyBorder="1"/>
    <xf numFmtId="0" fontId="17" fillId="0" borderId="0" xfId="0" applyFont="1" applyAlignment="1">
      <alignment horizontal="center" vertical="top"/>
    </xf>
    <xf numFmtId="0" fontId="4" fillId="0" borderId="0" xfId="0" applyFont="1" applyAlignment="1">
      <alignment horizontal="center"/>
    </xf>
    <xf numFmtId="0" fontId="36" fillId="0" borderId="0" xfId="0" applyFont="1" applyAlignment="1">
      <alignment horizontal="right"/>
    </xf>
    <xf numFmtId="0" fontId="36" fillId="0" borderId="0" xfId="0" applyFont="1" applyAlignment="1">
      <alignment horizontal="center"/>
    </xf>
    <xf numFmtId="0" fontId="21" fillId="0" borderId="0" xfId="0" applyFont="1" applyAlignment="1">
      <alignment horizontal="center" vertical="center" wrapText="1"/>
    </xf>
    <xf numFmtId="0" fontId="28" fillId="0" borderId="0" xfId="0" applyFont="1" applyAlignment="1">
      <alignment horizontal="left"/>
    </xf>
    <xf numFmtId="0" fontId="42" fillId="0" borderId="0" xfId="0" applyFont="1"/>
    <xf numFmtId="0" fontId="30" fillId="14" borderId="1" xfId="0" applyFont="1" applyFill="1" applyBorder="1" applyAlignment="1">
      <alignment horizontal="center"/>
    </xf>
    <xf numFmtId="0" fontId="39" fillId="0" borderId="0" xfId="0" applyFont="1" applyAlignment="1">
      <alignment horizontal="center" wrapText="1"/>
    </xf>
    <xf numFmtId="0" fontId="40" fillId="0" borderId="0" xfId="0" applyFont="1"/>
    <xf numFmtId="0" fontId="39" fillId="0" borderId="0" xfId="0" applyFont="1" applyAlignment="1">
      <alignment horizontal="center"/>
    </xf>
    <xf numFmtId="0" fontId="30" fillId="14" borderId="1" xfId="0" applyFont="1" applyFill="1" applyBorder="1" applyAlignment="1">
      <alignment horizontal="center" vertical="top" wrapText="1"/>
    </xf>
    <xf numFmtId="0" fontId="30" fillId="14" borderId="1" xfId="0" applyFont="1" applyFill="1" applyBorder="1" applyAlignment="1">
      <alignment horizontal="center" vertical="top"/>
    </xf>
    <xf numFmtId="0" fontId="40" fillId="0" borderId="0" xfId="0" applyFont="1" applyAlignment="1">
      <alignment horizontal="center" vertical="top" wrapText="1"/>
    </xf>
    <xf numFmtId="10" fontId="40" fillId="0" borderId="1" xfId="0" applyNumberFormat="1" applyFont="1" applyBorder="1" applyAlignment="1">
      <alignment horizontal="right"/>
    </xf>
    <xf numFmtId="167" fontId="40" fillId="0" borderId="1" xfId="0" applyNumberFormat="1" applyFont="1" applyBorder="1" applyAlignment="1">
      <alignment horizontal="right"/>
    </xf>
    <xf numFmtId="168" fontId="40" fillId="0" borderId="1" xfId="0" applyNumberFormat="1" applyFont="1" applyBorder="1" applyAlignment="1">
      <alignment horizontal="right"/>
    </xf>
    <xf numFmtId="10" fontId="40" fillId="0" borderId="1" xfId="1" applyNumberFormat="1" applyFont="1" applyFill="1" applyBorder="1" applyProtection="1">
      <protection locked="0"/>
    </xf>
    <xf numFmtId="10" fontId="40" fillId="0" borderId="1" xfId="1" applyNumberFormat="1" applyFont="1" applyFill="1" applyBorder="1"/>
    <xf numFmtId="0" fontId="40" fillId="0" borderId="1" xfId="0" quotePrefix="1" applyFont="1" applyBorder="1" applyAlignment="1">
      <alignment horizontal="right"/>
    </xf>
    <xf numFmtId="10" fontId="40" fillId="0" borderId="1" xfId="0" quotePrefix="1" applyNumberFormat="1" applyFont="1" applyBorder="1" applyAlignment="1">
      <alignment horizontal="right"/>
    </xf>
    <xf numFmtId="0" fontId="40" fillId="0" borderId="0" xfId="0" applyFont="1" applyAlignment="1">
      <alignment horizontal="right"/>
    </xf>
    <xf numFmtId="169" fontId="40" fillId="0" borderId="0" xfId="0" applyNumberFormat="1" applyFont="1"/>
    <xf numFmtId="166" fontId="40" fillId="0" borderId="1" xfId="0" applyNumberFormat="1" applyFont="1" applyBorder="1"/>
    <xf numFmtId="0" fontId="40" fillId="0" borderId="0" xfId="0" applyFont="1" applyProtection="1">
      <protection locked="0"/>
    </xf>
    <xf numFmtId="0" fontId="40" fillId="15" borderId="1" xfId="0" applyFont="1" applyFill="1" applyBorder="1"/>
    <xf numFmtId="10" fontId="40" fillId="15" borderId="1" xfId="0" applyNumberFormat="1" applyFont="1" applyFill="1" applyBorder="1" applyAlignment="1">
      <alignment horizontal="right"/>
    </xf>
    <xf numFmtId="167" fontId="40" fillId="15" borderId="1" xfId="0" applyNumberFormat="1" applyFont="1" applyFill="1" applyBorder="1" applyAlignment="1">
      <alignment horizontal="right"/>
    </xf>
    <xf numFmtId="168" fontId="40" fillId="15" borderId="1" xfId="0" applyNumberFormat="1" applyFont="1" applyFill="1" applyBorder="1" applyAlignment="1">
      <alignment horizontal="right"/>
    </xf>
    <xf numFmtId="0" fontId="37" fillId="14" borderId="1" xfId="0" applyFont="1" applyFill="1" applyBorder="1" applyAlignment="1">
      <alignment horizontal="center"/>
    </xf>
    <xf numFmtId="0" fontId="37" fillId="14" borderId="1" xfId="0" applyFont="1" applyFill="1" applyBorder="1" applyAlignment="1">
      <alignment horizontal="center" vertical="top"/>
    </xf>
    <xf numFmtId="0" fontId="37" fillId="14" borderId="1" xfId="0" applyFont="1" applyFill="1" applyBorder="1" applyAlignment="1">
      <alignment horizontal="center" vertical="top" wrapText="1"/>
    </xf>
    <xf numFmtId="0" fontId="40" fillId="15" borderId="1" xfId="0" quotePrefix="1" applyFont="1" applyFill="1" applyBorder="1" applyAlignment="1">
      <alignment horizontal="right"/>
    </xf>
    <xf numFmtId="10" fontId="40" fillId="15" borderId="1" xfId="1" applyNumberFormat="1" applyFont="1" applyFill="1" applyBorder="1"/>
    <xf numFmtId="10" fontId="40" fillId="15" borderId="1" xfId="0" quotePrefix="1" applyNumberFormat="1" applyFont="1" applyFill="1" applyBorder="1" applyAlignment="1">
      <alignment horizontal="right"/>
    </xf>
    <xf numFmtId="0" fontId="45" fillId="0" borderId="0" xfId="0" applyFont="1"/>
    <xf numFmtId="0" fontId="30" fillId="14" borderId="2" xfId="0" applyFont="1" applyFill="1" applyBorder="1" applyAlignment="1">
      <alignment horizontal="center" vertical="top"/>
    </xf>
    <xf numFmtId="0" fontId="30" fillId="14" borderId="6" xfId="0" applyFont="1" applyFill="1" applyBorder="1" applyAlignment="1">
      <alignment horizontal="center" vertical="top"/>
    </xf>
    <xf numFmtId="0" fontId="30" fillId="14" borderId="3" xfId="0" applyFont="1" applyFill="1" applyBorder="1" applyAlignment="1">
      <alignment horizontal="center" vertical="top"/>
    </xf>
    <xf numFmtId="0" fontId="39" fillId="2" borderId="1" xfId="0" applyFont="1" applyFill="1" applyBorder="1"/>
    <xf numFmtId="0" fontId="45" fillId="0" borderId="0" xfId="0" applyFont="1" applyAlignment="1">
      <alignment vertical="top"/>
    </xf>
    <xf numFmtId="0" fontId="36" fillId="0" borderId="1" xfId="0" applyFont="1" applyBorder="1" applyAlignment="1">
      <alignment horizontal="center" vertical="top" wrapText="1"/>
    </xf>
    <xf numFmtId="0" fontId="36" fillId="0" borderId="1" xfId="0" quotePrefix="1" applyFont="1" applyBorder="1" applyAlignment="1">
      <alignment horizontal="center" vertical="top" wrapText="1"/>
    </xf>
    <xf numFmtId="0" fontId="36" fillId="0" borderId="0" xfId="0" applyFont="1" applyAlignment="1">
      <alignment horizontal="center" vertical="top" wrapText="1"/>
    </xf>
    <xf numFmtId="0" fontId="36" fillId="0" borderId="0" xfId="0" quotePrefix="1" applyFont="1" applyAlignment="1">
      <alignment horizontal="center" vertical="top" wrapText="1"/>
    </xf>
    <xf numFmtId="0" fontId="46" fillId="0" borderId="0" xfId="0" applyFont="1" applyAlignment="1">
      <alignment horizontal="center" vertical="top"/>
    </xf>
    <xf numFmtId="0" fontId="17" fillId="0" borderId="0" xfId="0" applyFont="1" applyAlignment="1">
      <alignment vertical="top"/>
    </xf>
    <xf numFmtId="165" fontId="40" fillId="0" borderId="0" xfId="0" applyNumberFormat="1" applyFont="1" applyAlignment="1">
      <alignment vertical="top"/>
    </xf>
    <xf numFmtId="0" fontId="40" fillId="0" borderId="0" xfId="0" applyFont="1" applyAlignment="1">
      <alignment vertical="top"/>
    </xf>
    <xf numFmtId="11" fontId="40" fillId="0" borderId="0" xfId="0" applyNumberFormat="1" applyFont="1" applyAlignment="1">
      <alignment vertical="top"/>
    </xf>
    <xf numFmtId="0" fontId="40" fillId="0" borderId="0" xfId="0" applyFont="1" applyAlignment="1">
      <alignment horizontal="center" vertical="top"/>
    </xf>
    <xf numFmtId="0" fontId="48" fillId="0" borderId="0" xfId="0" applyFont="1" applyAlignment="1">
      <alignment vertical="top"/>
    </xf>
    <xf numFmtId="0" fontId="40" fillId="0" borderId="0" xfId="0" applyFont="1" applyAlignment="1">
      <alignment horizontal="center"/>
    </xf>
    <xf numFmtId="0" fontId="40" fillId="0" borderId="1" xfId="0" applyFont="1" applyBorder="1" applyAlignment="1">
      <alignment vertical="top"/>
    </xf>
    <xf numFmtId="0" fontId="34" fillId="0" borderId="0" xfId="0" applyFont="1" applyAlignment="1">
      <alignment horizontal="center"/>
    </xf>
    <xf numFmtId="0" fontId="30" fillId="14" borderId="3" xfId="0" applyFont="1" applyFill="1" applyBorder="1" applyAlignment="1">
      <alignment horizontal="center" vertical="center"/>
    </xf>
    <xf numFmtId="165" fontId="30" fillId="14" borderId="2" xfId="0" applyNumberFormat="1" applyFont="1" applyFill="1" applyBorder="1" applyAlignment="1">
      <alignment horizontal="center" vertical="top"/>
    </xf>
    <xf numFmtId="165" fontId="30" fillId="14" borderId="11" xfId="0" applyNumberFormat="1" applyFont="1" applyFill="1" applyBorder="1" applyAlignment="1">
      <alignment horizontal="center" vertical="top"/>
    </xf>
    <xf numFmtId="0" fontId="30" fillId="14" borderId="6" xfId="0" applyFont="1" applyFill="1" applyBorder="1" applyAlignment="1">
      <alignment vertical="top"/>
    </xf>
    <xf numFmtId="0" fontId="30" fillId="14" borderId="6" xfId="0" applyFont="1" applyFill="1" applyBorder="1" applyAlignment="1">
      <alignment horizontal="center"/>
    </xf>
    <xf numFmtId="165" fontId="30" fillId="14" borderId="6" xfId="0" applyNumberFormat="1" applyFont="1" applyFill="1" applyBorder="1" applyAlignment="1">
      <alignment horizontal="center" vertical="top"/>
    </xf>
    <xf numFmtId="165" fontId="30" fillId="14" borderId="15" xfId="0" applyNumberFormat="1" applyFont="1" applyFill="1" applyBorder="1" applyAlignment="1">
      <alignment horizontal="center" vertical="top"/>
    </xf>
    <xf numFmtId="11" fontId="30" fillId="14" borderId="2" xfId="0" applyNumberFormat="1" applyFont="1" applyFill="1" applyBorder="1" applyAlignment="1">
      <alignment horizontal="center" vertical="top"/>
    </xf>
    <xf numFmtId="0" fontId="30" fillId="14" borderId="15" xfId="0" applyFont="1" applyFill="1" applyBorder="1" applyAlignment="1">
      <alignment horizontal="center" vertical="top"/>
    </xf>
    <xf numFmtId="0" fontId="30" fillId="14" borderId="3" xfId="0" applyFont="1" applyFill="1" applyBorder="1" applyAlignment="1">
      <alignment vertical="top"/>
    </xf>
    <xf numFmtId="0" fontId="30" fillId="14" borderId="3" xfId="0" applyFont="1" applyFill="1" applyBorder="1" applyAlignment="1">
      <alignment horizontal="center"/>
    </xf>
    <xf numFmtId="165" fontId="30" fillId="14" borderId="3" xfId="0" applyNumberFormat="1" applyFont="1" applyFill="1" applyBorder="1" applyAlignment="1">
      <alignment horizontal="center" vertical="top"/>
    </xf>
    <xf numFmtId="165" fontId="30" fillId="14" borderId="12" xfId="0" applyNumberFormat="1" applyFont="1" applyFill="1" applyBorder="1" applyAlignment="1">
      <alignment horizontal="center" vertical="top"/>
    </xf>
    <xf numFmtId="11" fontId="30" fillId="14" borderId="3" xfId="0" applyNumberFormat="1" applyFont="1" applyFill="1" applyBorder="1" applyAlignment="1">
      <alignment horizontal="center" vertical="top"/>
    </xf>
    <xf numFmtId="0" fontId="40" fillId="15" borderId="1" xfId="0" applyFont="1" applyFill="1" applyBorder="1" applyAlignment="1">
      <alignment vertical="top"/>
    </xf>
    <xf numFmtId="165" fontId="40" fillId="15" borderId="1" xfId="0" applyNumberFormat="1" applyFont="1" applyFill="1" applyBorder="1" applyAlignment="1">
      <alignment vertical="top"/>
    </xf>
    <xf numFmtId="0" fontId="40" fillId="0" borderId="6" xfId="0" applyFont="1" applyBorder="1" applyAlignment="1">
      <alignment horizontal="center" vertical="center"/>
    </xf>
    <xf numFmtId="0" fontId="4" fillId="0" borderId="1" xfId="0" applyFont="1" applyBorder="1" applyAlignment="1">
      <alignment horizontal="center"/>
    </xf>
    <xf numFmtId="0" fontId="30" fillId="14" borderId="6" xfId="0" applyFont="1" applyFill="1" applyBorder="1" applyAlignment="1">
      <alignment horizontal="center" vertical="center"/>
    </xf>
    <xf numFmtId="0" fontId="40" fillId="15" borderId="1" xfId="0" applyFont="1" applyFill="1" applyBorder="1" applyAlignment="1">
      <alignment horizontal="justify" vertical="center"/>
    </xf>
    <xf numFmtId="173" fontId="48" fillId="0" borderId="0" xfId="0" applyNumberFormat="1" applyFont="1"/>
    <xf numFmtId="0" fontId="48" fillId="0" borderId="0" xfId="0" applyFont="1"/>
    <xf numFmtId="0" fontId="30" fillId="14" borderId="3" xfId="0" applyFont="1" applyFill="1" applyBorder="1"/>
    <xf numFmtId="0" fontId="49" fillId="0" borderId="10" xfId="0" applyFont="1" applyBorder="1" applyAlignment="1">
      <alignment vertical="top"/>
    </xf>
    <xf numFmtId="0" fontId="4" fillId="0" borderId="10" xfId="0" applyFont="1" applyBorder="1"/>
    <xf numFmtId="0" fontId="34" fillId="0" borderId="0" xfId="0" applyFont="1" applyAlignment="1">
      <alignment vertical="top"/>
    </xf>
    <xf numFmtId="0" fontId="21" fillId="0" borderId="0" xfId="0" applyFont="1" applyAlignment="1">
      <alignment vertical="top" wrapText="1"/>
    </xf>
    <xf numFmtId="0" fontId="21" fillId="0" borderId="0" xfId="0" quotePrefix="1" applyFont="1" applyAlignment="1">
      <alignment vertical="top"/>
    </xf>
    <xf numFmtId="0" fontId="21" fillId="0" borderId="0" xfId="0" applyFont="1" applyAlignment="1">
      <alignment vertical="top"/>
    </xf>
    <xf numFmtId="0" fontId="22" fillId="0" borderId="0" xfId="0" applyFont="1"/>
    <xf numFmtId="0" fontId="22" fillId="0" borderId="4" xfId="0" applyFont="1" applyBorder="1" applyAlignment="1">
      <alignment vertical="top" wrapText="1"/>
    </xf>
    <xf numFmtId="165" fontId="22" fillId="0" borderId="8" xfId="0" applyNumberFormat="1" applyFont="1" applyBorder="1" applyAlignment="1">
      <alignment vertical="top" wrapText="1"/>
    </xf>
    <xf numFmtId="0" fontId="22" fillId="0" borderId="5" xfId="0" applyFont="1" applyBorder="1" applyAlignment="1">
      <alignment vertical="top" wrapText="1"/>
    </xf>
    <xf numFmtId="0" fontId="17" fillId="0" borderId="4" xfId="0" applyFont="1" applyBorder="1" applyAlignment="1">
      <alignment vertical="top" wrapText="1"/>
    </xf>
    <xf numFmtId="165" fontId="17" fillId="0" borderId="8" xfId="0" applyNumberFormat="1" applyFont="1" applyBorder="1" applyAlignment="1">
      <alignment vertical="top" wrapText="1"/>
    </xf>
    <xf numFmtId="0" fontId="17" fillId="0" borderId="5" xfId="0" applyFont="1" applyBorder="1" applyAlignment="1">
      <alignment vertical="top" wrapText="1"/>
    </xf>
    <xf numFmtId="0" fontId="21" fillId="0" borderId="0" xfId="0" quotePrefix="1" applyFont="1" applyAlignment="1">
      <alignment horizontal="center" vertical="top"/>
    </xf>
    <xf numFmtId="0" fontId="21" fillId="0" borderId="0" xfId="0" applyFont="1" applyAlignment="1">
      <alignment horizontal="left" vertical="top"/>
    </xf>
    <xf numFmtId="11" fontId="21" fillId="0" borderId="0" xfId="0" applyNumberFormat="1" applyFont="1" applyAlignment="1">
      <alignment vertical="top"/>
    </xf>
    <xf numFmtId="4" fontId="21" fillId="0" borderId="0" xfId="0" applyNumberFormat="1" applyFont="1" applyAlignment="1">
      <alignment vertical="top"/>
    </xf>
    <xf numFmtId="171" fontId="17" fillId="0" borderId="1" xfId="0" applyNumberFormat="1" applyFont="1" applyBorder="1"/>
    <xf numFmtId="0" fontId="21" fillId="0" borderId="0" xfId="0" applyFont="1" applyAlignment="1">
      <alignment horizontal="left"/>
    </xf>
    <xf numFmtId="0" fontId="29" fillId="0" borderId="0" xfId="0" applyFont="1" applyAlignment="1">
      <alignment vertical="center"/>
    </xf>
    <xf numFmtId="0" fontId="31" fillId="0" borderId="6" xfId="0" applyFont="1" applyBorder="1"/>
    <xf numFmtId="0" fontId="25" fillId="17" borderId="1" xfId="0" applyFont="1" applyFill="1" applyBorder="1" applyAlignment="1" applyProtection="1">
      <alignment vertical="center"/>
      <protection locked="0"/>
    </xf>
    <xf numFmtId="0" fontId="0" fillId="0" borderId="14" xfId="0" applyBorder="1" applyAlignment="1">
      <alignment vertical="center" wrapText="1"/>
    </xf>
    <xf numFmtId="0" fontId="30" fillId="11" borderId="2" xfId="0" applyFont="1" applyFill="1" applyBorder="1" applyAlignment="1">
      <alignment horizontal="center" vertical="top"/>
    </xf>
    <xf numFmtId="0" fontId="30" fillId="11" borderId="1" xfId="0" applyFont="1" applyFill="1" applyBorder="1" applyAlignment="1">
      <alignment horizontal="center" vertical="top"/>
    </xf>
    <xf numFmtId="0" fontId="58" fillId="0" borderId="0" xfId="0" applyFont="1"/>
    <xf numFmtId="0" fontId="40" fillId="0" borderId="0" xfId="0" applyFont="1" applyAlignment="1">
      <alignment horizontal="justify" vertical="center"/>
    </xf>
    <xf numFmtId="4" fontId="17" fillId="0" borderId="3" xfId="0" applyNumberFormat="1" applyFont="1" applyBorder="1"/>
    <xf numFmtId="171" fontId="17" fillId="0" borderId="0" xfId="0" applyNumberFormat="1" applyFont="1" applyAlignment="1">
      <alignment horizontal="right" vertical="top"/>
    </xf>
    <xf numFmtId="0" fontId="39" fillId="10" borderId="1" xfId="0" applyFont="1" applyFill="1" applyBorder="1" applyAlignment="1">
      <alignment vertical="top"/>
    </xf>
    <xf numFmtId="0" fontId="22" fillId="8" borderId="1" xfId="0" applyFont="1" applyFill="1" applyBorder="1" applyAlignment="1">
      <alignment horizontal="center" vertical="top"/>
    </xf>
    <xf numFmtId="173" fontId="40" fillId="0" borderId="0" xfId="0" applyNumberFormat="1" applyFont="1"/>
    <xf numFmtId="165" fontId="40" fillId="0" borderId="0" xfId="0" applyNumberFormat="1" applyFont="1"/>
    <xf numFmtId="169" fontId="17" fillId="0" borderId="1" xfId="0" applyNumberFormat="1" applyFont="1" applyBorder="1"/>
    <xf numFmtId="2" fontId="17" fillId="0" borderId="1" xfId="0" applyNumberFormat="1" applyFont="1" applyBorder="1"/>
    <xf numFmtId="0" fontId="60" fillId="0" borderId="0" xfId="0" applyFont="1" applyAlignment="1">
      <alignment horizontal="right" vertical="top"/>
    </xf>
    <xf numFmtId="0" fontId="61" fillId="0" borderId="0" xfId="0" applyFont="1" applyAlignment="1">
      <alignment horizontal="right" vertical="top"/>
    </xf>
    <xf numFmtId="0" fontId="35" fillId="0" borderId="14" xfId="0" applyFont="1" applyBorder="1"/>
    <xf numFmtId="0" fontId="67" fillId="0" borderId="0" xfId="0" applyFont="1" applyAlignment="1">
      <alignment horizontal="right" vertical="top"/>
    </xf>
    <xf numFmtId="0" fontId="63" fillId="0" borderId="0" xfId="0" applyFont="1" applyAlignment="1">
      <alignment horizontal="right" vertical="top"/>
    </xf>
    <xf numFmtId="0" fontId="68" fillId="0" borderId="14" xfId="0" applyFont="1" applyBorder="1"/>
    <xf numFmtId="0" fontId="69" fillId="0" borderId="0" xfId="0" applyFont="1" applyAlignment="1">
      <alignment horizontal="right" vertical="top"/>
    </xf>
    <xf numFmtId="0" fontId="70" fillId="0" borderId="14" xfId="0" applyFont="1" applyBorder="1"/>
    <xf numFmtId="0" fontId="66" fillId="0" borderId="15" xfId="0" applyFont="1" applyBorder="1" applyAlignment="1">
      <alignment horizontal="right" vertical="top"/>
    </xf>
    <xf numFmtId="0" fontId="65" fillId="0" borderId="15" xfId="0" applyFont="1" applyBorder="1" applyAlignment="1">
      <alignment horizontal="right" vertical="top"/>
    </xf>
    <xf numFmtId="0" fontId="64" fillId="0" borderId="15" xfId="0" applyFont="1" applyBorder="1" applyAlignment="1">
      <alignment horizontal="right" vertical="top"/>
    </xf>
    <xf numFmtId="0" fontId="29" fillId="0" borderId="0" xfId="0" applyFont="1" applyAlignment="1">
      <alignment horizontal="left" vertical="top"/>
    </xf>
    <xf numFmtId="0" fontId="62" fillId="0" borderId="15" xfId="0" applyFont="1" applyBorder="1" applyAlignment="1">
      <alignment horizontal="right" vertical="top"/>
    </xf>
    <xf numFmtId="0" fontId="71" fillId="0" borderId="15" xfId="0" applyFont="1" applyBorder="1" applyAlignment="1">
      <alignment horizontal="right" vertical="center"/>
    </xf>
    <xf numFmtId="0" fontId="59" fillId="0" borderId="15" xfId="0" applyFont="1" applyBorder="1" applyAlignment="1">
      <alignment horizontal="right" vertical="top"/>
    </xf>
    <xf numFmtId="0" fontId="59" fillId="0" borderId="15" xfId="0" applyFont="1" applyBorder="1" applyAlignment="1">
      <alignment vertical="top"/>
    </xf>
    <xf numFmtId="0" fontId="26" fillId="17" borderId="1" xfId="0" applyFont="1" applyFill="1" applyBorder="1" applyAlignment="1">
      <alignment vertical="center"/>
    </xf>
    <xf numFmtId="0" fontId="19" fillId="7" borderId="1" xfId="0" applyFont="1" applyFill="1" applyBorder="1" applyAlignment="1">
      <alignment vertical="center"/>
    </xf>
    <xf numFmtId="0" fontId="22" fillId="0" borderId="0" xfId="0" applyFont="1" applyAlignment="1">
      <alignment horizontal="justify" vertical="center"/>
    </xf>
    <xf numFmtId="0" fontId="21" fillId="0" borderId="0" xfId="0" applyFont="1" applyAlignment="1">
      <alignment horizontal="justify" vertical="center"/>
    </xf>
    <xf numFmtId="0" fontId="24" fillId="0" borderId="14" xfId="3" applyFont="1" applyBorder="1" applyAlignment="1" applyProtection="1">
      <alignment vertical="center"/>
    </xf>
    <xf numFmtId="0" fontId="24" fillId="0" borderId="0" xfId="3" applyFont="1" applyBorder="1" applyAlignment="1" applyProtection="1">
      <alignment vertical="center"/>
    </xf>
    <xf numFmtId="0" fontId="21" fillId="0" borderId="0" xfId="0" applyFont="1" applyAlignment="1" applyProtection="1">
      <alignment vertical="top"/>
      <protection locked="0"/>
    </xf>
    <xf numFmtId="0" fontId="22" fillId="8" borderId="1" xfId="0" applyFont="1" applyFill="1" applyBorder="1" applyAlignment="1">
      <alignment horizontal="center" vertical="top" wrapText="1"/>
    </xf>
    <xf numFmtId="0" fontId="3" fillId="0" borderId="1" xfId="0" applyFont="1" applyBorder="1"/>
    <xf numFmtId="0" fontId="3" fillId="8" borderId="1" xfId="0" applyFont="1" applyFill="1" applyBorder="1" applyProtection="1">
      <protection locked="0"/>
    </xf>
    <xf numFmtId="0" fontId="30" fillId="18" borderId="2" xfId="0" applyFont="1" applyFill="1" applyBorder="1" applyAlignment="1">
      <alignment horizontal="center" vertical="top"/>
    </xf>
    <xf numFmtId="0" fontId="30" fillId="18" borderId="1" xfId="0" applyFont="1" applyFill="1" applyBorder="1" applyAlignment="1">
      <alignment horizontal="center" vertical="top"/>
    </xf>
    <xf numFmtId="0" fontId="30" fillId="18" borderId="4" xfId="0" applyFont="1" applyFill="1" applyBorder="1" applyAlignment="1">
      <alignment horizontal="center" vertical="top"/>
    </xf>
    <xf numFmtId="0" fontId="32" fillId="18" borderId="8" xfId="0" applyFont="1" applyFill="1" applyBorder="1" applyAlignment="1">
      <alignment horizontal="center" vertical="top"/>
    </xf>
    <xf numFmtId="0" fontId="32" fillId="18" borderId="5" xfId="0" applyFont="1" applyFill="1" applyBorder="1" applyAlignment="1">
      <alignment horizontal="center" vertical="top"/>
    </xf>
    <xf numFmtId="0" fontId="30" fillId="18" borderId="3" xfId="0" applyFont="1" applyFill="1" applyBorder="1" applyAlignment="1">
      <alignment horizontal="center" vertical="top"/>
    </xf>
    <xf numFmtId="0" fontId="30" fillId="18" borderId="1" xfId="0" applyFont="1" applyFill="1" applyBorder="1" applyAlignment="1">
      <alignment horizontal="center"/>
    </xf>
    <xf numFmtId="0" fontId="21" fillId="8" borderId="3" xfId="0" applyFont="1" applyFill="1" applyBorder="1"/>
    <xf numFmtId="0" fontId="30" fillId="18" borderId="1" xfId="0" applyFont="1" applyFill="1" applyBorder="1"/>
    <xf numFmtId="0" fontId="30" fillId="18" borderId="1" xfId="0" applyFont="1" applyFill="1" applyBorder="1" applyAlignment="1">
      <alignment horizontal="center" vertical="top" wrapText="1"/>
    </xf>
    <xf numFmtId="170" fontId="30" fillId="18" borderId="1" xfId="0" applyNumberFormat="1" applyFont="1" applyFill="1" applyBorder="1" applyAlignment="1">
      <alignment horizontal="center" vertical="top" wrapText="1"/>
    </xf>
    <xf numFmtId="0" fontId="30" fillId="18" borderId="1" xfId="0" applyFont="1" applyFill="1" applyBorder="1" applyAlignment="1">
      <alignment horizontal="center" wrapText="1"/>
    </xf>
    <xf numFmtId="169" fontId="17" fillId="15" borderId="1" xfId="0" applyNumberFormat="1" applyFont="1" applyFill="1" applyBorder="1" applyAlignment="1">
      <alignment horizontal="center"/>
    </xf>
    <xf numFmtId="169" fontId="17" fillId="15" borderId="2" xfId="0" applyNumberFormat="1" applyFont="1" applyFill="1" applyBorder="1" applyAlignment="1">
      <alignment horizontal="center" vertical="top"/>
    </xf>
    <xf numFmtId="165" fontId="17" fillId="15" borderId="1" xfId="0" applyNumberFormat="1" applyFont="1" applyFill="1" applyBorder="1" applyAlignment="1">
      <alignment horizontal="right"/>
    </xf>
    <xf numFmtId="165" fontId="17" fillId="15" borderId="1" xfId="0" applyNumberFormat="1" applyFont="1" applyFill="1" applyBorder="1" applyAlignment="1">
      <alignment horizontal="center"/>
    </xf>
    <xf numFmtId="0" fontId="17" fillId="15" borderId="2" xfId="0" applyFont="1" applyFill="1" applyBorder="1" applyAlignment="1">
      <alignment horizontal="center"/>
    </xf>
    <xf numFmtId="0" fontId="17" fillId="15" borderId="1" xfId="0" applyFont="1" applyFill="1" applyBorder="1" applyAlignment="1">
      <alignment horizontal="center"/>
    </xf>
    <xf numFmtId="0" fontId="39" fillId="15" borderId="1" xfId="0" applyFont="1" applyFill="1" applyBorder="1" applyAlignment="1">
      <alignment horizontal="justify" vertical="center"/>
    </xf>
    <xf numFmtId="165" fontId="17" fillId="15" borderId="1" xfId="0" applyNumberFormat="1" applyFont="1" applyFill="1" applyBorder="1" applyAlignment="1">
      <alignment vertical="top"/>
    </xf>
    <xf numFmtId="173" fontId="17" fillId="15" borderId="1" xfId="0" applyNumberFormat="1" applyFont="1" applyFill="1" applyBorder="1"/>
    <xf numFmtId="44" fontId="40" fillId="15" borderId="1" xfId="2" applyFont="1" applyFill="1" applyBorder="1" applyAlignment="1">
      <alignment horizontal="left" vertical="center"/>
    </xf>
    <xf numFmtId="0" fontId="44" fillId="8" borderId="1" xfId="0" applyFont="1" applyFill="1" applyBorder="1" applyAlignment="1">
      <alignment horizontal="center"/>
    </xf>
    <xf numFmtId="10" fontId="40" fillId="8" borderId="1" xfId="1" applyNumberFormat="1" applyFont="1" applyFill="1" applyBorder="1" applyProtection="1">
      <protection locked="0"/>
    </xf>
    <xf numFmtId="0" fontId="40" fillId="8" borderId="1" xfId="0" applyFont="1" applyFill="1" applyBorder="1" applyAlignment="1" applyProtection="1">
      <alignment horizontal="center" vertical="center"/>
      <protection locked="0"/>
    </xf>
    <xf numFmtId="0" fontId="4" fillId="8" borderId="1" xfId="0" applyFont="1" applyFill="1" applyBorder="1" applyProtection="1">
      <protection locked="0"/>
    </xf>
    <xf numFmtId="0" fontId="4" fillId="8" borderId="1" xfId="0" applyFont="1" applyFill="1" applyBorder="1" applyAlignment="1" applyProtection="1">
      <alignment horizontal="center"/>
      <protection locked="0"/>
    </xf>
    <xf numFmtId="0" fontId="40" fillId="8" borderId="1" xfId="0" applyFont="1" applyFill="1" applyBorder="1" applyAlignment="1" applyProtection="1">
      <alignment vertical="top"/>
      <protection locked="0"/>
    </xf>
    <xf numFmtId="0" fontId="40" fillId="8" borderId="1" xfId="0" applyFont="1" applyFill="1" applyBorder="1" applyAlignment="1" applyProtection="1">
      <alignment horizontal="right" vertical="top"/>
      <protection locked="0"/>
    </xf>
    <xf numFmtId="0" fontId="40" fillId="8" borderId="1" xfId="0" applyFont="1" applyFill="1" applyBorder="1" applyAlignment="1" applyProtection="1">
      <alignment horizontal="center" vertical="top"/>
      <protection locked="0"/>
    </xf>
    <xf numFmtId="0" fontId="3" fillId="8" borderId="1" xfId="0" applyFont="1" applyFill="1" applyBorder="1" applyAlignment="1" applyProtection="1">
      <alignment vertical="top"/>
      <protection locked="0"/>
    </xf>
    <xf numFmtId="0" fontId="38" fillId="8" borderId="1" xfId="0" applyFont="1" applyFill="1" applyBorder="1" applyAlignment="1" applyProtection="1">
      <alignment horizontal="center" vertical="top"/>
      <protection locked="0"/>
    </xf>
    <xf numFmtId="0" fontId="21" fillId="8" borderId="0" xfId="0" applyFont="1" applyFill="1" applyAlignment="1" applyProtection="1">
      <alignment vertical="top" wrapText="1"/>
      <protection locked="0"/>
    </xf>
    <xf numFmtId="0" fontId="21" fillId="8" borderId="0" xfId="0" applyFont="1" applyFill="1" applyAlignment="1" applyProtection="1">
      <alignment vertical="top"/>
      <protection locked="0"/>
    </xf>
    <xf numFmtId="11" fontId="21" fillId="8" borderId="0" xfId="0" applyNumberFormat="1" applyFont="1" applyFill="1" applyAlignment="1" applyProtection="1">
      <alignment vertical="top"/>
      <protection locked="0"/>
    </xf>
    <xf numFmtId="0" fontId="18" fillId="19" borderId="1" xfId="0" applyFont="1" applyFill="1" applyBorder="1"/>
    <xf numFmtId="0" fontId="30" fillId="19" borderId="4" xfId="0" applyFont="1" applyFill="1" applyBorder="1" applyAlignment="1">
      <alignment horizontal="center"/>
    </xf>
    <xf numFmtId="0" fontId="30" fillId="19" borderId="1" xfId="0" applyFont="1" applyFill="1" applyBorder="1" applyAlignment="1">
      <alignment horizontal="center"/>
    </xf>
    <xf numFmtId="0" fontId="30" fillId="19" borderId="1" xfId="0" applyFont="1" applyFill="1" applyBorder="1" applyAlignment="1">
      <alignment horizontal="center" vertical="top" wrapText="1"/>
    </xf>
    <xf numFmtId="0" fontId="30" fillId="20" borderId="1" xfId="0" applyFont="1" applyFill="1" applyBorder="1"/>
    <xf numFmtId="0" fontId="41" fillId="22" borderId="1" xfId="0" applyFont="1" applyFill="1" applyBorder="1" applyAlignment="1">
      <alignment horizontal="center" vertical="center"/>
    </xf>
    <xf numFmtId="0" fontId="41" fillId="22" borderId="0" xfId="0" applyFont="1" applyFill="1" applyAlignment="1">
      <alignment horizontal="center" vertical="center"/>
    </xf>
    <xf numFmtId="0" fontId="3" fillId="0" borderId="1" xfId="0" applyFont="1" applyBorder="1" applyAlignment="1">
      <alignment vertical="top"/>
    </xf>
    <xf numFmtId="0" fontId="3" fillId="15" borderId="1" xfId="0" applyFont="1" applyFill="1" applyBorder="1" applyAlignment="1">
      <alignment vertical="top"/>
    </xf>
    <xf numFmtId="0" fontId="40" fillId="15" borderId="1" xfId="0" applyFont="1" applyFill="1" applyBorder="1" applyAlignment="1">
      <alignment horizontal="right"/>
    </xf>
    <xf numFmtId="0" fontId="40" fillId="0" borderId="1" xfId="0" applyFont="1" applyBorder="1" applyAlignment="1">
      <alignment horizontal="right"/>
    </xf>
    <xf numFmtId="0" fontId="37" fillId="14" borderId="1" xfId="0" applyFont="1" applyFill="1" applyBorder="1" applyAlignment="1">
      <alignment horizontal="right"/>
    </xf>
    <xf numFmtId="166" fontId="40" fillId="0" borderId="1" xfId="0" applyNumberFormat="1" applyFont="1" applyBorder="1" applyAlignment="1">
      <alignment horizontal="right"/>
    </xf>
    <xf numFmtId="11" fontId="43" fillId="0" borderId="1" xfId="0" applyNumberFormat="1" applyFont="1" applyBorder="1" applyAlignment="1">
      <alignment horizontal="right"/>
    </xf>
    <xf numFmtId="0" fontId="37" fillId="14" borderId="1" xfId="0" applyFont="1" applyFill="1" applyBorder="1" applyAlignment="1">
      <alignment horizontal="right" wrapText="1"/>
    </xf>
    <xf numFmtId="0" fontId="18" fillId="0" borderId="0" xfId="0" applyFont="1" applyAlignment="1">
      <alignment vertical="top"/>
    </xf>
    <xf numFmtId="0" fontId="72" fillId="0" borderId="0" xfId="0" applyFont="1" applyAlignment="1">
      <alignment vertical="top"/>
    </xf>
    <xf numFmtId="0" fontId="17" fillId="0" borderId="13" xfId="0" applyFont="1" applyBorder="1" applyAlignment="1">
      <alignment vertical="top"/>
    </xf>
    <xf numFmtId="0" fontId="17" fillId="15" borderId="1" xfId="0" applyFont="1" applyFill="1" applyBorder="1" applyAlignment="1">
      <alignment horizontal="left" vertical="top"/>
    </xf>
    <xf numFmtId="0" fontId="20" fillId="0" borderId="0" xfId="0" applyFont="1" applyAlignment="1">
      <alignment vertical="top"/>
    </xf>
    <xf numFmtId="0" fontId="17" fillId="15" borderId="1" xfId="0" applyFont="1" applyFill="1" applyBorder="1" applyAlignment="1">
      <alignment vertical="top"/>
    </xf>
    <xf numFmtId="0" fontId="35" fillId="8" borderId="1" xfId="0" applyFont="1" applyFill="1" applyBorder="1" applyAlignment="1" applyProtection="1">
      <alignment vertical="top"/>
      <protection locked="0"/>
    </xf>
    <xf numFmtId="4" fontId="17" fillId="15" borderId="1" xfId="0" applyNumberFormat="1" applyFont="1" applyFill="1" applyBorder="1" applyAlignment="1">
      <alignment vertical="top"/>
    </xf>
    <xf numFmtId="0" fontId="30" fillId="18" borderId="1" xfId="0" applyFont="1" applyFill="1" applyBorder="1" applyAlignment="1">
      <alignment vertical="top"/>
    </xf>
    <xf numFmtId="0" fontId="0" fillId="0" borderId="0" xfId="0" applyAlignment="1">
      <alignment horizontal="right"/>
    </xf>
    <xf numFmtId="0" fontId="0" fillId="0" borderId="1" xfId="0" applyBorder="1" applyAlignment="1">
      <alignment horizontal="right"/>
    </xf>
    <xf numFmtId="0" fontId="3" fillId="0" borderId="0" xfId="0" applyFont="1"/>
    <xf numFmtId="0" fontId="3" fillId="0" borderId="0" xfId="0" applyFont="1" applyAlignment="1">
      <alignment vertical="top"/>
    </xf>
    <xf numFmtId="4" fontId="3" fillId="0" borderId="0" xfId="0" quotePrefix="1" applyNumberFormat="1" applyFont="1" applyAlignment="1">
      <alignment horizontal="right" vertical="top"/>
    </xf>
    <xf numFmtId="4" fontId="3" fillId="0" borderId="0" xfId="0" applyNumberFormat="1" applyFont="1" applyAlignment="1">
      <alignment vertical="top"/>
    </xf>
    <xf numFmtId="4" fontId="3" fillId="0" borderId="1" xfId="0" applyNumberFormat="1" applyFont="1" applyBorder="1" applyAlignment="1">
      <alignment vertical="top"/>
    </xf>
    <xf numFmtId="0" fontId="30" fillId="3" borderId="4" xfId="0" applyFont="1" applyFill="1" applyBorder="1" applyAlignment="1">
      <alignment horizontal="center" vertical="top"/>
    </xf>
    <xf numFmtId="0" fontId="32" fillId="3" borderId="5" xfId="0" applyFont="1" applyFill="1" applyBorder="1" applyAlignment="1">
      <alignment horizontal="center" vertical="top"/>
    </xf>
    <xf numFmtId="0" fontId="28" fillId="3" borderId="0" xfId="0" applyFont="1" applyFill="1" applyAlignment="1">
      <alignment vertical="top"/>
    </xf>
    <xf numFmtId="0" fontId="18" fillId="0" borderId="0" xfId="0" applyFont="1" applyAlignment="1" applyProtection="1">
      <alignment vertical="top"/>
      <protection hidden="1"/>
    </xf>
    <xf numFmtId="0" fontId="33" fillId="0" borderId="0" xfId="0" applyFont="1" applyAlignment="1">
      <alignment vertical="top"/>
    </xf>
    <xf numFmtId="0" fontId="29" fillId="0" borderId="0" xfId="0" applyFont="1" applyAlignment="1">
      <alignment vertical="top"/>
    </xf>
    <xf numFmtId="0" fontId="36" fillId="4" borderId="1" xfId="0" applyFont="1" applyFill="1" applyBorder="1" applyAlignment="1" applyProtection="1">
      <alignment vertical="top"/>
      <protection locked="0"/>
    </xf>
    <xf numFmtId="0" fontId="3" fillId="13" borderId="1" xfId="0" applyFont="1" applyFill="1" applyBorder="1" applyAlignment="1">
      <alignment vertical="top"/>
    </xf>
    <xf numFmtId="0" fontId="36" fillId="0" borderId="1" xfId="0" applyFont="1" applyBorder="1" applyAlignment="1" applyProtection="1">
      <alignment vertical="top"/>
      <protection locked="0"/>
    </xf>
    <xf numFmtId="0" fontId="35" fillId="0" borderId="1" xfId="0" applyFont="1" applyBorder="1" applyAlignment="1" applyProtection="1">
      <alignment vertical="top"/>
      <protection locked="0"/>
    </xf>
    <xf numFmtId="0" fontId="34" fillId="13" borderId="1" xfId="0" applyFont="1" applyFill="1" applyBorder="1" applyAlignment="1">
      <alignment vertical="top" wrapText="1"/>
    </xf>
    <xf numFmtId="0" fontId="34" fillId="0" borderId="1" xfId="0" applyFont="1" applyBorder="1" applyAlignment="1">
      <alignment vertical="top" wrapText="1"/>
    </xf>
    <xf numFmtId="0" fontId="0" fillId="0" borderId="1" xfId="0" applyBorder="1" applyAlignment="1">
      <alignment vertical="top" wrapText="1"/>
    </xf>
    <xf numFmtId="0" fontId="42" fillId="0" borderId="0" xfId="0" applyFont="1" applyAlignment="1">
      <alignment vertical="top"/>
    </xf>
    <xf numFmtId="0" fontId="41" fillId="22" borderId="1" xfId="0" applyFont="1" applyFill="1" applyBorder="1" applyAlignment="1">
      <alignment vertical="top"/>
    </xf>
    <xf numFmtId="0" fontId="44" fillId="22" borderId="0" xfId="0" applyFont="1" applyFill="1" applyAlignment="1">
      <alignment vertical="top"/>
    </xf>
    <xf numFmtId="0" fontId="74" fillId="0" borderId="0" xfId="0" applyFont="1"/>
    <xf numFmtId="0" fontId="3" fillId="0" borderId="0" xfId="0" applyFont="1" applyAlignment="1">
      <alignment vertical="top" wrapText="1"/>
    </xf>
    <xf numFmtId="0" fontId="3" fillId="0" borderId="1" xfId="0" applyFont="1" applyBorder="1" applyAlignment="1">
      <alignment vertical="top" wrapText="1"/>
    </xf>
    <xf numFmtId="0" fontId="20" fillId="24" borderId="0" xfId="0" applyFont="1" applyFill="1"/>
    <xf numFmtId="2" fontId="17" fillId="24" borderId="1" xfId="0" applyNumberFormat="1" applyFont="1" applyFill="1" applyBorder="1"/>
    <xf numFmtId="0" fontId="30" fillId="25" borderId="1" xfId="0" applyFont="1" applyFill="1" applyBorder="1" applyAlignment="1">
      <alignment horizontal="center" vertical="top"/>
    </xf>
    <xf numFmtId="0" fontId="30" fillId="25" borderId="1" xfId="0" applyFont="1" applyFill="1" applyBorder="1" applyAlignment="1">
      <alignment horizontal="center"/>
    </xf>
    <xf numFmtId="0" fontId="30" fillId="25" borderId="1" xfId="0" applyFont="1" applyFill="1" applyBorder="1"/>
    <xf numFmtId="0" fontId="30" fillId="25" borderId="1" xfId="0" applyFont="1" applyFill="1" applyBorder="1" applyAlignment="1">
      <alignment horizontal="center" vertical="top" wrapText="1"/>
    </xf>
    <xf numFmtId="0" fontId="22" fillId="8" borderId="8" xfId="0" applyFont="1" applyFill="1" applyBorder="1" applyAlignment="1">
      <alignment horizontal="center" vertical="top"/>
    </xf>
    <xf numFmtId="4" fontId="39" fillId="0" borderId="0" xfId="0" applyNumberFormat="1" applyFont="1"/>
    <xf numFmtId="0" fontId="40" fillId="0" borderId="0" xfId="0" quotePrefix="1" applyFont="1" applyAlignment="1">
      <alignment horizontal="center"/>
    </xf>
    <xf numFmtId="4" fontId="17" fillId="0" borderId="0" xfId="0" applyNumberFormat="1" applyFont="1"/>
    <xf numFmtId="4" fontId="17" fillId="15" borderId="1" xfId="0" applyNumberFormat="1" applyFont="1" applyFill="1" applyBorder="1"/>
    <xf numFmtId="4" fontId="3" fillId="8" borderId="1" xfId="0" applyNumberFormat="1" applyFont="1" applyFill="1" applyBorder="1" applyAlignment="1" applyProtection="1">
      <alignment vertical="top"/>
      <protection locked="0"/>
    </xf>
    <xf numFmtId="173" fontId="3" fillId="0" borderId="1" xfId="0" applyNumberFormat="1" applyFont="1" applyBorder="1" applyAlignment="1">
      <alignment vertical="top"/>
    </xf>
    <xf numFmtId="173" fontId="3" fillId="13" borderId="1" xfId="0" applyNumberFormat="1" applyFont="1" applyFill="1" applyBorder="1" applyAlignment="1">
      <alignment vertical="top"/>
    </xf>
    <xf numFmtId="4" fontId="3" fillId="13" borderId="1" xfId="0" applyNumberFormat="1" applyFont="1" applyFill="1" applyBorder="1" applyAlignment="1">
      <alignment vertical="top"/>
    </xf>
    <xf numFmtId="0" fontId="0" fillId="0" borderId="6" xfId="0" quotePrefix="1" applyBorder="1"/>
    <xf numFmtId="0" fontId="3" fillId="0" borderId="5" xfId="0" applyFont="1" applyBorder="1" applyAlignment="1">
      <alignment vertical="top"/>
    </xf>
    <xf numFmtId="0" fontId="3" fillId="0" borderId="0" xfId="0" quotePrefix="1" applyFont="1" applyAlignment="1">
      <alignment vertical="top"/>
    </xf>
    <xf numFmtId="164" fontId="3" fillId="0" borderId="1" xfId="0" applyNumberFormat="1" applyFont="1" applyBorder="1" applyAlignment="1">
      <alignment vertical="top"/>
    </xf>
    <xf numFmtId="165" fontId="3" fillId="0" borderId="1" xfId="0" applyNumberFormat="1" applyFont="1" applyBorder="1" applyAlignment="1" applyProtection="1">
      <alignment vertical="top"/>
      <protection locked="0"/>
    </xf>
    <xf numFmtId="0" fontId="3" fillId="0" borderId="1" xfId="0" applyFont="1" applyBorder="1" applyAlignment="1">
      <alignment horizontal="center" vertical="top"/>
    </xf>
    <xf numFmtId="10" fontId="3" fillId="0" borderId="1" xfId="0" applyNumberFormat="1" applyFont="1" applyBorder="1" applyAlignment="1">
      <alignment vertical="top"/>
    </xf>
    <xf numFmtId="4" fontId="3" fillId="24" borderId="1" xfId="0" applyNumberFormat="1" applyFont="1" applyFill="1" applyBorder="1" applyAlignment="1">
      <alignment vertical="top"/>
    </xf>
    <xf numFmtId="0" fontId="73" fillId="3" borderId="1" xfId="0" applyFont="1" applyFill="1" applyBorder="1" applyAlignment="1">
      <alignment horizontal="center" vertical="top" wrapText="1"/>
    </xf>
    <xf numFmtId="3" fontId="3" fillId="8" borderId="1" xfId="0" applyNumberFormat="1" applyFont="1" applyFill="1" applyBorder="1" applyAlignment="1" applyProtection="1">
      <alignment vertical="top"/>
      <protection locked="0"/>
    </xf>
    <xf numFmtId="165" fontId="3" fillId="8" borderId="1" xfId="0" applyNumberFormat="1" applyFont="1" applyFill="1" applyBorder="1" applyAlignment="1" applyProtection="1">
      <alignment vertical="top"/>
      <protection locked="0"/>
    </xf>
    <xf numFmtId="10" fontId="3" fillId="8" borderId="1" xfId="0" applyNumberFormat="1" applyFont="1" applyFill="1" applyBorder="1" applyAlignment="1" applyProtection="1">
      <alignment vertical="top"/>
      <protection locked="0"/>
    </xf>
    <xf numFmtId="0" fontId="3" fillId="0" borderId="4" xfId="0" applyFont="1" applyBorder="1" applyAlignment="1">
      <alignment vertical="top"/>
    </xf>
    <xf numFmtId="0" fontId="3" fillId="13" borderId="4" xfId="0" applyFont="1" applyFill="1" applyBorder="1" applyAlignment="1">
      <alignment vertical="top"/>
    </xf>
    <xf numFmtId="0" fontId="3" fillId="13" borderId="5" xfId="0" applyFont="1" applyFill="1" applyBorder="1" applyAlignment="1">
      <alignment vertical="top"/>
    </xf>
    <xf numFmtId="165" fontId="3" fillId="8" borderId="1" xfId="0" applyNumberFormat="1" applyFont="1" applyFill="1" applyBorder="1" applyAlignment="1" applyProtection="1">
      <alignment vertical="top" wrapText="1"/>
      <protection locked="0"/>
    </xf>
    <xf numFmtId="0" fontId="3" fillId="24" borderId="0" xfId="0" applyFont="1" applyFill="1" applyAlignment="1">
      <alignment vertical="top"/>
    </xf>
    <xf numFmtId="4" fontId="17" fillId="15" borderId="1" xfId="0" quotePrefix="1" applyNumberFormat="1" applyFont="1" applyFill="1" applyBorder="1" applyAlignment="1">
      <alignment horizontal="center" vertical="top"/>
    </xf>
    <xf numFmtId="0" fontId="17" fillId="15" borderId="1" xfId="0" applyFont="1" applyFill="1" applyBorder="1"/>
    <xf numFmtId="0" fontId="17" fillId="15" borderId="1" xfId="0" quotePrefix="1" applyFont="1" applyFill="1" applyBorder="1" applyAlignment="1">
      <alignment horizontal="center" vertical="top"/>
    </xf>
    <xf numFmtId="44" fontId="40" fillId="0" borderId="1" xfId="2" applyFont="1" applyFill="1" applyBorder="1" applyAlignment="1">
      <alignment horizontal="left" vertical="center"/>
    </xf>
    <xf numFmtId="4" fontId="40" fillId="0" borderId="1" xfId="2" applyNumberFormat="1" applyFont="1" applyFill="1" applyBorder="1" applyAlignment="1">
      <alignment horizontal="right" vertical="center"/>
    </xf>
    <xf numFmtId="4" fontId="40" fillId="15" borderId="1" xfId="2" applyNumberFormat="1" applyFont="1" applyFill="1" applyBorder="1" applyAlignment="1">
      <alignment horizontal="right" vertical="center"/>
    </xf>
    <xf numFmtId="165" fontId="17" fillId="15" borderId="1" xfId="0" applyNumberFormat="1" applyFont="1" applyFill="1" applyBorder="1"/>
    <xf numFmtId="168" fontId="17" fillId="15" borderId="1" xfId="0" applyNumberFormat="1" applyFont="1" applyFill="1" applyBorder="1"/>
    <xf numFmtId="168" fontId="17" fillId="0" borderId="1" xfId="0" applyNumberFormat="1" applyFont="1" applyBorder="1"/>
    <xf numFmtId="0" fontId="3" fillId="0" borderId="1" xfId="0" quotePrefix="1" applyFont="1" applyBorder="1" applyAlignment="1">
      <alignment horizontal="center" vertical="top"/>
    </xf>
    <xf numFmtId="0" fontId="80" fillId="0" borderId="15" xfId="0" applyFont="1" applyBorder="1" applyAlignment="1">
      <alignment horizontal="right" vertical="top"/>
    </xf>
    <xf numFmtId="173" fontId="3" fillId="0" borderId="0" xfId="0" applyNumberFormat="1" applyFont="1" applyAlignment="1">
      <alignment vertical="top"/>
    </xf>
    <xf numFmtId="0" fontId="38" fillId="0" borderId="0" xfId="0" applyFont="1" applyAlignment="1">
      <alignment vertical="top"/>
    </xf>
    <xf numFmtId="0" fontId="3" fillId="0" borderId="0" xfId="0" applyFont="1" applyProtection="1">
      <protection locked="0"/>
    </xf>
    <xf numFmtId="0" fontId="3" fillId="0" borderId="14" xfId="0" applyFont="1" applyBorder="1" applyAlignment="1">
      <alignment horizontal="justify" vertical="center"/>
    </xf>
    <xf numFmtId="0" fontId="3" fillId="0" borderId="0" xfId="0" applyFont="1" applyAlignment="1">
      <alignment horizontal="justify" vertical="center"/>
    </xf>
    <xf numFmtId="0" fontId="3" fillId="0" borderId="15" xfId="0" applyFont="1" applyBorder="1"/>
    <xf numFmtId="0" fontId="3" fillId="0" borderId="0" xfId="0" applyFont="1" applyAlignment="1">
      <alignment vertical="center" wrapText="1"/>
    </xf>
    <xf numFmtId="0" fontId="3" fillId="0" borderId="15" xfId="0" applyFont="1" applyBorder="1" applyAlignment="1">
      <alignment vertical="center" wrapText="1"/>
    </xf>
    <xf numFmtId="0" fontId="71" fillId="0" borderId="0" xfId="0" applyFont="1" applyAlignment="1">
      <alignment horizontal="left" vertical="center"/>
    </xf>
    <xf numFmtId="0" fontId="81" fillId="0" borderId="14" xfId="0" applyFont="1" applyBorder="1" applyAlignment="1">
      <alignment horizontal="left" vertical="top" wrapText="1"/>
    </xf>
    <xf numFmtId="0" fontId="82" fillId="0" borderId="14" xfId="0" applyFont="1" applyBorder="1" applyAlignment="1">
      <alignment horizontal="left" vertical="top" wrapText="1"/>
    </xf>
    <xf numFmtId="0" fontId="18" fillId="0" borderId="0" xfId="0" applyFont="1" applyProtection="1">
      <protection locked="0"/>
    </xf>
    <xf numFmtId="2" fontId="18" fillId="0" borderId="0" xfId="0" applyNumberFormat="1" applyFont="1"/>
    <xf numFmtId="2" fontId="18" fillId="0" borderId="0" xfId="0" applyNumberFormat="1" applyFont="1" applyProtection="1">
      <protection locked="0"/>
    </xf>
    <xf numFmtId="0" fontId="85" fillId="0" borderId="14" xfId="3" applyFont="1" applyBorder="1"/>
    <xf numFmtId="0" fontId="86" fillId="0" borderId="14" xfId="3" applyFont="1" applyBorder="1"/>
    <xf numFmtId="0" fontId="87" fillId="0" borderId="14" xfId="3" applyFont="1" applyBorder="1"/>
    <xf numFmtId="0" fontId="87" fillId="0" borderId="14" xfId="3" applyFont="1" applyBorder="1" applyAlignment="1">
      <alignment vertical="center"/>
    </xf>
    <xf numFmtId="0" fontId="88" fillId="0" borderId="14" xfId="3" applyFont="1" applyBorder="1"/>
    <xf numFmtId="0" fontId="89" fillId="0" borderId="14" xfId="3" applyFont="1" applyBorder="1"/>
    <xf numFmtId="0" fontId="3" fillId="12" borderId="16" xfId="0" applyFont="1" applyFill="1" applyBorder="1" applyAlignment="1">
      <alignment vertical="top"/>
    </xf>
    <xf numFmtId="0" fontId="3" fillId="12" borderId="16" xfId="0" quotePrefix="1" applyFont="1" applyFill="1" applyBorder="1" applyAlignment="1">
      <alignment horizontal="center" vertical="top"/>
    </xf>
    <xf numFmtId="0" fontId="3" fillId="12" borderId="13" xfId="0" applyFont="1" applyFill="1" applyBorder="1" applyAlignment="1">
      <alignment vertical="top"/>
    </xf>
    <xf numFmtId="0" fontId="3" fillId="12" borderId="25" xfId="0" applyFont="1" applyFill="1" applyBorder="1" applyAlignment="1">
      <alignment vertical="top"/>
    </xf>
    <xf numFmtId="0" fontId="3" fillId="12" borderId="17" xfId="0" applyFont="1" applyFill="1" applyBorder="1" applyAlignment="1">
      <alignment vertical="top"/>
    </xf>
    <xf numFmtId="0" fontId="3" fillId="0" borderId="21" xfId="0" applyFont="1" applyBorder="1" applyAlignment="1">
      <alignment vertical="top"/>
    </xf>
    <xf numFmtId="0" fontId="3" fillId="12" borderId="15" xfId="0" applyFont="1" applyFill="1" applyBorder="1" applyAlignment="1">
      <alignment vertical="top"/>
    </xf>
    <xf numFmtId="0" fontId="3" fillId="12" borderId="21" xfId="0" applyFont="1" applyFill="1" applyBorder="1" applyAlignment="1">
      <alignment horizontal="left" vertical="top" wrapText="1"/>
    </xf>
    <xf numFmtId="0" fontId="3" fillId="0" borderId="21" xfId="0" applyFont="1" applyBorder="1" applyAlignment="1">
      <alignment horizontal="left" vertical="top" wrapText="1"/>
    </xf>
    <xf numFmtId="0" fontId="3" fillId="12" borderId="27" xfId="0" applyFont="1" applyFill="1" applyBorder="1" applyAlignment="1">
      <alignment vertical="top"/>
    </xf>
    <xf numFmtId="0" fontId="3" fillId="12" borderId="21" xfId="0" applyFont="1" applyFill="1" applyBorder="1" applyAlignment="1">
      <alignment vertical="top"/>
    </xf>
    <xf numFmtId="0" fontId="24" fillId="0" borderId="21" xfId="3" applyFont="1" applyBorder="1" applyAlignment="1">
      <alignment wrapText="1"/>
    </xf>
    <xf numFmtId="0" fontId="24" fillId="0" borderId="0" xfId="3" applyFont="1"/>
    <xf numFmtId="0" fontId="24" fillId="12" borderId="21" xfId="3" applyFont="1" applyFill="1" applyBorder="1" applyAlignment="1">
      <alignment wrapText="1"/>
    </xf>
    <xf numFmtId="0" fontId="3" fillId="11" borderId="1" xfId="0" applyFont="1" applyFill="1" applyBorder="1" applyAlignment="1">
      <alignment vertical="top"/>
    </xf>
    <xf numFmtId="0" fontId="3" fillId="0" borderId="0" xfId="0" applyFont="1" applyAlignment="1" applyProtection="1">
      <alignment vertical="top"/>
      <protection locked="0"/>
    </xf>
    <xf numFmtId="0" fontId="3" fillId="4" borderId="1" xfId="0" applyFont="1" applyFill="1" applyBorder="1" applyAlignment="1">
      <alignment vertical="top"/>
    </xf>
    <xf numFmtId="0" fontId="3" fillId="4" borderId="1" xfId="0" applyFont="1" applyFill="1" applyBorder="1" applyAlignment="1" applyProtection="1">
      <alignment vertical="top"/>
      <protection locked="0"/>
    </xf>
    <xf numFmtId="0" fontId="3" fillId="0" borderId="4" xfId="0" applyFont="1" applyBorder="1" applyAlignment="1" applyProtection="1">
      <alignment vertical="top"/>
      <protection locked="0"/>
    </xf>
    <xf numFmtId="2" fontId="3" fillId="4" borderId="1" xfId="0" applyNumberFormat="1" applyFont="1" applyFill="1" applyBorder="1" applyAlignment="1" applyProtection="1">
      <alignment vertical="top"/>
      <protection locked="0"/>
    </xf>
    <xf numFmtId="2" fontId="3" fillId="0" borderId="4" xfId="0" applyNumberFormat="1" applyFont="1" applyBorder="1" applyAlignment="1" applyProtection="1">
      <alignment vertical="top"/>
      <protection locked="0"/>
    </xf>
    <xf numFmtId="0" fontId="3" fillId="4" borderId="4" xfId="0" applyFont="1" applyFill="1" applyBorder="1" applyAlignment="1">
      <alignment vertical="top"/>
    </xf>
    <xf numFmtId="0" fontId="3" fillId="13" borderId="1" xfId="0" quotePrefix="1" applyFont="1" applyFill="1" applyBorder="1" applyAlignment="1">
      <alignment horizontal="left" vertical="top"/>
    </xf>
    <xf numFmtId="0" fontId="3" fillId="0" borderId="1" xfId="0" quotePrefix="1" applyFont="1" applyBorder="1" applyAlignment="1">
      <alignment horizontal="left" vertical="top"/>
    </xf>
    <xf numFmtId="0" fontId="3" fillId="4" borderId="0" xfId="0" applyFont="1" applyFill="1" applyAlignment="1">
      <alignment vertical="top"/>
    </xf>
    <xf numFmtId="0" fontId="3" fillId="0" borderId="0" xfId="0" quotePrefix="1" applyFont="1" applyAlignment="1">
      <alignment horizontal="center" vertical="top"/>
    </xf>
    <xf numFmtId="173" fontId="3" fillId="8" borderId="1" xfId="0" quotePrefix="1" applyNumberFormat="1" applyFont="1" applyFill="1" applyBorder="1" applyAlignment="1" applyProtection="1">
      <alignment horizontal="center" vertical="top"/>
      <protection locked="0"/>
    </xf>
    <xf numFmtId="0" fontId="3" fillId="0" borderId="8" xfId="0" applyFont="1" applyBorder="1" applyAlignment="1" applyProtection="1">
      <alignment vertical="top"/>
      <protection locked="0"/>
    </xf>
    <xf numFmtId="0" fontId="3" fillId="8" borderId="1" xfId="0" applyFont="1" applyFill="1" applyBorder="1" applyAlignment="1" applyProtection="1">
      <alignment horizontal="center" vertical="top"/>
      <protection locked="0"/>
    </xf>
    <xf numFmtId="0" fontId="3" fillId="13" borderId="1" xfId="0" applyFont="1" applyFill="1" applyBorder="1" applyAlignment="1">
      <alignment horizontal="center" vertical="top"/>
    </xf>
    <xf numFmtId="10" fontId="3" fillId="13" borderId="1" xfId="0" applyNumberFormat="1" applyFont="1" applyFill="1" applyBorder="1" applyAlignment="1" applyProtection="1">
      <alignment vertical="top"/>
      <protection locked="0"/>
    </xf>
    <xf numFmtId="10" fontId="3" fillId="13" borderId="1" xfId="0" applyNumberFormat="1" applyFont="1" applyFill="1" applyBorder="1" applyAlignment="1">
      <alignment vertical="top"/>
    </xf>
    <xf numFmtId="10" fontId="3" fillId="0" borderId="1" xfId="0" applyNumberFormat="1" applyFont="1" applyBorder="1" applyAlignment="1" applyProtection="1">
      <alignment vertical="top"/>
      <protection locked="0"/>
    </xf>
    <xf numFmtId="10" fontId="3" fillId="8" borderId="1" xfId="0" applyNumberFormat="1" applyFont="1" applyFill="1" applyBorder="1" applyAlignment="1" applyProtection="1">
      <alignment horizontal="center" vertical="top"/>
      <protection locked="0"/>
    </xf>
    <xf numFmtId="3" fontId="3" fillId="8" borderId="1" xfId="0" applyNumberFormat="1" applyFont="1" applyFill="1" applyBorder="1" applyAlignment="1" applyProtection="1">
      <alignment horizontal="center" vertical="center"/>
      <protection locked="0"/>
    </xf>
    <xf numFmtId="0" fontId="30" fillId="3" borderId="3" xfId="0" applyFont="1" applyFill="1" applyBorder="1" applyAlignment="1">
      <alignment horizontal="center" vertical="top"/>
    </xf>
    <xf numFmtId="0" fontId="17" fillId="5" borderId="2" xfId="0" applyFont="1" applyFill="1" applyBorder="1" applyAlignment="1">
      <alignment horizontal="center" vertical="top" wrapText="1"/>
    </xf>
    <xf numFmtId="0" fontId="17" fillId="5" borderId="1" xfId="0" applyFont="1" applyFill="1" applyBorder="1" applyAlignment="1">
      <alignment horizontal="center" vertical="top" wrapText="1"/>
    </xf>
    <xf numFmtId="0" fontId="3" fillId="0" borderId="1" xfId="0" applyFont="1" applyBorder="1" applyAlignment="1" applyProtection="1">
      <alignment vertical="top"/>
      <protection locked="0"/>
    </xf>
    <xf numFmtId="0" fontId="40" fillId="0" borderId="1" xfId="0" applyFont="1" applyBorder="1" applyAlignment="1" applyProtection="1">
      <alignment vertical="top"/>
      <protection locked="0"/>
    </xf>
    <xf numFmtId="3" fontId="40" fillId="8" borderId="1" xfId="0" applyNumberFormat="1" applyFont="1" applyFill="1" applyBorder="1" applyAlignment="1" applyProtection="1">
      <alignment horizontal="center" vertical="center"/>
      <protection locked="0"/>
    </xf>
    <xf numFmtId="165" fontId="40" fillId="8" borderId="1" xfId="0" applyNumberFormat="1" applyFont="1" applyFill="1" applyBorder="1" applyAlignment="1" applyProtection="1">
      <alignment vertical="top"/>
      <protection locked="0"/>
    </xf>
    <xf numFmtId="3" fontId="40" fillId="8" borderId="1" xfId="0" applyNumberFormat="1" applyFont="1" applyFill="1" applyBorder="1" applyAlignment="1" applyProtection="1">
      <alignment horizontal="center" vertical="top"/>
      <protection locked="0"/>
    </xf>
    <xf numFmtId="0" fontId="41" fillId="5" borderId="6" xfId="0" applyFont="1" applyFill="1" applyBorder="1" applyAlignment="1">
      <alignment horizontal="center" vertical="top"/>
    </xf>
    <xf numFmtId="0" fontId="17" fillId="5" borderId="6" xfId="0" applyFont="1" applyFill="1" applyBorder="1" applyAlignment="1">
      <alignment horizontal="center" vertical="top" wrapText="1"/>
    </xf>
    <xf numFmtId="0" fontId="41" fillId="5" borderId="3" xfId="0" applyFont="1" applyFill="1" applyBorder="1" applyAlignment="1">
      <alignment horizontal="center" vertical="top"/>
    </xf>
    <xf numFmtId="0" fontId="17" fillId="5" borderId="3" xfId="0" applyFont="1" applyFill="1" applyBorder="1" applyAlignment="1">
      <alignment vertical="top" wrapText="1"/>
    </xf>
    <xf numFmtId="0" fontId="17" fillId="5" borderId="3" xfId="0" applyFont="1" applyFill="1" applyBorder="1" applyAlignment="1">
      <alignment horizontal="center" vertical="top" wrapText="1"/>
    </xf>
    <xf numFmtId="4" fontId="3" fillId="13" borderId="1" xfId="0" quotePrefix="1" applyNumberFormat="1" applyFont="1" applyFill="1" applyBorder="1" applyAlignment="1">
      <alignment vertical="top"/>
    </xf>
    <xf numFmtId="4" fontId="3" fillId="0" borderId="1" xfId="0" quotePrefix="1" applyNumberFormat="1" applyFont="1" applyBorder="1" applyAlignment="1">
      <alignment vertical="top"/>
    </xf>
    <xf numFmtId="167" fontId="3" fillId="0" borderId="1" xfId="0" applyNumberFormat="1" applyFont="1" applyBorder="1" applyAlignment="1">
      <alignment vertical="top"/>
    </xf>
    <xf numFmtId="173" fontId="3" fillId="0" borderId="1" xfId="0" applyNumberFormat="1" applyFont="1" applyBorder="1"/>
    <xf numFmtId="49" fontId="3" fillId="0" borderId="0" xfId="0" applyNumberFormat="1" applyFont="1" applyAlignment="1">
      <alignment vertical="top"/>
    </xf>
    <xf numFmtId="173" fontId="3" fillId="0" borderId="0" xfId="0" applyNumberFormat="1" applyFont="1"/>
    <xf numFmtId="164" fontId="3" fillId="0" borderId="0" xfId="0" applyNumberFormat="1" applyFont="1" applyAlignment="1">
      <alignment vertical="top"/>
    </xf>
    <xf numFmtId="167" fontId="3" fillId="0" borderId="0" xfId="0" applyNumberFormat="1" applyFont="1" applyAlignment="1">
      <alignment vertical="top"/>
    </xf>
    <xf numFmtId="176" fontId="3" fillId="0" borderId="0" xfId="0" applyNumberFormat="1" applyFont="1" applyAlignment="1">
      <alignment vertical="top"/>
    </xf>
    <xf numFmtId="0" fontId="20" fillId="0" borderId="0" xfId="0" applyFont="1" applyAlignment="1">
      <alignment horizontal="left"/>
    </xf>
    <xf numFmtId="0" fontId="3" fillId="0" borderId="0" xfId="0" applyFont="1" applyAlignment="1">
      <alignment horizontal="center" vertical="top" wrapText="1"/>
    </xf>
    <xf numFmtId="0" fontId="30" fillId="3" borderId="1" xfId="0" quotePrefix="1" applyFont="1" applyFill="1" applyBorder="1" applyAlignment="1">
      <alignment horizontal="center" vertical="top"/>
    </xf>
    <xf numFmtId="0" fontId="30" fillId="3" borderId="1" xfId="0" quotePrefix="1" applyFont="1" applyFill="1" applyBorder="1" applyAlignment="1">
      <alignment horizontal="center" vertical="top" wrapText="1"/>
    </xf>
    <xf numFmtId="0" fontId="17" fillId="5" borderId="5" xfId="0" applyFont="1" applyFill="1" applyBorder="1" applyAlignment="1">
      <alignment horizontal="center" vertical="top" wrapText="1"/>
    </xf>
    <xf numFmtId="0" fontId="41" fillId="8" borderId="1" xfId="0" quotePrefix="1" applyFont="1" applyFill="1" applyBorder="1" applyAlignment="1">
      <alignment horizontal="center" vertical="top"/>
    </xf>
    <xf numFmtId="0" fontId="73" fillId="3" borderId="1" xfId="0" applyFont="1" applyFill="1" applyBorder="1" applyAlignment="1">
      <alignment horizontal="center" vertical="top"/>
    </xf>
    <xf numFmtId="165" fontId="3" fillId="0" borderId="1" xfId="0" applyNumberFormat="1" applyFont="1" applyBorder="1" applyAlignment="1">
      <alignment vertical="top"/>
    </xf>
    <xf numFmtId="165" fontId="3" fillId="13" borderId="1" xfId="0" applyNumberFormat="1" applyFont="1" applyFill="1" applyBorder="1" applyAlignment="1">
      <alignment vertical="top"/>
    </xf>
    <xf numFmtId="165" fontId="3" fillId="0" borderId="1" xfId="0" applyNumberFormat="1" applyFont="1" applyBorder="1" applyAlignment="1">
      <alignment horizontal="center" vertical="top"/>
    </xf>
    <xf numFmtId="171" fontId="3" fillId="0" borderId="1" xfId="0" applyNumberFormat="1" applyFont="1" applyBorder="1" applyAlignment="1">
      <alignment horizontal="center" vertical="top"/>
    </xf>
    <xf numFmtId="10" fontId="3" fillId="23" borderId="1" xfId="0" applyNumberFormat="1" applyFont="1" applyFill="1" applyBorder="1" applyAlignment="1">
      <alignment vertical="top"/>
    </xf>
    <xf numFmtId="165" fontId="3" fillId="0" borderId="0" xfId="0" applyNumberFormat="1" applyFont="1" applyAlignment="1">
      <alignment vertical="top"/>
    </xf>
    <xf numFmtId="0" fontId="41" fillId="8" borderId="2" xfId="0" quotePrefix="1" applyFont="1" applyFill="1" applyBorder="1" applyAlignment="1">
      <alignment horizontal="center" vertical="top"/>
    </xf>
    <xf numFmtId="0" fontId="17" fillId="5" borderId="1" xfId="0" applyFont="1" applyFill="1" applyBorder="1" applyAlignment="1">
      <alignment horizontal="center" vertical="top"/>
    </xf>
    <xf numFmtId="0" fontId="73" fillId="3" borderId="3" xfId="0" applyFont="1" applyFill="1" applyBorder="1" applyAlignment="1">
      <alignment horizontal="center" vertical="top" wrapText="1"/>
    </xf>
    <xf numFmtId="0" fontId="30" fillId="3" borderId="2" xfId="0" quotePrefix="1" applyFont="1" applyFill="1" applyBorder="1" applyAlignment="1">
      <alignment horizontal="center" vertical="top"/>
    </xf>
    <xf numFmtId="0" fontId="73" fillId="3" borderId="8" xfId="0" applyFont="1" applyFill="1" applyBorder="1" applyAlignment="1">
      <alignment horizontal="center" vertical="top"/>
    </xf>
    <xf numFmtId="0" fontId="17" fillId="5" borderId="1" xfId="0" applyFont="1" applyFill="1" applyBorder="1" applyAlignment="1">
      <alignment vertical="top"/>
    </xf>
    <xf numFmtId="0" fontId="41" fillId="8" borderId="3" xfId="0" applyFont="1" applyFill="1" applyBorder="1" applyAlignment="1">
      <alignment horizontal="center" vertical="top"/>
    </xf>
    <xf numFmtId="0" fontId="73" fillId="3" borderId="3" xfId="0" applyFont="1" applyFill="1" applyBorder="1" applyAlignment="1">
      <alignment horizontal="center" vertical="top"/>
    </xf>
    <xf numFmtId="165" fontId="3" fillId="13" borderId="5" xfId="0" applyNumberFormat="1" applyFont="1" applyFill="1" applyBorder="1" applyAlignment="1">
      <alignment vertical="top"/>
    </xf>
    <xf numFmtId="165" fontId="3" fillId="24" borderId="1" xfId="0" applyNumberFormat="1" applyFont="1" applyFill="1" applyBorder="1" applyAlignment="1">
      <alignment vertical="top"/>
    </xf>
    <xf numFmtId="169" fontId="3" fillId="0" borderId="1" xfId="0" applyNumberFormat="1" applyFont="1" applyBorder="1" applyAlignment="1">
      <alignment horizontal="center" vertical="top"/>
    </xf>
    <xf numFmtId="174" fontId="3" fillId="0" borderId="1" xfId="0" applyNumberFormat="1" applyFont="1" applyBorder="1" applyAlignment="1">
      <alignment horizontal="center" vertical="top"/>
    </xf>
    <xf numFmtId="0" fontId="3" fillId="23" borderId="1" xfId="0" applyFont="1" applyFill="1" applyBorder="1" applyAlignment="1">
      <alignment vertical="top"/>
    </xf>
    <xf numFmtId="0" fontId="41" fillId="5" borderId="1" xfId="0" applyFont="1" applyFill="1" applyBorder="1" applyAlignment="1">
      <alignment horizontal="center" vertical="top" wrapText="1"/>
    </xf>
    <xf numFmtId="0" fontId="73" fillId="3" borderId="2" xfId="0" quotePrefix="1" applyFont="1" applyFill="1" applyBorder="1" applyAlignment="1">
      <alignment horizontal="center" vertical="top" wrapText="1"/>
    </xf>
    <xf numFmtId="0" fontId="73" fillId="3" borderId="11" xfId="0" quotePrefix="1" applyFont="1" applyFill="1" applyBorder="1" applyAlignment="1">
      <alignment horizontal="center" vertical="top" wrapText="1"/>
    </xf>
    <xf numFmtId="0" fontId="3" fillId="8" borderId="1" xfId="0" applyFont="1" applyFill="1" applyBorder="1" applyAlignment="1" applyProtection="1">
      <alignment vertical="top" wrapText="1"/>
      <protection locked="0"/>
    </xf>
    <xf numFmtId="0" fontId="3" fillId="0" borderId="1" xfId="0" applyFont="1" applyBorder="1" applyAlignment="1" applyProtection="1">
      <alignment vertical="top" wrapText="1"/>
      <protection locked="0"/>
    </xf>
    <xf numFmtId="4" fontId="3" fillId="8" borderId="1" xfId="0" applyNumberFormat="1" applyFont="1" applyFill="1" applyBorder="1" applyAlignment="1" applyProtection="1">
      <alignment vertical="top" wrapText="1"/>
      <protection locked="0"/>
    </xf>
    <xf numFmtId="0" fontId="3" fillId="8" borderId="1" xfId="0" applyFont="1" applyFill="1" applyBorder="1" applyAlignment="1" applyProtection="1">
      <alignment horizontal="center" vertical="top" wrapText="1"/>
      <protection locked="0"/>
    </xf>
    <xf numFmtId="10" fontId="3" fillId="8" borderId="1" xfId="0" applyNumberFormat="1" applyFont="1" applyFill="1" applyBorder="1" applyAlignment="1" applyProtection="1">
      <alignment vertical="top" wrapText="1"/>
      <protection locked="0"/>
    </xf>
    <xf numFmtId="0" fontId="3" fillId="13" borderId="1" xfId="0" applyFont="1" applyFill="1" applyBorder="1" applyAlignment="1">
      <alignment vertical="top" wrapText="1"/>
    </xf>
    <xf numFmtId="4" fontId="3" fillId="13" borderId="1" xfId="0" applyNumberFormat="1" applyFont="1" applyFill="1" applyBorder="1" applyAlignment="1">
      <alignment vertical="top" wrapText="1"/>
    </xf>
    <xf numFmtId="4" fontId="40" fillId="13" borderId="1" xfId="0" quotePrefix="1" applyNumberFormat="1" applyFont="1" applyFill="1" applyBorder="1" applyAlignment="1">
      <alignment vertical="top" wrapText="1"/>
    </xf>
    <xf numFmtId="4" fontId="3" fillId="0" borderId="1" xfId="0" applyNumberFormat="1" applyFont="1" applyBorder="1" applyAlignment="1">
      <alignment vertical="top" wrapText="1"/>
    </xf>
    <xf numFmtId="4" fontId="40" fillId="0" borderId="1" xfId="0" quotePrefix="1" applyNumberFormat="1" applyFont="1" applyBorder="1" applyAlignment="1">
      <alignment vertical="top" wrapText="1"/>
    </xf>
    <xf numFmtId="165" fontId="3" fillId="13" borderId="1" xfId="0" applyNumberFormat="1" applyFont="1" applyFill="1" applyBorder="1" applyAlignment="1">
      <alignment vertical="top" wrapText="1"/>
    </xf>
    <xf numFmtId="165" fontId="3" fillId="0" borderId="0" xfId="0" applyNumberFormat="1" applyFont="1" applyAlignment="1">
      <alignment vertical="top" wrapText="1"/>
    </xf>
    <xf numFmtId="0" fontId="39" fillId="5" borderId="2" xfId="0" applyFont="1" applyFill="1" applyBorder="1" applyAlignment="1">
      <alignment horizontal="center" vertical="top" wrapText="1"/>
    </xf>
    <xf numFmtId="0" fontId="39" fillId="5" borderId="3" xfId="0" applyFont="1" applyFill="1" applyBorder="1" applyAlignment="1">
      <alignment horizontal="center" vertical="top" wrapText="1"/>
    </xf>
    <xf numFmtId="173" fontId="3" fillId="13" borderId="1" xfId="0" applyNumberFormat="1" applyFont="1" applyFill="1" applyBorder="1" applyAlignment="1">
      <alignment vertical="top" wrapText="1"/>
    </xf>
    <xf numFmtId="176" fontId="3" fillId="13" borderId="1" xfId="0" applyNumberFormat="1" applyFont="1" applyFill="1" applyBorder="1" applyAlignment="1">
      <alignment vertical="top" wrapText="1"/>
    </xf>
    <xf numFmtId="0" fontId="3" fillId="24" borderId="1" xfId="0" applyFont="1" applyFill="1" applyBorder="1" applyAlignment="1">
      <alignment horizontal="center" vertical="top"/>
    </xf>
    <xf numFmtId="176" fontId="3" fillId="0" borderId="1" xfId="0" applyNumberFormat="1" applyFont="1" applyBorder="1" applyAlignment="1">
      <alignment vertical="top"/>
    </xf>
    <xf numFmtId="0" fontId="3" fillId="23" borderId="3" xfId="0" applyFont="1" applyFill="1" applyBorder="1" applyAlignment="1">
      <alignment vertical="top"/>
    </xf>
    <xf numFmtId="0" fontId="3" fillId="0" borderId="0" xfId="0" applyFont="1" applyAlignment="1">
      <alignment horizontal="right" vertical="top"/>
    </xf>
    <xf numFmtId="168" fontId="3" fillId="23" borderId="1" xfId="0" applyNumberFormat="1" applyFont="1" applyFill="1" applyBorder="1" applyAlignment="1">
      <alignment vertical="top"/>
    </xf>
    <xf numFmtId="0" fontId="73" fillId="18" borderId="1" xfId="0" applyFont="1" applyFill="1" applyBorder="1" applyAlignment="1">
      <alignment horizontal="center" vertical="top"/>
    </xf>
    <xf numFmtId="0" fontId="3" fillId="0" borderId="0" xfId="0" applyFont="1" applyAlignment="1">
      <alignment horizontal="center" vertical="top"/>
    </xf>
    <xf numFmtId="0" fontId="3" fillId="15" borderId="1" xfId="0" applyFont="1" applyFill="1" applyBorder="1"/>
    <xf numFmtId="4" fontId="3" fillId="0" borderId="1" xfId="0" quotePrefix="1" applyNumberFormat="1" applyFont="1" applyBorder="1" applyAlignment="1">
      <alignment horizontal="right" vertical="top"/>
    </xf>
    <xf numFmtId="4" fontId="3" fillId="15" borderId="1" xfId="0" quotePrefix="1" applyNumberFormat="1" applyFont="1" applyFill="1" applyBorder="1" applyAlignment="1">
      <alignment horizontal="right" vertical="top"/>
    </xf>
    <xf numFmtId="0" fontId="3" fillId="15" borderId="1" xfId="0" applyFont="1" applyFill="1" applyBorder="1" applyAlignment="1">
      <alignment horizontal="left" vertical="top" indent="2"/>
    </xf>
    <xf numFmtId="0" fontId="3" fillId="0" borderId="1" xfId="0" applyFont="1" applyBorder="1" applyAlignment="1">
      <alignment horizontal="left" vertical="top" indent="2"/>
    </xf>
    <xf numFmtId="4" fontId="3" fillId="15" borderId="1" xfId="0" applyNumberFormat="1" applyFont="1" applyFill="1" applyBorder="1" applyAlignment="1">
      <alignment vertical="top"/>
    </xf>
    <xf numFmtId="4" fontId="73" fillId="18" borderId="1" xfId="0" quotePrefix="1" applyNumberFormat="1" applyFont="1" applyFill="1" applyBorder="1" applyAlignment="1">
      <alignment horizontal="center" vertical="top"/>
    </xf>
    <xf numFmtId="4" fontId="3" fillId="15" borderId="1" xfId="0" applyNumberFormat="1" applyFont="1" applyFill="1" applyBorder="1"/>
    <xf numFmtId="4" fontId="3" fillId="0" borderId="1" xfId="0" applyNumberFormat="1" applyFont="1" applyBorder="1"/>
    <xf numFmtId="172" fontId="3" fillId="8" borderId="1" xfId="0" applyNumberFormat="1" applyFont="1" applyFill="1" applyBorder="1" applyAlignment="1" applyProtection="1">
      <alignment vertical="top"/>
      <protection locked="0"/>
    </xf>
    <xf numFmtId="165" fontId="3" fillId="15" borderId="1" xfId="0" applyNumberFormat="1" applyFont="1" applyFill="1" applyBorder="1" applyAlignment="1">
      <alignment horizontal="right" vertical="top"/>
    </xf>
    <xf numFmtId="165" fontId="3" fillId="15" borderId="1" xfId="0" applyNumberFormat="1" applyFont="1" applyFill="1" applyBorder="1" applyAlignment="1">
      <alignment vertical="top"/>
    </xf>
    <xf numFmtId="11" fontId="3" fillId="8" borderId="1" xfId="0" applyNumberFormat="1" applyFont="1" applyFill="1" applyBorder="1" applyAlignment="1" applyProtection="1">
      <alignment vertical="top"/>
      <protection locked="0"/>
    </xf>
    <xf numFmtId="165" fontId="3" fillId="0" borderId="1" xfId="0" applyNumberFormat="1" applyFont="1" applyBorder="1" applyAlignment="1">
      <alignment horizontal="right" vertical="top"/>
    </xf>
    <xf numFmtId="165" fontId="3" fillId="4" borderId="1" xfId="0" applyNumberFormat="1" applyFont="1" applyFill="1" applyBorder="1" applyAlignment="1">
      <alignment horizontal="right" vertical="top"/>
    </xf>
    <xf numFmtId="173" fontId="3" fillId="8" borderId="1" xfId="0" applyNumberFormat="1" applyFont="1" applyFill="1" applyBorder="1" applyAlignment="1" applyProtection="1">
      <alignment vertical="top"/>
      <protection locked="0"/>
    </xf>
    <xf numFmtId="0" fontId="3" fillId="8" borderId="2" xfId="0" applyFont="1" applyFill="1" applyBorder="1" applyAlignment="1" applyProtection="1">
      <alignment vertical="top"/>
      <protection locked="0"/>
    </xf>
    <xf numFmtId="169" fontId="3" fillId="8" borderId="1" xfId="0" applyNumberFormat="1" applyFont="1" applyFill="1" applyBorder="1" applyAlignment="1" applyProtection="1">
      <alignment vertical="top"/>
      <protection locked="0"/>
    </xf>
    <xf numFmtId="2" fontId="3" fillId="8" borderId="1" xfId="0" applyNumberFormat="1" applyFont="1" applyFill="1" applyBorder="1" applyAlignment="1" applyProtection="1">
      <alignment vertical="top"/>
      <protection locked="0"/>
    </xf>
    <xf numFmtId="10" fontId="3" fillId="15" borderId="1" xfId="0" applyNumberFormat="1" applyFont="1" applyFill="1" applyBorder="1" applyAlignment="1">
      <alignment vertical="top"/>
    </xf>
    <xf numFmtId="173" fontId="3" fillId="15" borderId="1" xfId="0" applyNumberFormat="1" applyFont="1" applyFill="1" applyBorder="1" applyAlignment="1">
      <alignment horizontal="center" vertical="top"/>
    </xf>
    <xf numFmtId="10" fontId="3" fillId="15" borderId="1" xfId="0" applyNumberFormat="1" applyFont="1" applyFill="1" applyBorder="1" applyAlignment="1">
      <alignment horizontal="center" vertical="top"/>
    </xf>
    <xf numFmtId="173" fontId="3" fillId="8" borderId="1" xfId="0" applyNumberFormat="1" applyFont="1" applyFill="1" applyBorder="1" applyAlignment="1" applyProtection="1">
      <alignment horizontal="center" vertical="top"/>
      <protection locked="0"/>
    </xf>
    <xf numFmtId="168" fontId="3" fillId="8" borderId="1" xfId="0" applyNumberFormat="1" applyFont="1" applyFill="1" applyBorder="1" applyAlignment="1" applyProtection="1">
      <alignment vertical="top"/>
      <protection locked="0"/>
    </xf>
    <xf numFmtId="173" fontId="3" fillId="0" borderId="1" xfId="0" applyNumberFormat="1" applyFont="1" applyBorder="1" applyAlignment="1">
      <alignment horizontal="center" vertical="top"/>
    </xf>
    <xf numFmtId="10" fontId="3" fillId="0" borderId="1" xfId="0" applyNumberFormat="1" applyFont="1" applyBorder="1" applyAlignment="1">
      <alignment horizontal="center" vertical="top"/>
    </xf>
    <xf numFmtId="10" fontId="3" fillId="0" borderId="0" xfId="0" applyNumberFormat="1" applyFont="1" applyAlignment="1">
      <alignment vertical="top"/>
    </xf>
    <xf numFmtId="168" fontId="3" fillId="0" borderId="0" xfId="0" applyNumberFormat="1" applyFont="1" applyAlignment="1">
      <alignment vertical="top"/>
    </xf>
    <xf numFmtId="0" fontId="3" fillId="15" borderId="1" xfId="0" applyFont="1" applyFill="1" applyBorder="1" applyAlignment="1">
      <alignment vertical="top" wrapText="1"/>
    </xf>
    <xf numFmtId="11" fontId="3" fillId="8" borderId="4" xfId="0" applyNumberFormat="1" applyFont="1" applyFill="1" applyBorder="1" applyAlignment="1" applyProtection="1">
      <alignment vertical="top"/>
      <protection locked="0"/>
    </xf>
    <xf numFmtId="2" fontId="3" fillId="0" borderId="0" xfId="0" applyNumberFormat="1" applyFont="1"/>
    <xf numFmtId="164" fontId="3" fillId="15" borderId="1" xfId="0" applyNumberFormat="1" applyFont="1" applyFill="1" applyBorder="1" applyAlignment="1">
      <alignment horizontal="right"/>
    </xf>
    <xf numFmtId="0" fontId="3" fillId="15" borderId="1" xfId="0" applyFont="1" applyFill="1" applyBorder="1" applyAlignment="1">
      <alignment horizontal="right"/>
    </xf>
    <xf numFmtId="164" fontId="3" fillId="0" borderId="1" xfId="0" applyNumberFormat="1" applyFont="1" applyBorder="1" applyAlignment="1">
      <alignment horizontal="right"/>
    </xf>
    <xf numFmtId="0" fontId="3" fillId="0" borderId="1" xfId="0" applyFont="1" applyBorder="1" applyAlignment="1">
      <alignment horizontal="right"/>
    </xf>
    <xf numFmtId="171" fontId="3" fillId="0" borderId="0" xfId="0" applyNumberFormat="1" applyFont="1"/>
    <xf numFmtId="169" fontId="3" fillId="15" borderId="1" xfId="0" applyNumberFormat="1" applyFont="1" applyFill="1" applyBorder="1"/>
    <xf numFmtId="169" fontId="3" fillId="0" borderId="1" xfId="0" applyNumberFormat="1" applyFont="1" applyBorder="1"/>
    <xf numFmtId="164" fontId="3" fillId="0" borderId="0" xfId="0" applyNumberFormat="1" applyFont="1"/>
    <xf numFmtId="4" fontId="3" fillId="0" borderId="0" xfId="0" applyNumberFormat="1" applyFont="1"/>
    <xf numFmtId="173" fontId="3" fillId="15" borderId="1" xfId="0" applyNumberFormat="1" applyFont="1" applyFill="1" applyBorder="1"/>
    <xf numFmtId="10" fontId="3" fillId="15" borderId="1" xfId="0" applyNumberFormat="1" applyFont="1" applyFill="1" applyBorder="1"/>
    <xf numFmtId="165" fontId="3" fillId="15" borderId="1" xfId="0" applyNumberFormat="1" applyFont="1" applyFill="1" applyBorder="1"/>
    <xf numFmtId="10" fontId="3" fillId="4" borderId="1" xfId="0" applyNumberFormat="1" applyFont="1" applyFill="1" applyBorder="1"/>
    <xf numFmtId="10" fontId="3" fillId="0" borderId="1" xfId="0" applyNumberFormat="1" applyFont="1" applyBorder="1"/>
    <xf numFmtId="165" fontId="3" fillId="0" borderId="1" xfId="0" applyNumberFormat="1" applyFont="1" applyBorder="1"/>
    <xf numFmtId="165" fontId="3" fillId="15" borderId="2" xfId="0" applyNumberFormat="1" applyFont="1" applyFill="1" applyBorder="1"/>
    <xf numFmtId="10" fontId="3" fillId="0" borderId="0" xfId="0" applyNumberFormat="1" applyFont="1"/>
    <xf numFmtId="169" fontId="3" fillId="0" borderId="0" xfId="0" applyNumberFormat="1" applyFont="1" applyAlignment="1">
      <alignment horizontal="right" vertical="top"/>
    </xf>
    <xf numFmtId="0" fontId="3" fillId="0" borderId="0" xfId="0" applyFont="1" applyAlignment="1">
      <alignment horizontal="right"/>
    </xf>
    <xf numFmtId="0" fontId="3" fillId="0" borderId="0" xfId="0" applyFont="1" applyAlignment="1">
      <alignment horizontal="center"/>
    </xf>
    <xf numFmtId="165" fontId="3" fillId="0" borderId="0" xfId="0" applyNumberFormat="1" applyFont="1"/>
    <xf numFmtId="165" fontId="3" fillId="0" borderId="2" xfId="0" applyNumberFormat="1" applyFont="1" applyBorder="1"/>
    <xf numFmtId="10" fontId="3" fillId="0" borderId="2" xfId="0" applyNumberFormat="1" applyFont="1" applyBorder="1"/>
    <xf numFmtId="0" fontId="3" fillId="15" borderId="1" xfId="0" quotePrefix="1" applyFont="1" applyFill="1" applyBorder="1" applyAlignment="1">
      <alignment horizontal="center" vertical="top"/>
    </xf>
    <xf numFmtId="0" fontId="3" fillId="24" borderId="0" xfId="0" applyFont="1" applyFill="1"/>
    <xf numFmtId="4" fontId="3" fillId="24" borderId="1" xfId="0" applyNumberFormat="1" applyFont="1" applyFill="1" applyBorder="1"/>
    <xf numFmtId="169" fontId="3" fillId="24" borderId="1" xfId="0" applyNumberFormat="1" applyFont="1" applyFill="1" applyBorder="1"/>
    <xf numFmtId="174" fontId="3" fillId="0" borderId="1" xfId="0" applyNumberFormat="1" applyFont="1" applyBorder="1"/>
    <xf numFmtId="0" fontId="3" fillId="0" borderId="2" xfId="0" applyFont="1" applyBorder="1"/>
    <xf numFmtId="174" fontId="3" fillId="0" borderId="0" xfId="0" applyNumberFormat="1" applyFont="1"/>
    <xf numFmtId="4" fontId="3" fillId="15" borderId="1" xfId="0" applyNumberFormat="1" applyFont="1" applyFill="1" applyBorder="1" applyAlignment="1">
      <alignment horizontal="right"/>
    </xf>
    <xf numFmtId="0" fontId="3" fillId="9" borderId="0" xfId="0" applyFont="1" applyFill="1" applyProtection="1">
      <protection locked="0"/>
    </xf>
    <xf numFmtId="11" fontId="3" fillId="0" borderId="1" xfId="0" applyNumberFormat="1" applyFont="1" applyBorder="1"/>
    <xf numFmtId="164" fontId="3" fillId="15" borderId="1" xfId="0" applyNumberFormat="1" applyFont="1" applyFill="1" applyBorder="1" applyAlignment="1">
      <alignment vertical="top"/>
    </xf>
    <xf numFmtId="174" fontId="3" fillId="8" borderId="1" xfId="0" applyNumberFormat="1" applyFont="1" applyFill="1" applyBorder="1" applyAlignment="1" applyProtection="1">
      <alignment vertical="top"/>
      <protection locked="0"/>
    </xf>
    <xf numFmtId="3" fontId="3" fillId="0" borderId="0" xfId="0" applyNumberFormat="1" applyFont="1"/>
    <xf numFmtId="0" fontId="3" fillId="0" borderId="1" xfId="0" quotePrefix="1" applyFont="1" applyBorder="1" applyAlignment="1">
      <alignment vertical="top"/>
    </xf>
    <xf numFmtId="0" fontId="3" fillId="21" borderId="1" xfId="0" applyFont="1" applyFill="1" applyBorder="1"/>
    <xf numFmtId="0" fontId="3" fillId="21" borderId="1" xfId="0" applyFont="1" applyFill="1" applyBorder="1" applyAlignment="1">
      <alignment horizontal="left"/>
    </xf>
    <xf numFmtId="0" fontId="3" fillId="21" borderId="1" xfId="0" quotePrefix="1" applyFont="1" applyFill="1" applyBorder="1" applyAlignment="1">
      <alignment horizontal="center"/>
    </xf>
    <xf numFmtId="11" fontId="3" fillId="21" borderId="1" xfId="0" applyNumberFormat="1" applyFont="1" applyFill="1" applyBorder="1"/>
    <xf numFmtId="9" fontId="3" fillId="8" borderId="1" xfId="0" applyNumberFormat="1" applyFont="1" applyFill="1" applyBorder="1" applyProtection="1">
      <protection locked="0"/>
    </xf>
    <xf numFmtId="0" fontId="3" fillId="21" borderId="1" xfId="0" applyFont="1" applyFill="1" applyBorder="1" applyAlignment="1">
      <alignment horizontal="center"/>
    </xf>
    <xf numFmtId="167" fontId="3" fillId="21" borderId="1" xfId="0" applyNumberFormat="1" applyFont="1" applyFill="1" applyBorder="1"/>
    <xf numFmtId="0" fontId="3" fillId="0" borderId="1" xfId="0" applyFont="1" applyBorder="1" applyAlignment="1">
      <alignment horizontal="center"/>
    </xf>
    <xf numFmtId="167" fontId="3" fillId="0" borderId="1" xfId="0" applyNumberFormat="1" applyFont="1" applyBorder="1"/>
    <xf numFmtId="0" fontId="3" fillId="0" borderId="0" xfId="0" applyFont="1" applyAlignment="1">
      <alignment horizontal="left" vertical="top"/>
    </xf>
    <xf numFmtId="164" fontId="3" fillId="21" borderId="1" xfId="0" applyNumberFormat="1" applyFont="1" applyFill="1" applyBorder="1"/>
    <xf numFmtId="164" fontId="3" fillId="0" borderId="1" xfId="0" applyNumberFormat="1" applyFont="1" applyBorder="1"/>
    <xf numFmtId="0" fontId="44" fillId="0" borderId="1" xfId="0" applyFont="1" applyBorder="1" applyAlignment="1">
      <alignment vertical="top"/>
    </xf>
    <xf numFmtId="171" fontId="40" fillId="0" borderId="1" xfId="0" quotePrefix="1" applyNumberFormat="1" applyFont="1" applyBorder="1" applyAlignment="1">
      <alignment horizontal="right"/>
    </xf>
    <xf numFmtId="0" fontId="39" fillId="0" borderId="14" xfId="0" applyFont="1" applyBorder="1"/>
    <xf numFmtId="0" fontId="17" fillId="0" borderId="10" xfId="0" applyFont="1" applyBorder="1"/>
    <xf numFmtId="0" fontId="3" fillId="13" borderId="2" xfId="0" applyFont="1" applyFill="1" applyBorder="1" applyAlignment="1">
      <alignment vertical="top"/>
    </xf>
    <xf numFmtId="0" fontId="39" fillId="15" borderId="1" xfId="0" applyFont="1" applyFill="1" applyBorder="1" applyAlignment="1">
      <alignment horizontal="center" vertical="center"/>
    </xf>
    <xf numFmtId="169" fontId="39" fillId="15" borderId="1" xfId="0" applyNumberFormat="1" applyFont="1" applyFill="1" applyBorder="1" applyAlignment="1">
      <alignment horizontal="center"/>
    </xf>
    <xf numFmtId="169" fontId="39" fillId="15" borderId="2" xfId="0" applyNumberFormat="1" applyFont="1" applyFill="1" applyBorder="1" applyAlignment="1">
      <alignment horizontal="center" vertical="top"/>
    </xf>
    <xf numFmtId="0" fontId="39" fillId="0" borderId="1" xfId="0" applyFont="1" applyBorder="1"/>
    <xf numFmtId="0" fontId="39" fillId="15" borderId="1" xfId="0" applyFont="1" applyFill="1" applyBorder="1"/>
    <xf numFmtId="0" fontId="39" fillId="0" borderId="0" xfId="0" applyFont="1"/>
    <xf numFmtId="0" fontId="17" fillId="0" borderId="0" xfId="0" applyFont="1" applyAlignment="1">
      <alignment horizontal="center" vertical="center"/>
    </xf>
    <xf numFmtId="168" fontId="17" fillId="0" borderId="0" xfId="0" applyNumberFormat="1" applyFont="1"/>
    <xf numFmtId="0" fontId="39" fillId="0" borderId="1" xfId="0" applyFont="1" applyBorder="1" applyAlignment="1">
      <alignment horizontal="center" vertical="center"/>
    </xf>
    <xf numFmtId="10" fontId="40" fillId="8" borderId="1" xfId="0" quotePrefix="1" applyNumberFormat="1" applyFont="1" applyFill="1" applyBorder="1" applyAlignment="1" applyProtection="1">
      <alignment horizontal="right"/>
      <protection locked="0"/>
    </xf>
    <xf numFmtId="10" fontId="40" fillId="0" borderId="1" xfId="1" quotePrefix="1" applyNumberFormat="1" applyFont="1" applyFill="1" applyBorder="1" applyAlignment="1">
      <alignment horizontal="right"/>
    </xf>
    <xf numFmtId="10" fontId="40" fillId="0" borderId="1" xfId="1" applyNumberFormat="1" applyFont="1" applyFill="1" applyBorder="1" applyProtection="1"/>
    <xf numFmtId="10" fontId="40" fillId="15" borderId="1" xfId="1" applyNumberFormat="1" applyFont="1" applyFill="1" applyBorder="1" applyAlignment="1" applyProtection="1">
      <alignment horizontal="right"/>
    </xf>
    <xf numFmtId="10" fontId="40" fillId="0" borderId="1" xfId="1" applyNumberFormat="1" applyFont="1" applyFill="1" applyBorder="1" applyAlignment="1" applyProtection="1">
      <alignment horizontal="right"/>
    </xf>
    <xf numFmtId="0" fontId="3" fillId="0" borderId="15" xfId="0" applyFont="1" applyBorder="1" applyAlignment="1">
      <alignment vertical="top"/>
    </xf>
    <xf numFmtId="0" fontId="24" fillId="12" borderId="21" xfId="3" applyFont="1" applyFill="1" applyBorder="1"/>
    <xf numFmtId="0" fontId="3" fillId="12" borderId="22" xfId="0" applyFont="1" applyFill="1" applyBorder="1" applyAlignment="1">
      <alignment vertical="top"/>
    </xf>
    <xf numFmtId="0" fontId="24" fillId="0" borderId="0" xfId="3" applyFont="1" applyFill="1"/>
    <xf numFmtId="0" fontId="24" fillId="0" borderId="21" xfId="3" applyFont="1" applyFill="1" applyBorder="1" applyAlignment="1">
      <alignment wrapText="1"/>
    </xf>
    <xf numFmtId="0" fontId="24" fillId="0" borderId="22" xfId="3" applyFont="1" applyFill="1" applyBorder="1" applyAlignment="1">
      <alignment wrapText="1"/>
    </xf>
    <xf numFmtId="0" fontId="3" fillId="0" borderId="28" xfId="0" applyFont="1" applyBorder="1" applyAlignment="1">
      <alignment vertical="top"/>
    </xf>
    <xf numFmtId="0" fontId="91" fillId="0" borderId="15" xfId="0" applyFont="1" applyBorder="1" applyAlignment="1">
      <alignment horizontal="right" vertical="top"/>
    </xf>
    <xf numFmtId="0" fontId="30" fillId="16" borderId="24" xfId="0" applyFont="1" applyFill="1" applyBorder="1"/>
    <xf numFmtId="165" fontId="3" fillId="3" borderId="1" xfId="0" applyNumberFormat="1" applyFont="1" applyFill="1" applyBorder="1" applyAlignment="1">
      <alignment vertical="top"/>
    </xf>
    <xf numFmtId="4" fontId="36" fillId="3" borderId="1" xfId="0" applyNumberFormat="1" applyFont="1" applyFill="1" applyBorder="1" applyAlignment="1">
      <alignment vertical="top"/>
    </xf>
    <xf numFmtId="0" fontId="36" fillId="3" borderId="1" xfId="0" applyFont="1" applyFill="1" applyBorder="1" applyAlignment="1">
      <alignment vertical="top"/>
    </xf>
    <xf numFmtId="0" fontId="3" fillId="0" borderId="4" xfId="0" applyFont="1" applyBorder="1"/>
    <xf numFmtId="0" fontId="30" fillId="26" borderId="1" xfId="0" applyFont="1" applyFill="1" applyBorder="1" applyAlignment="1">
      <alignment horizontal="center" vertical="top"/>
    </xf>
    <xf numFmtId="0" fontId="30" fillId="26" borderId="2" xfId="0" applyFont="1" applyFill="1" applyBorder="1" applyAlignment="1">
      <alignment horizontal="center" vertical="top"/>
    </xf>
    <xf numFmtId="0" fontId="30" fillId="26" borderId="3" xfId="0" applyFont="1" applyFill="1" applyBorder="1" applyAlignment="1">
      <alignment horizontal="center" vertical="top"/>
    </xf>
    <xf numFmtId="0" fontId="30" fillId="26" borderId="1" xfId="0" applyFont="1" applyFill="1" applyBorder="1" applyAlignment="1">
      <alignment horizontal="center"/>
    </xf>
    <xf numFmtId="0" fontId="37" fillId="26" borderId="1" xfId="0" applyFont="1" applyFill="1" applyBorder="1"/>
    <xf numFmtId="0" fontId="18" fillId="26" borderId="1" xfId="0" applyFont="1" applyFill="1" applyBorder="1"/>
    <xf numFmtId="173" fontId="18" fillId="26" borderId="1" xfId="0" applyNumberFormat="1" applyFont="1" applyFill="1" applyBorder="1"/>
    <xf numFmtId="2" fontId="18" fillId="26" borderId="1" xfId="0" applyNumberFormat="1" applyFont="1" applyFill="1" applyBorder="1"/>
    <xf numFmtId="173" fontId="40" fillId="0" borderId="1" xfId="0" applyNumberFormat="1" applyFont="1" applyBorder="1"/>
    <xf numFmtId="165" fontId="40" fillId="0" borderId="1" xfId="0" applyNumberFormat="1" applyFont="1" applyBorder="1"/>
    <xf numFmtId="3" fontId="3" fillId="0" borderId="1" xfId="0" applyNumberFormat="1" applyFont="1" applyBorder="1"/>
    <xf numFmtId="0" fontId="3" fillId="27" borderId="1" xfId="0" applyFont="1" applyFill="1" applyBorder="1"/>
    <xf numFmtId="173" fontId="40" fillId="27" borderId="1" xfId="0" applyNumberFormat="1" applyFont="1" applyFill="1" applyBorder="1"/>
    <xf numFmtId="0" fontId="40" fillId="27" borderId="1" xfId="0" applyFont="1" applyFill="1" applyBorder="1"/>
    <xf numFmtId="165" fontId="40" fillId="27" borderId="1" xfId="0" applyNumberFormat="1" applyFont="1" applyFill="1" applyBorder="1"/>
    <xf numFmtId="3" fontId="40" fillId="27" borderId="1" xfId="0" applyNumberFormat="1" applyFont="1" applyFill="1" applyBorder="1"/>
    <xf numFmtId="3" fontId="3" fillId="27" borderId="1" xfId="0" applyNumberFormat="1" applyFont="1" applyFill="1" applyBorder="1"/>
    <xf numFmtId="173" fontId="3" fillId="27" borderId="1" xfId="0" applyNumberFormat="1" applyFont="1" applyFill="1" applyBorder="1"/>
    <xf numFmtId="4" fontId="3" fillId="27" borderId="1" xfId="0" applyNumberFormat="1" applyFont="1" applyFill="1" applyBorder="1"/>
    <xf numFmtId="0" fontId="30" fillId="26" borderId="7" xfId="0" applyFont="1" applyFill="1" applyBorder="1" applyAlignment="1">
      <alignment vertical="top"/>
    </xf>
    <xf numFmtId="0" fontId="30" fillId="26" borderId="2" xfId="0" applyFont="1" applyFill="1" applyBorder="1" applyAlignment="1">
      <alignment vertical="top"/>
    </xf>
    <xf numFmtId="0" fontId="30" fillId="26" borderId="1" xfId="0" applyFont="1" applyFill="1" applyBorder="1" applyAlignment="1">
      <alignment vertical="top"/>
    </xf>
    <xf numFmtId="0" fontId="28" fillId="26" borderId="1" xfId="0" applyFont="1" applyFill="1" applyBorder="1" applyAlignment="1">
      <alignment vertical="center"/>
    </xf>
    <xf numFmtId="0" fontId="28" fillId="26" borderId="0" xfId="0" applyFont="1" applyFill="1" applyAlignment="1">
      <alignment vertical="top"/>
    </xf>
    <xf numFmtId="0" fontId="37" fillId="28" borderId="1" xfId="0" applyFont="1" applyFill="1" applyBorder="1" applyAlignment="1">
      <alignment vertical="top"/>
    </xf>
    <xf numFmtId="0" fontId="28" fillId="26" borderId="1" xfId="0" applyFont="1" applyFill="1" applyBorder="1" applyAlignment="1">
      <alignment vertical="top"/>
    </xf>
    <xf numFmtId="0" fontId="30" fillId="26" borderId="2" xfId="0" applyFont="1" applyFill="1" applyBorder="1" applyAlignment="1">
      <alignment horizontal="center" vertical="center"/>
    </xf>
    <xf numFmtId="0" fontId="3" fillId="27" borderId="4" xfId="0" applyFont="1" applyFill="1" applyBorder="1"/>
    <xf numFmtId="0" fontId="3" fillId="27" borderId="1" xfId="0" applyFont="1" applyFill="1" applyBorder="1" applyAlignment="1">
      <alignment vertical="top"/>
    </xf>
    <xf numFmtId="0" fontId="3" fillId="27" borderId="1" xfId="0" quotePrefix="1" applyFont="1" applyFill="1" applyBorder="1" applyAlignment="1">
      <alignment horizontal="left" vertical="top"/>
    </xf>
    <xf numFmtId="164" fontId="3" fillId="27" borderId="1" xfId="0" applyNumberFormat="1" applyFont="1" applyFill="1" applyBorder="1" applyAlignment="1">
      <alignment vertical="top"/>
    </xf>
    <xf numFmtId="165" fontId="3" fillId="27" borderId="1" xfId="0" applyNumberFormat="1" applyFont="1" applyFill="1" applyBorder="1" applyAlignment="1">
      <alignment vertical="top"/>
    </xf>
    <xf numFmtId="0" fontId="3" fillId="27" borderId="1" xfId="0" applyFont="1" applyFill="1" applyBorder="1" applyAlignment="1">
      <alignment vertical="top" wrapText="1"/>
    </xf>
    <xf numFmtId="0" fontId="3" fillId="29" borderId="1" xfId="0" applyFont="1" applyFill="1" applyBorder="1" applyAlignment="1">
      <alignment vertical="top"/>
    </xf>
    <xf numFmtId="0" fontId="40" fillId="27" borderId="1" xfId="0" applyFont="1" applyFill="1" applyBorder="1" applyAlignment="1">
      <alignment vertical="top"/>
    </xf>
    <xf numFmtId="0" fontId="3" fillId="27" borderId="1" xfId="0" quotePrefix="1" applyFont="1" applyFill="1" applyBorder="1" applyAlignment="1">
      <alignment vertical="top"/>
    </xf>
    <xf numFmtId="164" fontId="40" fillId="27" borderId="1" xfId="0" applyNumberFormat="1" applyFont="1" applyFill="1" applyBorder="1" applyAlignment="1">
      <alignment vertical="top"/>
    </xf>
    <xf numFmtId="0" fontId="32" fillId="0" borderId="0" xfId="0" applyFont="1"/>
    <xf numFmtId="0" fontId="3" fillId="13" borderId="1" xfId="0" applyFont="1" applyFill="1" applyBorder="1" applyAlignment="1">
      <alignment horizontal="center" vertical="top" wrapText="1"/>
    </xf>
    <xf numFmtId="172" fontId="3" fillId="0" borderId="0" xfId="0" applyNumberFormat="1" applyFont="1" applyAlignment="1">
      <alignment vertical="top"/>
    </xf>
    <xf numFmtId="165" fontId="3" fillId="0" borderId="5" xfId="0" applyNumberFormat="1" applyFont="1" applyBorder="1" applyAlignment="1">
      <alignment vertical="top"/>
    </xf>
    <xf numFmtId="165" fontId="40" fillId="4" borderId="0" xfId="0" applyNumberFormat="1" applyFont="1" applyFill="1" applyAlignment="1">
      <alignment vertical="top"/>
    </xf>
    <xf numFmtId="11" fontId="3" fillId="0" borderId="0" xfId="0" applyNumberFormat="1" applyFont="1" applyAlignment="1">
      <alignment vertical="top"/>
    </xf>
    <xf numFmtId="3" fontId="3" fillId="0" borderId="0" xfId="0" applyNumberFormat="1" applyFont="1" applyAlignment="1">
      <alignment vertical="top"/>
    </xf>
    <xf numFmtId="3" fontId="3" fillId="0" borderId="19" xfId="0" applyNumberFormat="1" applyFont="1" applyBorder="1" applyAlignment="1">
      <alignment vertical="top"/>
    </xf>
    <xf numFmtId="3" fontId="3" fillId="12" borderId="19" xfId="0" applyNumberFormat="1" applyFont="1" applyFill="1" applyBorder="1" applyAlignment="1">
      <alignment vertical="top"/>
    </xf>
    <xf numFmtId="3" fontId="3" fillId="12" borderId="0" xfId="0" quotePrefix="1" applyNumberFormat="1" applyFont="1" applyFill="1" applyAlignment="1">
      <alignment horizontal="right" vertical="top"/>
    </xf>
    <xf numFmtId="3" fontId="3" fillId="0" borderId="19" xfId="0" quotePrefix="1" applyNumberFormat="1" applyFont="1" applyBorder="1" applyAlignment="1">
      <alignment horizontal="right" vertical="top"/>
    </xf>
    <xf numFmtId="3" fontId="3" fillId="12" borderId="19" xfId="0" applyNumberFormat="1" applyFont="1" applyFill="1" applyBorder="1" applyAlignment="1">
      <alignment horizontal="right" vertical="top"/>
    </xf>
    <xf numFmtId="3" fontId="3" fillId="12" borderId="0" xfId="0" applyNumberFormat="1" applyFont="1" applyFill="1" applyAlignment="1">
      <alignment vertical="top"/>
    </xf>
    <xf numFmtId="3" fontId="3" fillId="12" borderId="20" xfId="0" applyNumberFormat="1" applyFont="1" applyFill="1" applyBorder="1" applyAlignment="1">
      <alignment vertical="top"/>
    </xf>
    <xf numFmtId="3" fontId="3" fillId="0" borderId="23" xfId="0" applyNumberFormat="1" applyFont="1" applyBorder="1" applyAlignment="1">
      <alignment vertical="top"/>
    </xf>
    <xf numFmtId="3" fontId="39" fillId="11" borderId="3" xfId="0" applyNumberFormat="1" applyFont="1" applyFill="1" applyBorder="1" applyAlignment="1">
      <alignment vertical="top"/>
    </xf>
    <xf numFmtId="3" fontId="3" fillId="12" borderId="20" xfId="0" quotePrefix="1" applyNumberFormat="1" applyFont="1" applyFill="1" applyBorder="1" applyAlignment="1">
      <alignment horizontal="right" vertical="top"/>
    </xf>
    <xf numFmtId="3" fontId="3" fillId="0" borderId="20" xfId="0" applyNumberFormat="1" applyFont="1" applyBorder="1" applyAlignment="1">
      <alignment vertical="top"/>
    </xf>
    <xf numFmtId="3" fontId="3" fillId="0" borderId="10" xfId="0" applyNumberFormat="1" applyFont="1" applyBorder="1" applyAlignment="1">
      <alignment vertical="top"/>
    </xf>
    <xf numFmtId="165" fontId="3" fillId="0" borderId="19" xfId="0" applyNumberFormat="1" applyFont="1" applyBorder="1" applyAlignment="1">
      <alignment vertical="top"/>
    </xf>
    <xf numFmtId="165" fontId="3" fillId="0" borderId="21" xfId="0" applyNumberFormat="1" applyFont="1" applyBorder="1" applyAlignment="1">
      <alignment vertical="top"/>
    </xf>
    <xf numFmtId="165" fontId="3" fillId="12" borderId="19" xfId="0" applyNumberFormat="1" applyFont="1" applyFill="1" applyBorder="1" applyAlignment="1">
      <alignment vertical="top"/>
    </xf>
    <xf numFmtId="165" fontId="3" fillId="12" borderId="21" xfId="0" applyNumberFormat="1" applyFont="1" applyFill="1" applyBorder="1" applyAlignment="1">
      <alignment vertical="top"/>
    </xf>
    <xf numFmtId="165" fontId="3" fillId="0" borderId="15" xfId="0" applyNumberFormat="1" applyFont="1" applyBorder="1" applyAlignment="1">
      <alignment vertical="top"/>
    </xf>
    <xf numFmtId="165" fontId="3" fillId="12" borderId="20" xfId="0" quotePrefix="1" applyNumberFormat="1" applyFont="1" applyFill="1" applyBorder="1" applyAlignment="1">
      <alignment horizontal="right" vertical="top"/>
    </xf>
    <xf numFmtId="165" fontId="3" fillId="12" borderId="22" xfId="0" quotePrefix="1" applyNumberFormat="1" applyFont="1" applyFill="1" applyBorder="1" applyAlignment="1">
      <alignment horizontal="right" vertical="top"/>
    </xf>
    <xf numFmtId="165" fontId="3" fillId="0" borderId="19" xfId="0" quotePrefix="1" applyNumberFormat="1" applyFont="1" applyBorder="1" applyAlignment="1">
      <alignment horizontal="right" vertical="top"/>
    </xf>
    <xf numFmtId="165" fontId="3" fillId="0" borderId="21" xfId="0" quotePrefix="1" applyNumberFormat="1" applyFont="1" applyBorder="1" applyAlignment="1">
      <alignment horizontal="right" vertical="top"/>
    </xf>
    <xf numFmtId="165" fontId="3" fillId="12" borderId="0" xfId="0" quotePrefix="1" applyNumberFormat="1" applyFont="1" applyFill="1" applyAlignment="1">
      <alignment horizontal="right" vertical="top"/>
    </xf>
    <xf numFmtId="165" fontId="3" fillId="12" borderId="15" xfId="0" quotePrefix="1" applyNumberFormat="1" applyFont="1" applyFill="1" applyBorder="1" applyAlignment="1">
      <alignment horizontal="right" vertical="top"/>
    </xf>
    <xf numFmtId="165" fontId="3" fillId="12" borderId="0" xfId="0" applyNumberFormat="1" applyFont="1" applyFill="1" applyAlignment="1">
      <alignment vertical="top"/>
    </xf>
    <xf numFmtId="165" fontId="3" fillId="12" borderId="15" xfId="0" applyNumberFormat="1" applyFont="1" applyFill="1" applyBorder="1" applyAlignment="1">
      <alignment vertical="top"/>
    </xf>
    <xf numFmtId="165" fontId="3" fillId="0" borderId="20" xfId="0" applyNumberFormat="1" applyFont="1" applyBorder="1" applyAlignment="1">
      <alignment vertical="top"/>
    </xf>
    <xf numFmtId="165" fontId="3" fillId="0" borderId="22" xfId="0" applyNumberFormat="1" applyFont="1" applyBorder="1" applyAlignment="1">
      <alignment vertical="top"/>
    </xf>
    <xf numFmtId="165" fontId="3" fillId="12" borderId="20" xfId="0" applyNumberFormat="1" applyFont="1" applyFill="1" applyBorder="1" applyAlignment="1">
      <alignment vertical="top"/>
    </xf>
    <xf numFmtId="165" fontId="3" fillId="12" borderId="22" xfId="0" applyNumberFormat="1" applyFont="1" applyFill="1" applyBorder="1" applyAlignment="1">
      <alignment vertical="top"/>
    </xf>
    <xf numFmtId="165" fontId="3" fillId="0" borderId="10" xfId="0" applyNumberFormat="1" applyFont="1" applyBorder="1" applyAlignment="1">
      <alignment vertical="top"/>
    </xf>
    <xf numFmtId="165" fontId="3" fillId="0" borderId="26" xfId="0" applyNumberFormat="1" applyFont="1" applyBorder="1" applyAlignment="1">
      <alignment vertical="top"/>
    </xf>
    <xf numFmtId="165" fontId="39" fillId="11" borderId="3" xfId="0" applyNumberFormat="1" applyFont="1" applyFill="1" applyBorder="1" applyAlignment="1">
      <alignment vertical="top"/>
    </xf>
    <xf numFmtId="165" fontId="3" fillId="0" borderId="0" xfId="0" quotePrefix="1" applyNumberFormat="1" applyFont="1" applyAlignment="1">
      <alignment horizontal="right" vertical="top"/>
    </xf>
    <xf numFmtId="165" fontId="3" fillId="12" borderId="19" xfId="0" quotePrefix="1" applyNumberFormat="1" applyFont="1" applyFill="1" applyBorder="1" applyAlignment="1">
      <alignment horizontal="right" vertical="top"/>
    </xf>
    <xf numFmtId="165" fontId="3" fillId="0" borderId="20" xfId="0" quotePrefix="1" applyNumberFormat="1" applyFont="1" applyBorder="1" applyAlignment="1">
      <alignment horizontal="right" vertical="top"/>
    </xf>
    <xf numFmtId="165" fontId="3" fillId="0" borderId="23" xfId="0" applyNumberFormat="1" applyFont="1" applyBorder="1" applyAlignment="1">
      <alignment vertical="top"/>
    </xf>
    <xf numFmtId="0" fontId="3" fillId="12" borderId="16" xfId="0" applyFont="1" applyFill="1" applyBorder="1" applyAlignment="1">
      <alignment vertical="top" wrapText="1"/>
    </xf>
    <xf numFmtId="0" fontId="3" fillId="0" borderId="19" xfId="0" applyFont="1" applyBorder="1" applyAlignment="1">
      <alignment vertical="top" wrapText="1"/>
    </xf>
    <xf numFmtId="0" fontId="3" fillId="12" borderId="19" xfId="0" applyFont="1" applyFill="1" applyBorder="1" applyAlignment="1">
      <alignment vertical="top" wrapText="1"/>
    </xf>
    <xf numFmtId="0" fontId="3" fillId="0" borderId="18" xfId="0" applyFont="1" applyBorder="1" applyAlignment="1">
      <alignment vertical="top" wrapText="1"/>
    </xf>
    <xf numFmtId="0" fontId="3" fillId="12" borderId="18" xfId="0" applyFont="1" applyFill="1" applyBorder="1" applyAlignment="1">
      <alignment vertical="top" wrapText="1"/>
    </xf>
    <xf numFmtId="0" fontId="3" fillId="12" borderId="0" xfId="0" applyFont="1" applyFill="1" applyAlignment="1">
      <alignment vertical="top" wrapText="1"/>
    </xf>
    <xf numFmtId="0" fontId="3" fillId="0" borderId="23" xfId="0" applyFont="1" applyBorder="1" applyAlignment="1">
      <alignment vertical="top" wrapText="1"/>
    </xf>
    <xf numFmtId="175" fontId="3" fillId="12" borderId="1" xfId="0" applyNumberFormat="1" applyFont="1" applyFill="1" applyBorder="1" applyAlignment="1">
      <alignment vertical="top" wrapText="1"/>
    </xf>
    <xf numFmtId="175" fontId="3" fillId="12" borderId="1" xfId="0" quotePrefix="1" applyNumberFormat="1" applyFont="1" applyFill="1" applyBorder="1" applyAlignment="1">
      <alignment vertical="top" wrapText="1"/>
    </xf>
    <xf numFmtId="49" fontId="3" fillId="12" borderId="1" xfId="0" applyNumberFormat="1" applyFont="1" applyFill="1" applyBorder="1" applyAlignment="1">
      <alignment vertical="top" wrapText="1"/>
    </xf>
    <xf numFmtId="0" fontId="3" fillId="12" borderId="7" xfId="0" applyFont="1" applyFill="1" applyBorder="1" applyAlignment="1">
      <alignment vertical="top" wrapText="1"/>
    </xf>
    <xf numFmtId="0" fontId="3" fillId="0" borderId="29" xfId="0" applyFont="1" applyBorder="1" applyAlignment="1">
      <alignment vertical="top" wrapText="1"/>
    </xf>
    <xf numFmtId="0" fontId="3" fillId="12" borderId="29" xfId="0" applyFont="1" applyFill="1" applyBorder="1" applyAlignment="1">
      <alignment vertical="top" wrapText="1"/>
    </xf>
    <xf numFmtId="0" fontId="3" fillId="0" borderId="9" xfId="0" applyFont="1" applyBorder="1" applyAlignment="1">
      <alignment vertical="top" wrapText="1"/>
    </xf>
    <xf numFmtId="0" fontId="3" fillId="12" borderId="30" xfId="0" applyFont="1" applyFill="1" applyBorder="1" applyAlignment="1">
      <alignment vertical="top" wrapText="1"/>
    </xf>
    <xf numFmtId="0" fontId="3" fillId="12" borderId="31" xfId="0" applyFont="1" applyFill="1" applyBorder="1" applyAlignment="1">
      <alignment vertical="top" wrapText="1"/>
    </xf>
    <xf numFmtId="3" fontId="3" fillId="8" borderId="1" xfId="0" applyNumberFormat="1" applyFont="1" applyFill="1" applyBorder="1" applyAlignment="1" applyProtection="1">
      <alignment vertical="top" wrapText="1"/>
      <protection locked="0"/>
    </xf>
    <xf numFmtId="0" fontId="2" fillId="8" borderId="1" xfId="0" applyFont="1" applyFill="1" applyBorder="1" applyProtection="1">
      <protection locked="0"/>
    </xf>
    <xf numFmtId="0" fontId="2" fillId="0" borderId="1" xfId="0" applyFont="1" applyBorder="1" applyAlignment="1" applyProtection="1">
      <alignment vertical="top"/>
      <protection locked="0"/>
    </xf>
    <xf numFmtId="0" fontId="30" fillId="26" borderId="0" xfId="0" applyFont="1" applyFill="1" applyAlignment="1">
      <alignment vertical="top"/>
    </xf>
    <xf numFmtId="0" fontId="36" fillId="0" borderId="5" xfId="0" applyFont="1" applyBorder="1" applyAlignment="1">
      <alignment horizontal="center" vertical="top" wrapText="1"/>
    </xf>
    <xf numFmtId="0" fontId="40" fillId="27" borderId="0" xfId="0" applyFont="1" applyFill="1"/>
    <xf numFmtId="0" fontId="40" fillId="27" borderId="4" xfId="0" applyFont="1" applyFill="1" applyBorder="1"/>
    <xf numFmtId="0" fontId="2" fillId="0" borderId="1" xfId="0" applyFont="1" applyBorder="1"/>
    <xf numFmtId="0" fontId="2" fillId="8" borderId="1" xfId="0" applyFont="1" applyFill="1" applyBorder="1" applyAlignment="1" applyProtection="1">
      <alignment vertical="top"/>
      <protection locked="0"/>
    </xf>
    <xf numFmtId="0" fontId="2" fillId="15" borderId="1" xfId="0" applyFont="1" applyFill="1" applyBorder="1" applyAlignment="1">
      <alignment vertical="top"/>
    </xf>
    <xf numFmtId="0" fontId="2" fillId="15" borderId="1" xfId="0" applyFont="1" applyFill="1" applyBorder="1"/>
    <xf numFmtId="165" fontId="40" fillId="0" borderId="1" xfId="0" applyNumberFormat="1" applyFont="1" applyBorder="1" applyAlignment="1">
      <alignment vertical="top"/>
    </xf>
    <xf numFmtId="0" fontId="2" fillId="0" borderId="0" xfId="0" applyFont="1" applyAlignment="1">
      <alignment vertical="top"/>
    </xf>
    <xf numFmtId="175" fontId="3" fillId="29" borderId="7" xfId="0" applyNumberFormat="1" applyFont="1" applyFill="1" applyBorder="1" applyAlignment="1">
      <alignment vertical="top"/>
    </xf>
    <xf numFmtId="175" fontId="3" fillId="29" borderId="2" xfId="0" applyNumberFormat="1" applyFont="1" applyFill="1" applyBorder="1" applyAlignment="1">
      <alignment vertical="top"/>
    </xf>
    <xf numFmtId="175" fontId="3" fillId="0" borderId="7" xfId="0" applyNumberFormat="1" applyFont="1" applyBorder="1" applyAlignment="1">
      <alignment vertical="top"/>
    </xf>
    <xf numFmtId="175" fontId="3" fillId="0" borderId="2" xfId="0" applyNumberFormat="1" applyFont="1" applyBorder="1" applyAlignment="1">
      <alignment vertical="top"/>
    </xf>
    <xf numFmtId="175" fontId="3" fillId="0" borderId="4" xfId="0" applyNumberFormat="1" applyFont="1" applyBorder="1" applyAlignment="1">
      <alignment vertical="top"/>
    </xf>
    <xf numFmtId="175" fontId="3" fillId="0" borderId="1" xfId="0" applyNumberFormat="1" applyFont="1" applyBorder="1" applyAlignment="1">
      <alignment vertical="top"/>
    </xf>
    <xf numFmtId="175" fontId="3" fillId="29" borderId="1" xfId="0" applyNumberFormat="1" applyFont="1" applyFill="1" applyBorder="1" applyAlignment="1">
      <alignment vertical="top"/>
    </xf>
    <xf numFmtId="175" fontId="3" fillId="0" borderId="0" xfId="0" applyNumberFormat="1" applyFont="1" applyAlignment="1">
      <alignment vertical="top"/>
    </xf>
    <xf numFmtId="175" fontId="18" fillId="0" borderId="0" xfId="0" applyNumberFormat="1" applyFont="1" applyAlignment="1">
      <alignment vertical="top"/>
    </xf>
    <xf numFmtId="4" fontId="39" fillId="15" borderId="1" xfId="0" applyNumberFormat="1" applyFont="1" applyFill="1" applyBorder="1"/>
    <xf numFmtId="0" fontId="40" fillId="15" borderId="1" xfId="0" quotePrefix="1" applyFont="1" applyFill="1" applyBorder="1" applyAlignment="1">
      <alignment horizontal="center"/>
    </xf>
    <xf numFmtId="4" fontId="39" fillId="15" borderId="1" xfId="0" applyNumberFormat="1" applyFont="1" applyFill="1" applyBorder="1" applyAlignment="1">
      <alignment horizontal="right"/>
    </xf>
    <xf numFmtId="0" fontId="3" fillId="12" borderId="29" xfId="0" applyFont="1" applyFill="1" applyBorder="1" applyAlignment="1">
      <alignment horizontal="left" vertical="top" wrapText="1" indent="1"/>
    </xf>
    <xf numFmtId="0" fontId="3" fillId="0" borderId="29" xfId="0" applyFont="1" applyBorder="1" applyAlignment="1">
      <alignment horizontal="left" vertical="top" wrapText="1" indent="1"/>
    </xf>
    <xf numFmtId="0" fontId="3" fillId="12" borderId="29" xfId="0" applyFont="1" applyFill="1" applyBorder="1" applyAlignment="1">
      <alignment horizontal="left" vertical="top" wrapText="1" indent="2"/>
    </xf>
    <xf numFmtId="0" fontId="3" fillId="0" borderId="29" xfId="0" applyFont="1" applyBorder="1" applyAlignment="1">
      <alignment horizontal="left" vertical="top" wrapText="1" indent="2"/>
    </xf>
    <xf numFmtId="0" fontId="3" fillId="30" borderId="1" xfId="0" applyFont="1" applyFill="1" applyBorder="1"/>
    <xf numFmtId="0" fontId="40" fillId="0" borderId="0" xfId="0" applyFont="1" applyAlignment="1">
      <alignment horizontal="center" vertical="center"/>
    </xf>
    <xf numFmtId="0" fontId="1" fillId="8" borderId="1" xfId="0" applyFont="1" applyFill="1" applyBorder="1" applyProtection="1">
      <protection locked="0"/>
    </xf>
    <xf numFmtId="4" fontId="1" fillId="8" borderId="1" xfId="0" applyNumberFormat="1" applyFont="1" applyFill="1" applyBorder="1" applyAlignment="1" applyProtection="1">
      <alignment vertical="top"/>
      <protection locked="0"/>
    </xf>
    <xf numFmtId="0" fontId="1" fillId="27" borderId="1" xfId="0" applyFont="1" applyFill="1" applyBorder="1"/>
    <xf numFmtId="0" fontId="1" fillId="0" borderId="1" xfId="0" applyFont="1" applyBorder="1"/>
    <xf numFmtId="0" fontId="92" fillId="26" borderId="1" xfId="0" applyFont="1" applyFill="1" applyBorder="1"/>
    <xf numFmtId="0" fontId="1" fillId="8" borderId="1" xfId="0" applyFont="1" applyFill="1" applyBorder="1" applyAlignment="1" applyProtection="1">
      <alignment vertical="top"/>
      <protection locked="0"/>
    </xf>
    <xf numFmtId="0" fontId="3" fillId="0" borderId="14" xfId="0" applyFont="1" applyBorder="1" applyAlignment="1">
      <alignment horizontal="justify" vertical="center"/>
    </xf>
    <xf numFmtId="0" fontId="3" fillId="0" borderId="0" xfId="0" applyFont="1" applyAlignment="1">
      <alignment horizontal="justify" vertical="center"/>
    </xf>
    <xf numFmtId="0" fontId="3" fillId="0" borderId="0" xfId="0" applyFont="1"/>
    <xf numFmtId="0" fontId="3" fillId="0" borderId="15" xfId="0" applyFont="1" applyBorder="1"/>
    <xf numFmtId="0" fontId="3" fillId="0" borderId="7" xfId="0" applyFont="1" applyBorder="1" applyAlignment="1">
      <alignment horizontal="justify" vertical="center"/>
    </xf>
    <xf numFmtId="0" fontId="3" fillId="0" borderId="13" xfId="0" applyFont="1" applyBorder="1" applyAlignment="1">
      <alignment horizontal="justify" vertical="center"/>
    </xf>
    <xf numFmtId="0" fontId="3" fillId="0" borderId="13" xfId="0" applyFont="1" applyBorder="1"/>
    <xf numFmtId="0" fontId="3" fillId="0" borderId="11" xfId="0" applyFont="1" applyBorder="1"/>
    <xf numFmtId="0" fontId="3" fillId="0" borderId="4" xfId="0" applyFont="1" applyBorder="1" applyAlignment="1">
      <alignment horizontal="justify" vertical="center"/>
    </xf>
    <xf numFmtId="0" fontId="3" fillId="0" borderId="8" xfId="0" applyFont="1" applyBorder="1" applyAlignment="1">
      <alignment horizontal="justify" vertical="center"/>
    </xf>
    <xf numFmtId="0" fontId="3" fillId="0" borderId="8" xfId="0" applyFont="1" applyBorder="1"/>
    <xf numFmtId="0" fontId="3" fillId="0" borderId="5" xfId="0" applyFont="1" applyBorder="1"/>
    <xf numFmtId="0" fontId="3" fillId="0" borderId="9" xfId="0" applyFont="1" applyBorder="1" applyAlignment="1">
      <alignment horizontal="justify" vertical="center"/>
    </xf>
    <xf numFmtId="0" fontId="3" fillId="0" borderId="10" xfId="0" applyFont="1" applyBorder="1" applyAlignment="1">
      <alignment horizontal="justify" vertical="center"/>
    </xf>
    <xf numFmtId="0" fontId="3" fillId="0" borderId="10" xfId="0" applyFont="1" applyBorder="1"/>
    <xf numFmtId="0" fontId="3" fillId="0" borderId="12" xfId="0" applyFont="1" applyBorder="1"/>
    <xf numFmtId="0" fontId="54" fillId="16" borderId="0" xfId="0" applyFont="1" applyFill="1" applyAlignment="1">
      <alignment horizontal="left" vertical="center"/>
    </xf>
    <xf numFmtId="0" fontId="53" fillId="16" borderId="4" xfId="0" applyFont="1" applyFill="1" applyBorder="1" applyAlignment="1">
      <alignment horizontal="left" vertical="center"/>
    </xf>
    <xf numFmtId="0" fontId="53" fillId="16" borderId="8" xfId="0" applyFont="1" applyFill="1" applyBorder="1" applyAlignment="1">
      <alignment horizontal="left" vertical="center"/>
    </xf>
    <xf numFmtId="0" fontId="53" fillId="16" borderId="5" xfId="0" applyFont="1" applyFill="1" applyBorder="1" applyAlignment="1">
      <alignment horizontal="left" vertical="center"/>
    </xf>
    <xf numFmtId="0" fontId="3" fillId="0" borderId="7" xfId="0" applyFont="1" applyBorder="1" applyAlignment="1">
      <alignment vertical="center" wrapText="1"/>
    </xf>
    <xf numFmtId="0" fontId="3" fillId="0" borderId="13" xfId="0" applyFont="1" applyBorder="1" applyAlignment="1">
      <alignment vertical="center" wrapText="1"/>
    </xf>
    <xf numFmtId="0" fontId="3" fillId="0" borderId="11" xfId="0" applyFont="1" applyBorder="1" applyAlignment="1">
      <alignment vertical="center" wrapText="1"/>
    </xf>
    <xf numFmtId="0" fontId="30" fillId="16" borderId="1" xfId="0" applyFont="1" applyFill="1" applyBorder="1" applyAlignment="1">
      <alignment horizontal="center" vertical="center"/>
    </xf>
    <xf numFmtId="0" fontId="41" fillId="0" borderId="4" xfId="0" applyFont="1" applyBorder="1" applyAlignment="1">
      <alignment horizontal="left" vertical="center"/>
    </xf>
    <xf numFmtId="0" fontId="41" fillId="0" borderId="5" xfId="0" applyFont="1" applyBorder="1" applyAlignment="1">
      <alignment horizontal="left" vertical="center"/>
    </xf>
    <xf numFmtId="0" fontId="44" fillId="0" borderId="4" xfId="0" applyFont="1" applyBorder="1" applyAlignment="1">
      <alignment horizontal="left" vertical="center"/>
    </xf>
    <xf numFmtId="0" fontId="44" fillId="0" borderId="5" xfId="0" applyFont="1" applyBorder="1" applyAlignment="1">
      <alignment horizontal="left" vertical="center"/>
    </xf>
    <xf numFmtId="0" fontId="20" fillId="0" borderId="10" xfId="0" applyFont="1" applyBorder="1" applyAlignment="1">
      <alignment horizontal="left" vertical="center"/>
    </xf>
    <xf numFmtId="0" fontId="40" fillId="0" borderId="1" xfId="0" applyFont="1" applyBorder="1" applyAlignment="1">
      <alignment vertical="center" wrapText="1"/>
    </xf>
    <xf numFmtId="0" fontId="30" fillId="16" borderId="14" xfId="0" applyFont="1" applyFill="1" applyBorder="1" applyAlignment="1">
      <alignment horizontal="center" vertical="center"/>
    </xf>
    <xf numFmtId="0" fontId="30" fillId="16" borderId="0" xfId="0" applyFont="1" applyFill="1" applyAlignment="1">
      <alignment horizontal="center" vertical="center"/>
    </xf>
    <xf numFmtId="0" fontId="57" fillId="0" borderId="4" xfId="0" applyFont="1" applyBorder="1" applyAlignment="1">
      <alignment horizontal="left" vertical="center"/>
    </xf>
    <xf numFmtId="0" fontId="57" fillId="0" borderId="5" xfId="0" applyFont="1" applyBorder="1" applyAlignment="1">
      <alignment horizontal="left" vertical="center"/>
    </xf>
    <xf numFmtId="0" fontId="56" fillId="0" borderId="4" xfId="0" applyFont="1" applyBorder="1" applyAlignment="1">
      <alignment horizontal="left" vertical="center"/>
    </xf>
    <xf numFmtId="0" fontId="56" fillId="0" borderId="5" xfId="0" applyFont="1" applyBorder="1" applyAlignment="1">
      <alignment horizontal="left" vertical="center"/>
    </xf>
    <xf numFmtId="0" fontId="24" fillId="0" borderId="4" xfId="3" applyFont="1" applyBorder="1" applyAlignment="1">
      <alignment horizontal="left" vertical="center"/>
    </xf>
    <xf numFmtId="0" fontId="55" fillId="0" borderId="5" xfId="0" applyFont="1" applyBorder="1" applyAlignment="1">
      <alignment horizontal="left" vertical="center"/>
    </xf>
    <xf numFmtId="2" fontId="84" fillId="0" borderId="0" xfId="0" applyNumberFormat="1" applyFont="1" applyAlignment="1">
      <alignment horizontal="center" vertical="center"/>
    </xf>
    <xf numFmtId="0" fontId="17" fillId="0" borderId="0" xfId="0" applyFont="1" applyAlignment="1">
      <alignment horizontal="center"/>
    </xf>
    <xf numFmtId="0" fontId="83" fillId="0" borderId="0" xfId="0" applyFont="1" applyAlignment="1">
      <alignment horizontal="center" vertical="center"/>
    </xf>
    <xf numFmtId="0" fontId="29" fillId="11" borderId="0" xfId="0" applyFont="1" applyFill="1" applyAlignment="1">
      <alignment horizontal="left" vertical="top"/>
    </xf>
    <xf numFmtId="0" fontId="39" fillId="11" borderId="4" xfId="0" applyFont="1" applyFill="1" applyBorder="1" applyAlignment="1">
      <alignment horizontal="left" vertical="top"/>
    </xf>
    <xf numFmtId="0" fontId="39" fillId="11" borderId="8" xfId="0" applyFont="1" applyFill="1" applyBorder="1" applyAlignment="1">
      <alignment horizontal="left" vertical="top"/>
    </xf>
    <xf numFmtId="0" fontId="39" fillId="11" borderId="5" xfId="0" applyFont="1" applyFill="1" applyBorder="1" applyAlignment="1">
      <alignment horizontal="left" vertical="top"/>
    </xf>
    <xf numFmtId="175" fontId="40" fillId="12" borderId="4" xfId="0" applyNumberFormat="1" applyFont="1" applyFill="1" applyBorder="1" applyAlignment="1">
      <alignment horizontal="left" vertical="top"/>
    </xf>
    <xf numFmtId="175" fontId="40" fillId="12" borderId="8" xfId="0" applyNumberFormat="1" applyFont="1" applyFill="1" applyBorder="1" applyAlignment="1">
      <alignment horizontal="left" vertical="top"/>
    </xf>
    <xf numFmtId="175" fontId="40" fillId="12" borderId="5" xfId="0" applyNumberFormat="1" applyFont="1" applyFill="1" applyBorder="1" applyAlignment="1">
      <alignment horizontal="left" vertical="top"/>
    </xf>
    <xf numFmtId="0" fontId="30" fillId="11" borderId="2" xfId="0" applyFont="1" applyFill="1" applyBorder="1" applyAlignment="1">
      <alignment horizontal="center" vertical="top"/>
    </xf>
    <xf numFmtId="0" fontId="30" fillId="11" borderId="3" xfId="0" applyFont="1" applyFill="1" applyBorder="1" applyAlignment="1">
      <alignment horizontal="center" vertical="top"/>
    </xf>
    <xf numFmtId="0" fontId="20" fillId="0" borderId="10" xfId="0" applyFont="1" applyBorder="1" applyAlignment="1">
      <alignment vertical="top"/>
    </xf>
    <xf numFmtId="0" fontId="30" fillId="11" borderId="2" xfId="0" applyFont="1" applyFill="1" applyBorder="1" applyAlignment="1">
      <alignment horizontal="center" vertical="top" wrapText="1"/>
    </xf>
    <xf numFmtId="0" fontId="30" fillId="11" borderId="3" xfId="0" applyFont="1" applyFill="1" applyBorder="1" applyAlignment="1">
      <alignment horizontal="center" vertical="top" wrapText="1"/>
    </xf>
    <xf numFmtId="0" fontId="30" fillId="3" borderId="2" xfId="0" applyFont="1" applyFill="1" applyBorder="1" applyAlignment="1">
      <alignment horizontal="center" vertical="top"/>
    </xf>
    <xf numFmtId="0" fontId="30" fillId="3" borderId="3" xfId="0" applyFont="1" applyFill="1" applyBorder="1" applyAlignment="1">
      <alignment horizontal="center" vertical="top"/>
    </xf>
    <xf numFmtId="0" fontId="3" fillId="8" borderId="4" xfId="0" applyFont="1" applyFill="1" applyBorder="1" applyAlignment="1" applyProtection="1">
      <alignment horizontal="center" vertical="top"/>
      <protection locked="0"/>
    </xf>
    <xf numFmtId="0" fontId="0" fillId="0" borderId="8" xfId="0" applyBorder="1" applyAlignment="1" applyProtection="1">
      <alignment horizontal="center" vertical="top"/>
      <protection locked="0"/>
    </xf>
    <xf numFmtId="0" fontId="0" fillId="0" borderId="5" xfId="0" applyBorder="1" applyAlignment="1" applyProtection="1">
      <alignment horizontal="center" vertical="top"/>
      <protection locked="0"/>
    </xf>
    <xf numFmtId="0" fontId="30" fillId="3" borderId="4" xfId="0" applyFont="1" applyFill="1" applyBorder="1" applyAlignment="1">
      <alignment horizontal="center" vertical="top"/>
    </xf>
    <xf numFmtId="0" fontId="32" fillId="3" borderId="8" xfId="0" applyFont="1" applyFill="1" applyBorder="1" applyAlignment="1">
      <alignment horizontal="center" vertical="top"/>
    </xf>
    <xf numFmtId="0" fontId="32" fillId="3" borderId="5" xfId="0" applyFont="1" applyFill="1" applyBorder="1" applyAlignment="1">
      <alignment horizontal="center" vertical="top"/>
    </xf>
    <xf numFmtId="0" fontId="29" fillId="24" borderId="10" xfId="0" applyFont="1" applyFill="1" applyBorder="1" applyAlignment="1">
      <alignment horizontal="left" vertical="top"/>
    </xf>
    <xf numFmtId="0" fontId="3" fillId="24" borderId="10" xfId="0" applyFont="1" applyFill="1" applyBorder="1" applyAlignment="1">
      <alignment vertical="top"/>
    </xf>
    <xf numFmtId="0" fontId="30" fillId="3" borderId="8" xfId="0" applyFont="1" applyFill="1" applyBorder="1" applyAlignment="1">
      <alignment horizontal="center" vertical="top"/>
    </xf>
    <xf numFmtId="0" fontId="17" fillId="0" borderId="8" xfId="0" applyFont="1" applyBorder="1" applyAlignment="1">
      <alignment horizontal="center" vertical="top"/>
    </xf>
    <xf numFmtId="0" fontId="17" fillId="0" borderId="5" xfId="0" applyFont="1" applyBorder="1" applyAlignment="1">
      <alignment horizontal="center" vertical="top"/>
    </xf>
    <xf numFmtId="0" fontId="3" fillId="8" borderId="1" xfId="0" applyFont="1" applyFill="1" applyBorder="1" applyAlignment="1" applyProtection="1">
      <alignment horizontal="center" vertical="top"/>
      <protection locked="0"/>
    </xf>
    <xf numFmtId="0" fontId="3" fillId="0" borderId="1" xfId="0" applyFont="1" applyBorder="1" applyAlignment="1" applyProtection="1">
      <alignment horizontal="center" vertical="top"/>
      <protection locked="0"/>
    </xf>
    <xf numFmtId="0" fontId="30" fillId="3" borderId="4" xfId="0" applyFont="1" applyFill="1" applyBorder="1" applyAlignment="1">
      <alignment horizontal="center" vertical="top" wrapText="1"/>
    </xf>
    <xf numFmtId="0" fontId="30" fillId="3" borderId="5" xfId="0" applyFont="1" applyFill="1" applyBorder="1" applyAlignment="1">
      <alignment horizontal="center" vertical="top" wrapText="1"/>
    </xf>
    <xf numFmtId="0" fontId="22" fillId="8" borderId="7" xfId="0" applyFont="1" applyFill="1" applyBorder="1" applyAlignment="1">
      <alignment horizontal="center" vertical="top"/>
    </xf>
    <xf numFmtId="0" fontId="22" fillId="8" borderId="11" xfId="0" applyFont="1" applyFill="1" applyBorder="1" applyAlignment="1">
      <alignment horizontal="center" vertical="top"/>
    </xf>
    <xf numFmtId="0" fontId="22" fillId="8" borderId="9" xfId="0" applyFont="1" applyFill="1" applyBorder="1" applyAlignment="1">
      <alignment horizontal="center" vertical="top"/>
    </xf>
    <xf numFmtId="0" fontId="22" fillId="8" borderId="12" xfId="0" applyFont="1" applyFill="1" applyBorder="1" applyAlignment="1">
      <alignment horizontal="center" vertical="top"/>
    </xf>
    <xf numFmtId="4" fontId="3" fillId="8" borderId="1" xfId="0" applyNumberFormat="1" applyFont="1" applyFill="1" applyBorder="1" applyAlignment="1" applyProtection="1">
      <alignment horizontal="center" vertical="top"/>
      <protection locked="0"/>
    </xf>
    <xf numFmtId="0" fontId="34" fillId="13" borderId="4" xfId="0" applyFont="1" applyFill="1" applyBorder="1" applyAlignment="1">
      <alignment vertical="top"/>
    </xf>
    <xf numFmtId="0" fontId="3" fillId="13" borderId="5" xfId="0" applyFont="1" applyFill="1" applyBorder="1" applyAlignment="1">
      <alignment vertical="top"/>
    </xf>
    <xf numFmtId="2" fontId="30" fillId="3" borderId="4" xfId="0" applyNumberFormat="1" applyFont="1" applyFill="1" applyBorder="1" applyAlignment="1">
      <alignment horizontal="center" vertical="top"/>
    </xf>
    <xf numFmtId="0" fontId="34" fillId="0" borderId="4" xfId="0" applyFont="1" applyBorder="1" applyAlignment="1">
      <alignment vertical="top"/>
    </xf>
    <xf numFmtId="0" fontId="3" fillId="0" borderId="5" xfId="0" applyFont="1" applyBorder="1" applyAlignment="1">
      <alignment vertical="top"/>
    </xf>
    <xf numFmtId="0" fontId="34" fillId="0" borderId="5" xfId="0" applyFont="1" applyBorder="1" applyAlignment="1">
      <alignment vertical="top"/>
    </xf>
    <xf numFmtId="0" fontId="34" fillId="13" borderId="4" xfId="0" applyFont="1" applyFill="1" applyBorder="1" applyAlignment="1">
      <alignment horizontal="center" vertical="top"/>
    </xf>
    <xf numFmtId="0" fontId="34" fillId="13" borderId="8" xfId="0" applyFont="1" applyFill="1" applyBorder="1" applyAlignment="1">
      <alignment horizontal="center" vertical="top"/>
    </xf>
    <xf numFmtId="0" fontId="34" fillId="13" borderId="5" xfId="0" applyFont="1" applyFill="1" applyBorder="1" applyAlignment="1">
      <alignment horizontal="center" vertical="top"/>
    </xf>
    <xf numFmtId="0" fontId="30" fillId="3" borderId="5" xfId="0" applyFont="1" applyFill="1" applyBorder="1" applyAlignment="1">
      <alignment horizontal="center" vertical="top"/>
    </xf>
    <xf numFmtId="0" fontId="34" fillId="0" borderId="4" xfId="0" applyFont="1" applyBorder="1" applyAlignment="1">
      <alignment horizontal="center" vertical="top"/>
    </xf>
    <xf numFmtId="0" fontId="34" fillId="0" borderId="8" xfId="0" applyFont="1" applyBorder="1" applyAlignment="1">
      <alignment horizontal="center" vertical="top"/>
    </xf>
    <xf numFmtId="0" fontId="34" fillId="0" borderId="5" xfId="0" applyFont="1" applyBorder="1" applyAlignment="1">
      <alignment horizontal="center" vertical="top"/>
    </xf>
    <xf numFmtId="4" fontId="3" fillId="4" borderId="4" xfId="0" applyNumberFormat="1" applyFont="1" applyFill="1" applyBorder="1" applyAlignment="1">
      <alignment horizontal="center" vertical="top"/>
    </xf>
    <xf numFmtId="0" fontId="3" fillId="4" borderId="5" xfId="0" applyFont="1" applyFill="1" applyBorder="1" applyAlignment="1">
      <alignment horizontal="center" vertical="top"/>
    </xf>
    <xf numFmtId="4" fontId="3" fillId="13" borderId="4" xfId="0" applyNumberFormat="1" applyFont="1" applyFill="1" applyBorder="1" applyAlignment="1">
      <alignment horizontal="center" vertical="top"/>
    </xf>
    <xf numFmtId="0" fontId="3" fillId="13" borderId="5" xfId="0" applyFont="1" applyFill="1" applyBorder="1" applyAlignment="1">
      <alignment horizontal="center" vertical="top"/>
    </xf>
    <xf numFmtId="0" fontId="32" fillId="3" borderId="5" xfId="0" applyFont="1" applyFill="1" applyBorder="1" applyAlignment="1">
      <alignment horizontal="center" vertical="top" wrapText="1"/>
    </xf>
    <xf numFmtId="49" fontId="3" fillId="8" borderId="4" xfId="0" quotePrefix="1" applyNumberFormat="1" applyFont="1" applyFill="1" applyBorder="1" applyAlignment="1" applyProtection="1">
      <alignment vertical="top"/>
      <protection locked="0"/>
    </xf>
    <xf numFmtId="0" fontId="3" fillId="8" borderId="5" xfId="0" applyFont="1" applyFill="1" applyBorder="1" applyAlignment="1" applyProtection="1">
      <alignment vertical="top"/>
      <protection locked="0"/>
    </xf>
    <xf numFmtId="1" fontId="3" fillId="8" borderId="4" xfId="0" applyNumberFormat="1" applyFont="1" applyFill="1" applyBorder="1" applyAlignment="1" applyProtection="1">
      <alignment horizontal="left" vertical="top"/>
      <protection locked="0"/>
    </xf>
    <xf numFmtId="0" fontId="3" fillId="8" borderId="5" xfId="0" applyFont="1" applyFill="1" applyBorder="1" applyAlignment="1" applyProtection="1">
      <alignment horizontal="left" vertical="top"/>
      <protection locked="0"/>
    </xf>
    <xf numFmtId="49" fontId="1" fillId="8" borderId="4" xfId="0" quotePrefix="1" applyNumberFormat="1" applyFont="1" applyFill="1" applyBorder="1" applyAlignment="1" applyProtection="1">
      <alignment vertical="top"/>
      <protection locked="0"/>
    </xf>
    <xf numFmtId="49" fontId="3" fillId="8" borderId="5" xfId="0" quotePrefix="1" applyNumberFormat="1" applyFont="1" applyFill="1" applyBorder="1" applyAlignment="1" applyProtection="1">
      <alignment vertical="top"/>
      <protection locked="0"/>
    </xf>
    <xf numFmtId="0" fontId="38" fillId="13" borderId="1" xfId="0" applyFont="1" applyFill="1" applyBorder="1" applyAlignment="1">
      <alignment horizontal="left" vertical="top"/>
    </xf>
    <xf numFmtId="0" fontId="38" fillId="0" borderId="1" xfId="0" applyFont="1" applyBorder="1" applyAlignment="1">
      <alignment horizontal="left" vertical="top"/>
    </xf>
    <xf numFmtId="0" fontId="28" fillId="3" borderId="0" xfId="0" applyFont="1" applyFill="1" applyAlignment="1">
      <alignment horizontal="left"/>
    </xf>
    <xf numFmtId="0" fontId="28" fillId="3" borderId="0" xfId="0" applyFont="1" applyFill="1" applyAlignment="1">
      <alignment horizontal="left" wrapText="1"/>
    </xf>
    <xf numFmtId="0" fontId="18" fillId="3" borderId="0" xfId="0" applyFont="1" applyFill="1" applyAlignment="1">
      <alignment wrapText="1"/>
    </xf>
    <xf numFmtId="0" fontId="41" fillId="8" borderId="1" xfId="0" applyFont="1" applyFill="1" applyBorder="1" applyAlignment="1">
      <alignment horizontal="center" vertical="top"/>
    </xf>
    <xf numFmtId="0" fontId="30" fillId="3" borderId="1" xfId="0" applyFont="1" applyFill="1" applyBorder="1" applyAlignment="1">
      <alignment horizontal="center" vertical="top"/>
    </xf>
    <xf numFmtId="0" fontId="22" fillId="0" borderId="1" xfId="0" applyFont="1" applyBorder="1" applyAlignment="1">
      <alignment horizontal="center" vertical="top"/>
    </xf>
    <xf numFmtId="0" fontId="41" fillId="8" borderId="1" xfId="0" quotePrefix="1" applyFont="1" applyFill="1" applyBorder="1" applyAlignment="1">
      <alignment horizontal="center" vertical="top"/>
    </xf>
    <xf numFmtId="0" fontId="41" fillId="8" borderId="4" xfId="0" quotePrefix="1" applyFont="1" applyFill="1" applyBorder="1" applyAlignment="1">
      <alignment horizontal="center" vertical="top"/>
    </xf>
    <xf numFmtId="0" fontId="30" fillId="3" borderId="1" xfId="0" quotePrefix="1" applyFont="1" applyFill="1" applyBorder="1" applyAlignment="1">
      <alignment horizontal="center" vertical="top" wrapText="1"/>
    </xf>
    <xf numFmtId="0" fontId="30" fillId="3" borderId="1" xfId="0" applyFont="1" applyFill="1" applyBorder="1" applyAlignment="1">
      <alignment horizontal="center" vertical="top" wrapText="1"/>
    </xf>
    <xf numFmtId="0" fontId="30" fillId="3" borderId="14" xfId="0" applyFont="1" applyFill="1" applyBorder="1" applyAlignment="1">
      <alignment horizontal="center" vertical="top"/>
    </xf>
    <xf numFmtId="0" fontId="30" fillId="3" borderId="0" xfId="0" applyFont="1" applyFill="1" applyAlignment="1">
      <alignment horizontal="center" vertical="top"/>
    </xf>
    <xf numFmtId="0" fontId="41" fillId="8" borderId="2" xfId="0" applyFont="1" applyFill="1" applyBorder="1" applyAlignment="1">
      <alignment horizontal="center" vertical="top"/>
    </xf>
    <xf numFmtId="0" fontId="41" fillId="8" borderId="6" xfId="0" applyFont="1" applyFill="1" applyBorder="1" applyAlignment="1">
      <alignment horizontal="center" vertical="top"/>
    </xf>
    <xf numFmtId="0" fontId="41" fillId="8" borderId="3" xfId="0" applyFont="1" applyFill="1" applyBorder="1" applyAlignment="1">
      <alignment horizontal="center" vertical="top"/>
    </xf>
    <xf numFmtId="0" fontId="30" fillId="3" borderId="6" xfId="0" applyFont="1" applyFill="1" applyBorder="1" applyAlignment="1">
      <alignment horizontal="center" vertical="top"/>
    </xf>
    <xf numFmtId="0" fontId="22" fillId="0" borderId="8" xfId="0" applyFont="1" applyBorder="1" applyAlignment="1">
      <alignment horizontal="center" vertical="top"/>
    </xf>
    <xf numFmtId="0" fontId="22" fillId="0" borderId="5" xfId="0" applyFont="1" applyBorder="1" applyAlignment="1">
      <alignment horizontal="center" vertical="top"/>
    </xf>
    <xf numFmtId="0" fontId="30" fillId="3" borderId="4" xfId="0" quotePrefix="1" applyFont="1" applyFill="1" applyBorder="1" applyAlignment="1">
      <alignment horizontal="center" vertical="top" wrapText="1"/>
    </xf>
    <xf numFmtId="0" fontId="22" fillId="0" borderId="5" xfId="0" applyFont="1" applyBorder="1" applyAlignment="1">
      <alignment horizontal="center" vertical="top" wrapText="1"/>
    </xf>
    <xf numFmtId="0" fontId="73" fillId="3" borderId="2" xfId="0" applyFont="1" applyFill="1" applyBorder="1" applyAlignment="1">
      <alignment horizontal="center" vertical="top" wrapText="1"/>
    </xf>
    <xf numFmtId="0" fontId="22" fillId="0" borderId="6" xfId="0" applyFont="1" applyBorder="1" applyAlignment="1">
      <alignment horizontal="center" vertical="top"/>
    </xf>
    <xf numFmtId="0" fontId="22" fillId="0" borderId="3" xfId="0" applyFont="1" applyBorder="1" applyAlignment="1">
      <alignment horizontal="center" vertical="top"/>
    </xf>
    <xf numFmtId="0" fontId="73" fillId="3" borderId="5" xfId="0" quotePrefix="1" applyFont="1" applyFill="1" applyBorder="1" applyAlignment="1">
      <alignment horizontal="center" vertical="top" wrapText="1"/>
    </xf>
    <xf numFmtId="0" fontId="73" fillId="3" borderId="1" xfId="0" quotePrefix="1" applyFont="1" applyFill="1" applyBorder="1" applyAlignment="1">
      <alignment horizontal="center" vertical="top" wrapText="1"/>
    </xf>
    <xf numFmtId="0" fontId="30" fillId="3" borderId="2" xfId="0" quotePrefix="1" applyFont="1" applyFill="1" applyBorder="1" applyAlignment="1">
      <alignment horizontal="center" vertical="top" wrapText="1"/>
    </xf>
    <xf numFmtId="0" fontId="30" fillId="3" borderId="6" xfId="0" quotePrefix="1" applyFont="1" applyFill="1" applyBorder="1" applyAlignment="1">
      <alignment horizontal="center" vertical="top" wrapText="1"/>
    </xf>
    <xf numFmtId="0" fontId="22" fillId="0" borderId="1" xfId="0" applyFont="1" applyBorder="1" applyAlignment="1">
      <alignment horizontal="center" vertical="top" wrapText="1"/>
    </xf>
    <xf numFmtId="165" fontId="40" fillId="8" borderId="2" xfId="0" quotePrefix="1" applyNumberFormat="1" applyFont="1" applyFill="1" applyBorder="1" applyAlignment="1" applyProtection="1">
      <alignment horizontal="center" vertical="top" wrapText="1"/>
      <protection locked="0"/>
    </xf>
    <xf numFmtId="165" fontId="40" fillId="8" borderId="6" xfId="0" quotePrefix="1" applyNumberFormat="1" applyFont="1" applyFill="1" applyBorder="1" applyAlignment="1" applyProtection="1">
      <alignment horizontal="center" vertical="top" wrapText="1"/>
      <protection locked="0"/>
    </xf>
    <xf numFmtId="0" fontId="40" fillId="0" borderId="6" xfId="0" applyFont="1" applyBorder="1" applyAlignment="1" applyProtection="1">
      <alignment horizontal="center" vertical="top" wrapText="1"/>
      <protection locked="0"/>
    </xf>
    <xf numFmtId="0" fontId="40" fillId="0" borderId="3" xfId="0" applyFont="1" applyBorder="1" applyAlignment="1" applyProtection="1">
      <alignment horizontal="center" vertical="top" wrapText="1"/>
      <protection locked="0"/>
    </xf>
    <xf numFmtId="165" fontId="3" fillId="8" borderId="2" xfId="0" applyNumberFormat="1" applyFont="1" applyFill="1" applyBorder="1" applyAlignment="1" applyProtection="1">
      <alignment horizontal="center" vertical="top" wrapText="1"/>
      <protection locked="0"/>
    </xf>
    <xf numFmtId="0" fontId="3" fillId="0" borderId="6" xfId="0" applyFont="1" applyBorder="1" applyAlignment="1" applyProtection="1">
      <alignment horizontal="center" vertical="top" wrapText="1"/>
      <protection locked="0"/>
    </xf>
    <xf numFmtId="0" fontId="22" fillId="0" borderId="0" xfId="0" applyFont="1" applyAlignment="1">
      <alignment horizontal="center" vertical="top"/>
    </xf>
    <xf numFmtId="0" fontId="22" fillId="0" borderId="14" xfId="0" applyFont="1" applyBorder="1" applyAlignment="1">
      <alignment horizontal="center" vertical="top"/>
    </xf>
    <xf numFmtId="0" fontId="22" fillId="0" borderId="9" xfId="0" applyFont="1" applyBorder="1" applyAlignment="1">
      <alignment horizontal="center" vertical="top"/>
    </xf>
    <xf numFmtId="0" fontId="22" fillId="0" borderId="10" xfId="0" applyFont="1" applyBorder="1" applyAlignment="1">
      <alignment horizontal="center" vertical="top"/>
    </xf>
    <xf numFmtId="0" fontId="30" fillId="3" borderId="9" xfId="0" applyFont="1" applyFill="1" applyBorder="1" applyAlignment="1">
      <alignment horizontal="center" vertical="top"/>
    </xf>
    <xf numFmtId="0" fontId="22" fillId="0" borderId="12" xfId="0" applyFont="1" applyBorder="1" applyAlignment="1">
      <alignment horizontal="center" vertical="top"/>
    </xf>
    <xf numFmtId="0" fontId="30" fillId="3" borderId="2" xfId="0" applyFont="1" applyFill="1" applyBorder="1" applyAlignment="1">
      <alignment horizontal="center" vertical="top" wrapText="1"/>
    </xf>
    <xf numFmtId="0" fontId="22" fillId="0" borderId="3" xfId="0" applyFont="1" applyBorder="1" applyAlignment="1">
      <alignment horizontal="center" vertical="top" wrapText="1"/>
    </xf>
    <xf numFmtId="0" fontId="38" fillId="13" borderId="4" xfId="0" applyFont="1" applyFill="1" applyBorder="1" applyAlignment="1">
      <alignment vertical="top"/>
    </xf>
    <xf numFmtId="0" fontId="38" fillId="13" borderId="8" xfId="0" applyFont="1" applyFill="1" applyBorder="1" applyAlignment="1">
      <alignment vertical="top"/>
    </xf>
    <xf numFmtId="0" fontId="38" fillId="13" borderId="5" xfId="0" applyFont="1" applyFill="1" applyBorder="1" applyAlignment="1">
      <alignment vertical="top"/>
    </xf>
    <xf numFmtId="0" fontId="22" fillId="3" borderId="5" xfId="0" applyFont="1" applyFill="1" applyBorder="1" applyAlignment="1">
      <alignment horizontal="center" vertical="top"/>
    </xf>
    <xf numFmtId="0" fontId="22" fillId="3" borderId="3" xfId="0" applyFont="1" applyFill="1" applyBorder="1" applyAlignment="1">
      <alignment horizontal="center" vertical="top"/>
    </xf>
    <xf numFmtId="0" fontId="38" fillId="0" borderId="4" xfId="0" applyFont="1" applyBorder="1" applyAlignment="1">
      <alignment horizontal="left" vertical="top"/>
    </xf>
    <xf numFmtId="0" fontId="38" fillId="0" borderId="8" xfId="0" applyFont="1" applyBorder="1" applyAlignment="1">
      <alignment horizontal="left" vertical="top"/>
    </xf>
    <xf numFmtId="0" fontId="38" fillId="0" borderId="5" xfId="0" applyFont="1" applyBorder="1" applyAlignment="1">
      <alignment horizontal="left" vertical="top"/>
    </xf>
    <xf numFmtId="0" fontId="38" fillId="13" borderId="4" xfId="0" applyFont="1" applyFill="1" applyBorder="1" applyAlignment="1">
      <alignment horizontal="left" vertical="top"/>
    </xf>
    <xf numFmtId="0" fontId="38" fillId="13" borderId="8" xfId="0" applyFont="1" applyFill="1" applyBorder="1" applyAlignment="1">
      <alignment horizontal="left" vertical="top"/>
    </xf>
    <xf numFmtId="0" fontId="38" fillId="13" borderId="5" xfId="0" applyFont="1" applyFill="1" applyBorder="1" applyAlignment="1">
      <alignment horizontal="left" vertical="top"/>
    </xf>
    <xf numFmtId="0" fontId="30" fillId="3" borderId="1" xfId="0" quotePrefix="1" applyFont="1" applyFill="1" applyBorder="1" applyAlignment="1">
      <alignment horizontal="center" vertical="top"/>
    </xf>
    <xf numFmtId="0" fontId="30" fillId="3" borderId="4" xfId="0" quotePrefix="1" applyFont="1" applyFill="1" applyBorder="1" applyAlignment="1">
      <alignment horizontal="center" vertical="top"/>
    </xf>
    <xf numFmtId="0" fontId="41" fillId="8" borderId="2" xfId="0" quotePrefix="1" applyFont="1" applyFill="1" applyBorder="1" applyAlignment="1">
      <alignment horizontal="center" vertical="top"/>
    </xf>
    <xf numFmtId="0" fontId="3" fillId="13" borderId="2" xfId="0" applyFont="1" applyFill="1" applyBorder="1" applyAlignment="1">
      <alignment vertical="top"/>
    </xf>
    <xf numFmtId="0" fontId="3" fillId="13" borderId="6" xfId="0" applyFont="1" applyFill="1" applyBorder="1" applyAlignment="1">
      <alignment vertical="top"/>
    </xf>
    <xf numFmtId="0" fontId="3" fillId="13" borderId="3" xfId="0" applyFont="1" applyFill="1" applyBorder="1" applyAlignment="1">
      <alignment vertical="top"/>
    </xf>
    <xf numFmtId="0" fontId="3" fillId="0" borderId="2" xfId="0" applyFont="1" applyBorder="1" applyAlignment="1">
      <alignment vertical="top"/>
    </xf>
    <xf numFmtId="0" fontId="3" fillId="0" borderId="6" xfId="0" applyFont="1" applyBorder="1" applyAlignment="1">
      <alignment vertical="top"/>
    </xf>
    <xf numFmtId="0" fontId="3" fillId="13" borderId="7" xfId="0" applyFont="1" applyFill="1" applyBorder="1" applyAlignment="1">
      <alignment vertical="top"/>
    </xf>
    <xf numFmtId="0" fontId="3" fillId="13" borderId="11" xfId="0" applyFont="1" applyFill="1" applyBorder="1" applyAlignment="1">
      <alignment vertical="top"/>
    </xf>
    <xf numFmtId="0" fontId="3" fillId="13" borderId="14" xfId="0" applyFont="1" applyFill="1" applyBorder="1" applyAlignment="1">
      <alignment vertical="top"/>
    </xf>
    <xf numFmtId="0" fontId="3" fillId="13" borderId="15" xfId="0" applyFont="1" applyFill="1" applyBorder="1" applyAlignment="1">
      <alignment vertical="top"/>
    </xf>
    <xf numFmtId="0" fontId="3" fillId="13" borderId="9" xfId="0" applyFont="1" applyFill="1" applyBorder="1" applyAlignment="1">
      <alignment vertical="top"/>
    </xf>
    <xf numFmtId="0" fontId="3" fillId="13" borderId="12" xfId="0" applyFont="1" applyFill="1" applyBorder="1" applyAlignment="1">
      <alignment vertical="top"/>
    </xf>
    <xf numFmtId="0" fontId="22" fillId="0" borderId="2" xfId="0" applyFont="1" applyBorder="1" applyAlignment="1">
      <alignment horizontal="center" vertical="top"/>
    </xf>
    <xf numFmtId="0" fontId="3" fillId="0" borderId="3" xfId="0" applyFont="1" applyBorder="1" applyAlignment="1" applyProtection="1">
      <alignment horizontal="center" vertical="top" wrapText="1"/>
      <protection locked="0"/>
    </xf>
    <xf numFmtId="0" fontId="73" fillId="3" borderId="4" xfId="0" applyFont="1" applyFill="1" applyBorder="1" applyAlignment="1">
      <alignment horizontal="center" vertical="top"/>
    </xf>
    <xf numFmtId="0" fontId="73" fillId="3" borderId="1" xfId="0" applyFont="1" applyFill="1" applyBorder="1" applyAlignment="1">
      <alignment horizontal="center" vertical="top"/>
    </xf>
    <xf numFmtId="0" fontId="30" fillId="3" borderId="2" xfId="0" quotePrefix="1" applyFont="1" applyFill="1" applyBorder="1" applyAlignment="1">
      <alignment horizontal="center" vertical="top"/>
    </xf>
    <xf numFmtId="0" fontId="22" fillId="3" borderId="1" xfId="0" applyFont="1" applyFill="1" applyBorder="1" applyAlignment="1">
      <alignment horizontal="center" vertical="top"/>
    </xf>
    <xf numFmtId="0" fontId="17" fillId="5" borderId="2" xfId="0" applyFont="1" applyFill="1" applyBorder="1" applyAlignment="1">
      <alignment horizontal="center" vertical="top" wrapText="1"/>
    </xf>
    <xf numFmtId="0" fontId="3" fillId="0" borderId="3" xfId="0" applyFont="1" applyBorder="1" applyAlignment="1">
      <alignment horizontal="center" vertical="top" wrapText="1"/>
    </xf>
    <xf numFmtId="0" fontId="3" fillId="0" borderId="3" xfId="0" applyFont="1" applyBorder="1" applyAlignment="1">
      <alignment horizontal="center" vertical="top"/>
    </xf>
    <xf numFmtId="0" fontId="17" fillId="5" borderId="4" xfId="0" applyFont="1" applyFill="1" applyBorder="1" applyAlignment="1">
      <alignment horizontal="center" vertical="top" wrapText="1"/>
    </xf>
    <xf numFmtId="0" fontId="17" fillId="5" borderId="8" xfId="0" applyFont="1" applyFill="1" applyBorder="1" applyAlignment="1">
      <alignment horizontal="center" vertical="top" wrapText="1"/>
    </xf>
    <xf numFmtId="0" fontId="3" fillId="0" borderId="5" xfId="0" applyFont="1" applyBorder="1" applyAlignment="1">
      <alignment horizontal="center" vertical="top" wrapText="1"/>
    </xf>
    <xf numFmtId="0" fontId="17" fillId="5" borderId="4" xfId="0" applyFont="1" applyFill="1" applyBorder="1" applyAlignment="1">
      <alignment horizontal="center" vertical="top"/>
    </xf>
    <xf numFmtId="0" fontId="3" fillId="0" borderId="8" xfId="0" applyFont="1" applyBorder="1" applyAlignment="1">
      <alignment vertical="top"/>
    </xf>
    <xf numFmtId="0" fontId="17" fillId="5" borderId="5" xfId="0" applyFont="1" applyFill="1" applyBorder="1" applyAlignment="1">
      <alignment horizontal="center" vertical="top" wrapText="1"/>
    </xf>
    <xf numFmtId="0" fontId="17" fillId="5" borderId="3" xfId="0" applyFont="1" applyFill="1" applyBorder="1" applyAlignment="1">
      <alignment horizontal="center" vertical="top" wrapText="1"/>
    </xf>
    <xf numFmtId="0" fontId="17" fillId="5" borderId="1" xfId="0" applyFont="1" applyFill="1" applyBorder="1" applyAlignment="1">
      <alignment horizontal="center" vertical="top" wrapText="1"/>
    </xf>
    <xf numFmtId="0" fontId="3" fillId="0" borderId="1" xfId="0" applyFont="1" applyBorder="1" applyAlignment="1">
      <alignment horizontal="center" vertical="top" wrapText="1"/>
    </xf>
    <xf numFmtId="0" fontId="3" fillId="0" borderId="1" xfId="0" applyFont="1" applyBorder="1" applyAlignment="1">
      <alignment vertical="top" wrapText="1"/>
    </xf>
    <xf numFmtId="0" fontId="3" fillId="0" borderId="5" xfId="0" applyFont="1" applyBorder="1" applyAlignment="1">
      <alignment horizontal="center" vertical="top"/>
    </xf>
    <xf numFmtId="0" fontId="22" fillId="0" borderId="6" xfId="0" applyFont="1" applyBorder="1" applyAlignment="1">
      <alignment horizontal="center" vertical="top" wrapText="1"/>
    </xf>
    <xf numFmtId="0" fontId="73" fillId="3" borderId="6" xfId="0" applyFont="1" applyFill="1" applyBorder="1" applyAlignment="1">
      <alignment horizontal="center" vertical="top" wrapText="1"/>
    </xf>
    <xf numFmtId="0" fontId="17" fillId="5" borderId="2" xfId="0" applyFont="1" applyFill="1" applyBorder="1" applyAlignment="1">
      <alignment vertical="top" wrapText="1"/>
    </xf>
    <xf numFmtId="0" fontId="3" fillId="0" borderId="3" xfId="0" applyFont="1" applyBorder="1" applyAlignment="1">
      <alignment vertical="top" wrapText="1"/>
    </xf>
    <xf numFmtId="0" fontId="17" fillId="5" borderId="2" xfId="0" applyFont="1" applyFill="1" applyBorder="1" applyAlignment="1">
      <alignment vertical="top"/>
    </xf>
    <xf numFmtId="0" fontId="3" fillId="0" borderId="3" xfId="0" applyFont="1" applyBorder="1" applyAlignment="1">
      <alignment vertical="top"/>
    </xf>
    <xf numFmtId="0" fontId="3" fillId="0" borderId="6" xfId="0" applyFont="1" applyBorder="1" applyAlignment="1">
      <alignment horizontal="center" vertical="top"/>
    </xf>
    <xf numFmtId="0" fontId="3" fillId="0" borderId="6" xfId="0" applyFont="1" applyBorder="1" applyAlignment="1">
      <alignment horizontal="center" vertical="top" wrapText="1"/>
    </xf>
    <xf numFmtId="0" fontId="3" fillId="0" borderId="2" xfId="0" applyFont="1" applyBorder="1" applyAlignment="1">
      <alignment horizontal="center" vertical="top" wrapText="1"/>
    </xf>
    <xf numFmtId="0" fontId="17" fillId="5" borderId="2" xfId="0" applyFont="1" applyFill="1" applyBorder="1" applyAlignment="1">
      <alignment horizontal="center" vertical="top"/>
    </xf>
    <xf numFmtId="0" fontId="17" fillId="5" borderId="3" xfId="0" applyFont="1" applyFill="1" applyBorder="1" applyAlignment="1">
      <alignment vertical="top"/>
    </xf>
    <xf numFmtId="0" fontId="17" fillId="5" borderId="3" xfId="0" applyFont="1" applyFill="1" applyBorder="1" applyAlignment="1">
      <alignment horizontal="center" vertical="top"/>
    </xf>
    <xf numFmtId="0" fontId="3" fillId="0" borderId="8" xfId="0" applyFont="1" applyBorder="1" applyAlignment="1">
      <alignment horizontal="center" vertical="top"/>
    </xf>
    <xf numFmtId="0" fontId="17" fillId="0" borderId="1" xfId="0" applyFont="1" applyBorder="1" applyAlignment="1">
      <alignment horizontal="center" vertical="top" wrapText="1"/>
    </xf>
    <xf numFmtId="0" fontId="17" fillId="0" borderId="1" xfId="0" applyFont="1" applyBorder="1" applyAlignment="1">
      <alignment vertical="top" wrapText="1"/>
    </xf>
    <xf numFmtId="0" fontId="17" fillId="0" borderId="5" xfId="0" applyFont="1" applyBorder="1" applyAlignment="1">
      <alignment horizontal="center" vertical="top" wrapText="1"/>
    </xf>
    <xf numFmtId="0" fontId="17" fillId="0" borderId="3" xfId="0" applyFont="1" applyBorder="1" applyAlignment="1">
      <alignment horizontal="center" vertical="top" wrapText="1"/>
    </xf>
    <xf numFmtId="0" fontId="17" fillId="5" borderId="5" xfId="0" applyFont="1" applyFill="1" applyBorder="1" applyAlignment="1">
      <alignment horizontal="center" vertical="top"/>
    </xf>
    <xf numFmtId="0" fontId="17" fillId="5" borderId="1" xfId="0" applyFont="1" applyFill="1" applyBorder="1" applyAlignment="1">
      <alignment vertical="top" wrapText="1"/>
    </xf>
    <xf numFmtId="0" fontId="17" fillId="5" borderId="6" xfId="0" applyFont="1" applyFill="1" applyBorder="1" applyAlignment="1">
      <alignment horizontal="center" vertical="top" wrapText="1"/>
    </xf>
    <xf numFmtId="0" fontId="41" fillId="5" borderId="6" xfId="0" applyFont="1" applyFill="1" applyBorder="1" applyAlignment="1">
      <alignment horizontal="center" vertical="top" wrapText="1"/>
    </xf>
    <xf numFmtId="0" fontId="41" fillId="5" borderId="4" xfId="0" applyFont="1" applyFill="1" applyBorder="1" applyAlignment="1">
      <alignment horizontal="center" vertical="top"/>
    </xf>
    <xf numFmtId="0" fontId="40" fillId="5" borderId="5" xfId="0" applyFont="1" applyFill="1" applyBorder="1" applyAlignment="1">
      <alignment horizontal="center" vertical="top"/>
    </xf>
    <xf numFmtId="0" fontId="41" fillId="5" borderId="2" xfId="0" applyFont="1" applyFill="1" applyBorder="1" applyAlignment="1">
      <alignment horizontal="center" vertical="top"/>
    </xf>
    <xf numFmtId="0" fontId="41" fillId="5" borderId="6" xfId="0" applyFont="1" applyFill="1" applyBorder="1" applyAlignment="1">
      <alignment horizontal="center" vertical="top"/>
    </xf>
    <xf numFmtId="0" fontId="41" fillId="5" borderId="3" xfId="0" applyFont="1" applyFill="1" applyBorder="1" applyAlignment="1">
      <alignment horizontal="center" vertical="top"/>
    </xf>
    <xf numFmtId="0" fontId="40" fillId="5" borderId="3" xfId="0" applyFont="1" applyFill="1" applyBorder="1" applyAlignment="1">
      <alignment horizontal="center" vertical="top"/>
    </xf>
    <xf numFmtId="0" fontId="2" fillId="0" borderId="11" xfId="0" applyFont="1" applyBorder="1" applyAlignment="1">
      <alignment vertical="top"/>
    </xf>
    <xf numFmtId="0" fontId="3" fillId="0" borderId="15" xfId="0" applyFont="1" applyBorder="1" applyAlignment="1">
      <alignment vertical="top"/>
    </xf>
    <xf numFmtId="0" fontId="3" fillId="0" borderId="12" xfId="0" applyFont="1" applyBorder="1" applyAlignment="1">
      <alignment vertical="top"/>
    </xf>
    <xf numFmtId="0" fontId="73" fillId="3" borderId="11" xfId="0" applyFont="1" applyFill="1" applyBorder="1" applyAlignment="1">
      <alignment horizontal="center" vertical="top" wrapText="1"/>
    </xf>
    <xf numFmtId="0" fontId="22" fillId="0" borderId="12" xfId="0" applyFont="1" applyBorder="1" applyAlignment="1">
      <alignment horizontal="center" vertical="top" wrapText="1"/>
    </xf>
    <xf numFmtId="0" fontId="73" fillId="3" borderId="4" xfId="0" applyFont="1" applyFill="1" applyBorder="1" applyAlignment="1">
      <alignment horizontal="center" vertical="top" wrapText="1"/>
    </xf>
    <xf numFmtId="0" fontId="73" fillId="3" borderId="8" xfId="0" applyFont="1" applyFill="1" applyBorder="1" applyAlignment="1">
      <alignment horizontal="center" vertical="top" wrapText="1"/>
    </xf>
    <xf numFmtId="0" fontId="73" fillId="3" borderId="5" xfId="0" applyFont="1" applyFill="1" applyBorder="1" applyAlignment="1">
      <alignment horizontal="center" vertical="top" wrapText="1"/>
    </xf>
    <xf numFmtId="0" fontId="73" fillId="3" borderId="1" xfId="0" applyFont="1" applyFill="1" applyBorder="1" applyAlignment="1">
      <alignment horizontal="center" vertical="top" wrapText="1"/>
    </xf>
    <xf numFmtId="0" fontId="41" fillId="8" borderId="2" xfId="0" applyFont="1" applyFill="1" applyBorder="1" applyAlignment="1">
      <alignment horizontal="center" vertical="top" wrapText="1"/>
    </xf>
    <xf numFmtId="0" fontId="41" fillId="8" borderId="6" xfId="0" applyFont="1" applyFill="1" applyBorder="1" applyAlignment="1">
      <alignment horizontal="center" vertical="top" wrapText="1"/>
    </xf>
    <xf numFmtId="0" fontId="41" fillId="8" borderId="3" xfId="0" applyFont="1" applyFill="1" applyBorder="1" applyAlignment="1">
      <alignment horizontal="center" vertical="top" wrapText="1"/>
    </xf>
    <xf numFmtId="0" fontId="30" fillId="3" borderId="3" xfId="0" applyFont="1" applyFill="1" applyBorder="1" applyAlignment="1">
      <alignment horizontal="center" vertical="top" wrapText="1"/>
    </xf>
    <xf numFmtId="0" fontId="3" fillId="8" borderId="2" xfId="0" applyFont="1" applyFill="1" applyBorder="1" applyAlignment="1" applyProtection="1">
      <alignment horizontal="center" vertical="top" wrapText="1"/>
      <protection locked="0"/>
    </xf>
    <xf numFmtId="0" fontId="3" fillId="8" borderId="6" xfId="0" applyFont="1" applyFill="1" applyBorder="1" applyAlignment="1" applyProtection="1">
      <alignment horizontal="center" vertical="top" wrapText="1"/>
      <protection locked="0"/>
    </xf>
    <xf numFmtId="0" fontId="3" fillId="8" borderId="3" xfId="0" applyFont="1" applyFill="1" applyBorder="1" applyAlignment="1" applyProtection="1">
      <alignment horizontal="center" vertical="top"/>
      <protection locked="0"/>
    </xf>
    <xf numFmtId="0" fontId="3" fillId="13" borderId="4" xfId="0" applyFont="1" applyFill="1" applyBorder="1" applyAlignment="1">
      <alignment vertical="top"/>
    </xf>
    <xf numFmtId="0" fontId="3" fillId="13" borderId="8" xfId="0" applyFont="1" applyFill="1" applyBorder="1" applyAlignment="1">
      <alignment vertical="top"/>
    </xf>
    <xf numFmtId="0" fontId="3" fillId="13" borderId="4" xfId="0" applyFont="1" applyFill="1" applyBorder="1" applyAlignment="1">
      <alignment vertical="top" wrapText="1"/>
    </xf>
    <xf numFmtId="0" fontId="3" fillId="13" borderId="8" xfId="0" applyFont="1" applyFill="1" applyBorder="1" applyAlignment="1">
      <alignment vertical="top" wrapText="1"/>
    </xf>
    <xf numFmtId="0" fontId="3" fillId="13" borderId="5" xfId="0" applyFont="1" applyFill="1" applyBorder="1" applyAlignment="1">
      <alignment vertical="top" wrapText="1"/>
    </xf>
    <xf numFmtId="0" fontId="3" fillId="13" borderId="1" xfId="0" applyFont="1" applyFill="1" applyBorder="1" applyAlignment="1">
      <alignment vertical="top" wrapText="1"/>
    </xf>
    <xf numFmtId="0" fontId="22" fillId="0" borderId="1" xfId="0" applyFont="1" applyBorder="1" applyAlignment="1">
      <alignment vertical="top" wrapText="1"/>
    </xf>
    <xf numFmtId="0" fontId="17" fillId="5" borderId="4" xfId="0" applyFont="1" applyFill="1" applyBorder="1" applyAlignment="1">
      <alignment vertical="top"/>
    </xf>
    <xf numFmtId="0" fontId="17" fillId="0" borderId="5" xfId="0" applyFont="1" applyBorder="1" applyAlignment="1">
      <alignment vertical="top"/>
    </xf>
    <xf numFmtId="0" fontId="39" fillId="5" borderId="1" xfId="0" applyFont="1" applyFill="1" applyBorder="1" applyAlignment="1">
      <alignment horizontal="center" vertical="top" wrapText="1"/>
    </xf>
    <xf numFmtId="0" fontId="17" fillId="5" borderId="1" xfId="0" applyFont="1" applyFill="1" applyBorder="1" applyAlignment="1" applyProtection="1">
      <alignment horizontal="center" vertical="top" wrapText="1"/>
      <protection hidden="1"/>
    </xf>
    <xf numFmtId="0" fontId="3" fillId="0" borderId="13" xfId="0" applyFont="1" applyBorder="1" applyAlignment="1">
      <alignment vertical="top" wrapText="1"/>
    </xf>
    <xf numFmtId="0" fontId="3" fillId="0" borderId="0" xfId="0" applyFont="1" applyAlignment="1">
      <alignment vertical="top" wrapText="1"/>
    </xf>
    <xf numFmtId="0" fontId="39" fillId="5" borderId="2" xfId="0" applyFont="1" applyFill="1" applyBorder="1" applyAlignment="1">
      <alignment horizontal="center" vertical="top" wrapText="1"/>
    </xf>
    <xf numFmtId="0" fontId="39" fillId="0" borderId="3" xfId="0" applyFont="1" applyBorder="1" applyAlignment="1">
      <alignment horizontal="center" vertical="top" wrapText="1"/>
    </xf>
    <xf numFmtId="0" fontId="22" fillId="5" borderId="1" xfId="0" applyFont="1" applyFill="1" applyBorder="1" applyAlignment="1">
      <alignment horizontal="center" vertical="top" wrapText="1"/>
    </xf>
    <xf numFmtId="0" fontId="22" fillId="5" borderId="1" xfId="0" applyFont="1" applyFill="1" applyBorder="1" applyAlignment="1" applyProtection="1">
      <alignment horizontal="center" vertical="top" wrapText="1"/>
      <protection hidden="1"/>
    </xf>
    <xf numFmtId="0" fontId="3" fillId="15" borderId="1" xfId="0" applyFont="1" applyFill="1" applyBorder="1"/>
    <xf numFmtId="0" fontId="3" fillId="0" borderId="1" xfId="0" applyFont="1" applyBorder="1"/>
    <xf numFmtId="0" fontId="3" fillId="0" borderId="4" xfId="0" applyFont="1" applyBorder="1"/>
    <xf numFmtId="0" fontId="3" fillId="15" borderId="1" xfId="0" applyFont="1" applyFill="1" applyBorder="1" applyAlignment="1">
      <alignment vertical="top"/>
    </xf>
    <xf numFmtId="0" fontId="3" fillId="0" borderId="1" xfId="0" applyFont="1" applyBorder="1" applyAlignment="1">
      <alignment vertical="top"/>
    </xf>
    <xf numFmtId="0" fontId="17" fillId="15" borderId="1" xfId="0" applyFont="1" applyFill="1" applyBorder="1" applyAlignment="1">
      <alignment horizontal="right" vertical="top"/>
    </xf>
    <xf numFmtId="0" fontId="3" fillId="15" borderId="2" xfId="0" applyFont="1" applyFill="1" applyBorder="1" applyAlignment="1">
      <alignment vertical="top"/>
    </xf>
    <xf numFmtId="0" fontId="3" fillId="15" borderId="6" xfId="0" applyFont="1" applyFill="1" applyBorder="1" applyAlignment="1">
      <alignment vertical="top"/>
    </xf>
    <xf numFmtId="0" fontId="3" fillId="15" borderId="3" xfId="0" applyFont="1" applyFill="1" applyBorder="1" applyAlignment="1">
      <alignment vertical="top"/>
    </xf>
    <xf numFmtId="0" fontId="38" fillId="0" borderId="1" xfId="0" applyFont="1" applyBorder="1"/>
    <xf numFmtId="0" fontId="73" fillId="18" borderId="14" xfId="0" applyFont="1" applyFill="1" applyBorder="1" applyAlignment="1">
      <alignment horizontal="center" vertical="top"/>
    </xf>
    <xf numFmtId="0" fontId="3" fillId="0" borderId="0" xfId="0" applyFont="1" applyAlignment="1">
      <alignment horizontal="center" vertical="top"/>
    </xf>
    <xf numFmtId="0" fontId="3" fillId="0" borderId="15" xfId="0" applyFont="1" applyBorder="1" applyAlignment="1">
      <alignment horizontal="center" vertical="top"/>
    </xf>
    <xf numFmtId="0" fontId="3" fillId="0" borderId="9" xfId="0" applyFont="1" applyBorder="1" applyAlignment="1">
      <alignment horizontal="center" vertical="top"/>
    </xf>
    <xf numFmtId="0" fontId="3" fillId="0" borderId="10" xfId="0" applyFont="1" applyBorder="1" applyAlignment="1">
      <alignment horizontal="center" vertical="top"/>
    </xf>
    <xf numFmtId="0" fontId="3" fillId="0" borderId="12" xfId="0" applyFont="1" applyBorder="1" applyAlignment="1">
      <alignment horizontal="center" vertical="top"/>
    </xf>
    <xf numFmtId="0" fontId="38" fillId="15" borderId="1" xfId="0" applyFont="1" applyFill="1" applyBorder="1"/>
    <xf numFmtId="0" fontId="73" fillId="18" borderId="2" xfId="0" applyFont="1" applyFill="1" applyBorder="1" applyAlignment="1">
      <alignment horizontal="center" vertical="top"/>
    </xf>
    <xf numFmtId="0" fontId="73" fillId="18" borderId="3" xfId="0" applyFont="1" applyFill="1" applyBorder="1" applyAlignment="1">
      <alignment horizontal="center" vertical="top"/>
    </xf>
    <xf numFmtId="0" fontId="3" fillId="15" borderId="8" xfId="0" applyFont="1" applyFill="1" applyBorder="1" applyAlignment="1">
      <alignment horizontal="center" vertical="top"/>
    </xf>
    <xf numFmtId="0" fontId="3" fillId="15" borderId="5" xfId="0" applyFont="1" applyFill="1" applyBorder="1" applyAlignment="1">
      <alignment horizontal="center" vertical="top"/>
    </xf>
    <xf numFmtId="0" fontId="73" fillId="18" borderId="7" xfId="0" applyFont="1" applyFill="1" applyBorder="1" applyAlignment="1">
      <alignment horizontal="center" vertical="top"/>
    </xf>
    <xf numFmtId="0" fontId="73" fillId="18" borderId="11" xfId="0" applyFont="1" applyFill="1" applyBorder="1" applyAlignment="1">
      <alignment horizontal="center" vertical="top"/>
    </xf>
    <xf numFmtId="0" fontId="73" fillId="18" borderId="9" xfId="0" applyFont="1" applyFill="1" applyBorder="1" applyAlignment="1">
      <alignment horizontal="center" vertical="top"/>
    </xf>
    <xf numFmtId="0" fontId="73" fillId="18" borderId="12" xfId="0" applyFont="1" applyFill="1" applyBorder="1" applyAlignment="1">
      <alignment horizontal="center" vertical="top"/>
    </xf>
    <xf numFmtId="0" fontId="17" fillId="0" borderId="1" xfId="0" applyFont="1" applyBorder="1" applyAlignment="1">
      <alignment horizontal="right" vertical="top"/>
    </xf>
    <xf numFmtId="0" fontId="39" fillId="15" borderId="1" xfId="0" applyFont="1" applyFill="1" applyBorder="1" applyAlignment="1">
      <alignment horizontal="right" vertical="top"/>
    </xf>
    <xf numFmtId="4" fontId="3" fillId="0" borderId="1" xfId="0" applyNumberFormat="1" applyFont="1" applyBorder="1" applyAlignment="1">
      <alignment horizontal="center" vertical="top"/>
    </xf>
    <xf numFmtId="4" fontId="3" fillId="15" borderId="1" xfId="0" applyNumberFormat="1" applyFont="1" applyFill="1" applyBorder="1" applyAlignment="1">
      <alignment horizontal="center" vertical="top"/>
    </xf>
    <xf numFmtId="0" fontId="20" fillId="18" borderId="0" xfId="0" applyFont="1" applyFill="1" applyAlignment="1">
      <alignment vertical="top"/>
    </xf>
    <xf numFmtId="0" fontId="73" fillId="18" borderId="1" xfId="0" applyFont="1" applyFill="1" applyBorder="1" applyAlignment="1">
      <alignment horizontal="center" vertical="top"/>
    </xf>
    <xf numFmtId="0" fontId="3" fillId="0" borderId="1" xfId="0" applyFont="1" applyBorder="1" applyAlignment="1">
      <alignment horizontal="left" vertical="top"/>
    </xf>
    <xf numFmtId="0" fontId="3" fillId="15" borderId="1" xfId="0" applyFont="1" applyFill="1" applyBorder="1" applyAlignment="1">
      <alignment horizontal="left" vertical="top"/>
    </xf>
    <xf numFmtId="0" fontId="3" fillId="15" borderId="4" xfId="0" applyFont="1" applyFill="1" applyBorder="1" applyAlignment="1">
      <alignment vertical="top"/>
    </xf>
    <xf numFmtId="0" fontId="0" fillId="0" borderId="5" xfId="0" applyBorder="1" applyAlignment="1">
      <alignment vertical="top"/>
    </xf>
    <xf numFmtId="4" fontId="3" fillId="15" borderId="1" xfId="0" quotePrefix="1" applyNumberFormat="1" applyFont="1" applyFill="1" applyBorder="1" applyAlignment="1">
      <alignment horizontal="center" vertical="top"/>
    </xf>
    <xf numFmtId="0" fontId="39" fillId="0" borderId="1" xfId="0" applyFont="1" applyBorder="1" applyAlignment="1">
      <alignment horizontal="right" vertical="top"/>
    </xf>
    <xf numFmtId="0" fontId="20" fillId="18" borderId="0" xfId="0" applyFont="1" applyFill="1" applyAlignment="1">
      <alignment horizontal="left" wrapText="1"/>
    </xf>
    <xf numFmtId="0" fontId="3" fillId="18" borderId="0" xfId="0" applyFont="1" applyFill="1" applyAlignment="1">
      <alignment wrapText="1"/>
    </xf>
    <xf numFmtId="0" fontId="30" fillId="18" borderId="4" xfId="0" applyFont="1" applyFill="1" applyBorder="1" applyAlignment="1">
      <alignment horizontal="center" vertical="top"/>
    </xf>
    <xf numFmtId="0" fontId="30" fillId="18" borderId="8" xfId="0" applyFont="1" applyFill="1" applyBorder="1" applyAlignment="1">
      <alignment horizontal="center" vertical="top"/>
    </xf>
    <xf numFmtId="0" fontId="30" fillId="18" borderId="5" xfId="0" applyFont="1" applyFill="1" applyBorder="1" applyAlignment="1">
      <alignment horizontal="center" vertical="top"/>
    </xf>
    <xf numFmtId="0" fontId="30" fillId="18" borderId="2" xfId="0" applyFont="1" applyFill="1" applyBorder="1" applyAlignment="1">
      <alignment vertical="top"/>
    </xf>
    <xf numFmtId="0" fontId="32" fillId="18" borderId="6" xfId="0" applyFont="1" applyFill="1" applyBorder="1" applyAlignment="1">
      <alignment vertical="top"/>
    </xf>
    <xf numFmtId="0" fontId="32" fillId="18" borderId="3" xfId="0" applyFont="1" applyFill="1" applyBorder="1" applyAlignment="1">
      <alignment vertical="top"/>
    </xf>
    <xf numFmtId="0" fontId="30" fillId="18" borderId="6" xfId="0" applyFont="1" applyFill="1" applyBorder="1" applyAlignment="1">
      <alignment horizontal="center" vertical="top"/>
    </xf>
    <xf numFmtId="0" fontId="21" fillId="18" borderId="8" xfId="0" applyFont="1" applyFill="1" applyBorder="1" applyAlignment="1">
      <alignment vertical="top"/>
    </xf>
    <xf numFmtId="0" fontId="21" fillId="18" borderId="5" xfId="0" applyFont="1" applyFill="1" applyBorder="1" applyAlignment="1">
      <alignment vertical="top"/>
    </xf>
    <xf numFmtId="0" fontId="30" fillId="18" borderId="2" xfId="0" applyFont="1" applyFill="1" applyBorder="1" applyAlignment="1">
      <alignment horizontal="center" vertical="top"/>
    </xf>
    <xf numFmtId="0" fontId="32" fillId="18" borderId="3" xfId="0" applyFont="1" applyFill="1" applyBorder="1" applyAlignment="1">
      <alignment horizontal="center" vertical="top"/>
    </xf>
    <xf numFmtId="0" fontId="30" fillId="18" borderId="9" xfId="0" applyFont="1" applyFill="1" applyBorder="1" applyAlignment="1">
      <alignment horizontal="center" vertical="top"/>
    </xf>
    <xf numFmtId="0" fontId="21" fillId="18" borderId="10" xfId="0" applyFont="1" applyFill="1" applyBorder="1" applyAlignment="1">
      <alignment vertical="top"/>
    </xf>
    <xf numFmtId="0" fontId="32" fillId="18" borderId="6" xfId="0" applyFont="1" applyFill="1" applyBorder="1" applyAlignment="1">
      <alignment horizontal="center" vertical="top"/>
    </xf>
    <xf numFmtId="4" fontId="30" fillId="18" borderId="2" xfId="0" applyNumberFormat="1" applyFont="1" applyFill="1" applyBorder="1" applyAlignment="1">
      <alignment horizontal="center" vertical="top"/>
    </xf>
    <xf numFmtId="0" fontId="32" fillId="18" borderId="8" xfId="0" applyFont="1" applyFill="1" applyBorder="1" applyAlignment="1">
      <alignment horizontal="center" vertical="top"/>
    </xf>
    <xf numFmtId="0" fontId="32" fillId="18" borderId="5" xfId="0" applyFont="1" applyFill="1" applyBorder="1" applyAlignment="1">
      <alignment horizontal="center" vertical="top"/>
    </xf>
    <xf numFmtId="0" fontId="30" fillId="18" borderId="1" xfId="0" applyFont="1" applyFill="1" applyBorder="1" applyAlignment="1">
      <alignment horizontal="center" vertical="top"/>
    </xf>
    <xf numFmtId="0" fontId="30" fillId="18" borderId="4" xfId="0" applyFont="1" applyFill="1" applyBorder="1" applyAlignment="1">
      <alignment horizontal="center" vertical="top" wrapText="1"/>
    </xf>
    <xf numFmtId="0" fontId="30" fillId="18" borderId="10" xfId="0" applyFont="1" applyFill="1" applyBorder="1" applyAlignment="1">
      <alignment horizontal="center" vertical="top"/>
    </xf>
    <xf numFmtId="0" fontId="30" fillId="18" borderId="12" xfId="0" applyFont="1" applyFill="1" applyBorder="1" applyAlignment="1">
      <alignment horizontal="center" vertical="top"/>
    </xf>
    <xf numFmtId="0" fontId="17" fillId="15" borderId="1" xfId="0" applyFont="1" applyFill="1" applyBorder="1" applyAlignment="1">
      <alignment horizontal="left" vertical="top"/>
    </xf>
    <xf numFmtId="0" fontId="30" fillId="18" borderId="3" xfId="0" applyFont="1" applyFill="1" applyBorder="1" applyAlignment="1">
      <alignment horizontal="center" vertical="top"/>
    </xf>
    <xf numFmtId="0" fontId="3" fillId="0" borderId="5" xfId="0" applyFont="1" applyBorder="1" applyAlignment="1" applyProtection="1">
      <alignment horizontal="center" vertical="top"/>
      <protection locked="0"/>
    </xf>
    <xf numFmtId="0" fontId="29" fillId="0" borderId="0" xfId="0" applyFont="1" applyAlignment="1">
      <alignment horizontal="left" vertical="top"/>
    </xf>
    <xf numFmtId="0" fontId="32" fillId="18" borderId="10" xfId="0" applyFont="1" applyFill="1" applyBorder="1" applyAlignment="1">
      <alignment vertical="top"/>
    </xf>
    <xf numFmtId="0" fontId="32" fillId="18" borderId="8" xfId="0" applyFont="1" applyFill="1" applyBorder="1" applyAlignment="1">
      <alignment vertical="top"/>
    </xf>
    <xf numFmtId="0" fontId="30" fillId="18" borderId="7" xfId="0" applyFont="1" applyFill="1" applyBorder="1" applyAlignment="1">
      <alignment horizontal="center" vertical="top"/>
    </xf>
    <xf numFmtId="0" fontId="30" fillId="18" borderId="11" xfId="0" applyFont="1" applyFill="1" applyBorder="1" applyAlignment="1">
      <alignment horizontal="center" vertical="top"/>
    </xf>
    <xf numFmtId="171" fontId="17" fillId="15" borderId="4" xfId="0" applyNumberFormat="1" applyFont="1" applyFill="1" applyBorder="1" applyAlignment="1">
      <alignment horizontal="right" vertical="top"/>
    </xf>
    <xf numFmtId="171" fontId="17" fillId="15" borderId="5" xfId="0" applyNumberFormat="1" applyFont="1" applyFill="1" applyBorder="1" applyAlignment="1">
      <alignment horizontal="right" vertical="top"/>
    </xf>
    <xf numFmtId="171" fontId="17" fillId="0" borderId="4" xfId="0" applyNumberFormat="1" applyFont="1" applyBorder="1" applyAlignment="1">
      <alignment horizontal="right" vertical="top"/>
    </xf>
    <xf numFmtId="171" fontId="17" fillId="0" borderId="5" xfId="0" applyNumberFormat="1" applyFont="1" applyBorder="1" applyAlignment="1">
      <alignment horizontal="right" vertical="top"/>
    </xf>
    <xf numFmtId="0" fontId="17" fillId="15" borderId="1" xfId="0" applyFont="1" applyFill="1" applyBorder="1" applyAlignment="1">
      <alignment horizontal="center" vertical="top"/>
    </xf>
    <xf numFmtId="170" fontId="30" fillId="18" borderId="7" xfId="0" applyNumberFormat="1" applyFont="1" applyFill="1" applyBorder="1" applyAlignment="1">
      <alignment horizontal="center" vertical="top" wrapText="1"/>
    </xf>
    <xf numFmtId="0" fontId="32" fillId="18" borderId="11" xfId="0" applyFont="1" applyFill="1" applyBorder="1" applyAlignment="1">
      <alignment horizontal="center" vertical="top" wrapText="1"/>
    </xf>
    <xf numFmtId="0" fontId="32" fillId="18" borderId="9" xfId="0" applyFont="1" applyFill="1" applyBorder="1" applyAlignment="1">
      <alignment horizontal="center" vertical="top" wrapText="1"/>
    </xf>
    <xf numFmtId="0" fontId="32" fillId="18" borderId="12" xfId="0" applyFont="1" applyFill="1" applyBorder="1" applyAlignment="1">
      <alignment horizontal="center" vertical="top" wrapText="1"/>
    </xf>
    <xf numFmtId="0" fontId="0" fillId="0" borderId="5" xfId="0" applyBorder="1" applyAlignment="1">
      <alignment horizontal="right" vertical="top"/>
    </xf>
    <xf numFmtId="0" fontId="32" fillId="18" borderId="5" xfId="0" applyFont="1" applyFill="1" applyBorder="1" applyAlignment="1">
      <alignment horizontal="center" vertical="top" wrapText="1"/>
    </xf>
    <xf numFmtId="169" fontId="3" fillId="0" borderId="4" xfId="0" applyNumberFormat="1" applyFont="1" applyBorder="1" applyAlignment="1">
      <alignment horizontal="right" vertical="top"/>
    </xf>
    <xf numFmtId="0" fontId="3" fillId="0" borderId="5" xfId="0" applyFont="1" applyBorder="1" applyAlignment="1">
      <alignment horizontal="right" vertical="top"/>
    </xf>
    <xf numFmtId="0" fontId="39" fillId="0" borderId="4" xfId="0" applyFont="1" applyBorder="1"/>
    <xf numFmtId="0" fontId="39" fillId="0" borderId="8" xfId="0" applyFont="1" applyBorder="1"/>
    <xf numFmtId="0" fontId="39" fillId="0" borderId="5" xfId="0" applyFont="1" applyBorder="1"/>
    <xf numFmtId="0" fontId="39" fillId="0" borderId="2" xfId="0" applyFont="1" applyBorder="1" applyAlignment="1">
      <alignment horizontal="center" vertical="top"/>
    </xf>
    <xf numFmtId="0" fontId="40" fillId="0" borderId="6" xfId="0" applyFont="1" applyBorder="1" applyAlignment="1">
      <alignment horizontal="center" vertical="top"/>
    </xf>
    <xf numFmtId="0" fontId="40" fillId="0" borderId="3" xfId="0" applyFont="1" applyBorder="1" applyAlignment="1">
      <alignment horizontal="center" vertical="top"/>
    </xf>
    <xf numFmtId="0" fontId="3" fillId="0" borderId="4" xfId="0" applyFont="1" applyBorder="1" applyAlignment="1">
      <alignment horizontal="right" vertical="top"/>
    </xf>
    <xf numFmtId="0" fontId="30" fillId="18" borderId="1" xfId="0" applyFont="1" applyFill="1" applyBorder="1" applyAlignment="1">
      <alignment horizontal="center" vertical="top" wrapText="1"/>
    </xf>
    <xf numFmtId="0" fontId="32" fillId="18" borderId="1" xfId="0" applyFont="1" applyFill="1" applyBorder="1" applyAlignment="1">
      <alignment horizontal="center" vertical="top" wrapText="1"/>
    </xf>
    <xf numFmtId="170" fontId="30" fillId="18" borderId="1" xfId="0" applyNumberFormat="1" applyFont="1" applyFill="1" applyBorder="1" applyAlignment="1">
      <alignment horizontal="center" vertical="top" wrapText="1"/>
    </xf>
    <xf numFmtId="170" fontId="30" fillId="18" borderId="9" xfId="0" applyNumberFormat="1" applyFont="1" applyFill="1" applyBorder="1" applyAlignment="1">
      <alignment horizontal="center" vertical="top" wrapText="1"/>
    </xf>
    <xf numFmtId="10" fontId="17" fillId="15" borderId="2" xfId="0" applyNumberFormat="1" applyFont="1" applyFill="1" applyBorder="1" applyAlignment="1">
      <alignment horizontal="center" vertical="top"/>
    </xf>
    <xf numFmtId="0" fontId="17" fillId="15" borderId="6" xfId="0" applyFont="1" applyFill="1" applyBorder="1" applyAlignment="1">
      <alignment horizontal="center" vertical="top"/>
    </xf>
    <xf numFmtId="0" fontId="17" fillId="15" borderId="3" xfId="0" applyFont="1" applyFill="1" applyBorder="1" applyAlignment="1">
      <alignment horizontal="center" vertical="top"/>
    </xf>
    <xf numFmtId="0" fontId="17" fillId="15" borderId="2" xfId="0" applyFont="1" applyFill="1" applyBorder="1" applyAlignment="1">
      <alignment horizontal="center" vertical="top"/>
    </xf>
    <xf numFmtId="170" fontId="30" fillId="18" borderId="11" xfId="0" applyNumberFormat="1" applyFont="1" applyFill="1" applyBorder="1" applyAlignment="1">
      <alignment horizontal="center" vertical="top" wrapText="1"/>
    </xf>
    <xf numFmtId="170" fontId="30" fillId="18" borderId="12" xfId="0" applyNumberFormat="1" applyFont="1" applyFill="1" applyBorder="1" applyAlignment="1">
      <alignment horizontal="center" vertical="top" wrapText="1"/>
    </xf>
    <xf numFmtId="0" fontId="29" fillId="0" borderId="0" xfId="0" applyFont="1" applyAlignment="1">
      <alignment horizontal="left"/>
    </xf>
    <xf numFmtId="0" fontId="39" fillId="15" borderId="2" xfId="0" applyFont="1" applyFill="1" applyBorder="1" applyAlignment="1">
      <alignment horizontal="center" vertical="top"/>
    </xf>
    <xf numFmtId="0" fontId="40" fillId="15" borderId="6" xfId="0" applyFont="1" applyFill="1" applyBorder="1" applyAlignment="1">
      <alignment horizontal="center" vertical="top"/>
    </xf>
    <xf numFmtId="0" fontId="40" fillId="15" borderId="3" xfId="0" applyFont="1" applyFill="1" applyBorder="1" applyAlignment="1">
      <alignment horizontal="center" vertical="top"/>
    </xf>
    <xf numFmtId="0" fontId="30" fillId="18" borderId="5" xfId="0" applyFont="1" applyFill="1" applyBorder="1" applyAlignment="1">
      <alignment horizontal="center" vertical="top" wrapText="1"/>
    </xf>
    <xf numFmtId="0" fontId="29" fillId="24" borderId="0" xfId="0" applyFont="1" applyFill="1" applyAlignment="1">
      <alignment horizontal="left"/>
    </xf>
    <xf numFmtId="0" fontId="30" fillId="18" borderId="1" xfId="0" applyFont="1" applyFill="1" applyBorder="1" applyAlignment="1">
      <alignment horizontal="center" vertical="center"/>
    </xf>
    <xf numFmtId="0" fontId="32" fillId="18" borderId="1" xfId="0" applyFont="1" applyFill="1" applyBorder="1" applyAlignment="1">
      <alignment horizontal="center" vertical="center"/>
    </xf>
    <xf numFmtId="0" fontId="30" fillId="18" borderId="1" xfId="0" applyFont="1" applyFill="1" applyBorder="1" applyAlignment="1">
      <alignment horizontal="center" vertical="center" wrapText="1"/>
    </xf>
    <xf numFmtId="0" fontId="32" fillId="18" borderId="1" xfId="0" applyFont="1" applyFill="1" applyBorder="1" applyAlignment="1">
      <alignment horizontal="center" vertical="center" wrapText="1"/>
    </xf>
    <xf numFmtId="169" fontId="3" fillId="0" borderId="5" xfId="0" applyNumberFormat="1" applyFont="1" applyBorder="1" applyAlignment="1">
      <alignment horizontal="right" vertical="top"/>
    </xf>
    <xf numFmtId="0" fontId="30" fillId="25" borderId="4" xfId="0" applyFont="1" applyFill="1" applyBorder="1" applyAlignment="1">
      <alignment horizontal="center" vertical="top"/>
    </xf>
    <xf numFmtId="0" fontId="3" fillId="0" borderId="8" xfId="0" applyFont="1" applyBorder="1" applyAlignment="1">
      <alignment horizontal="center"/>
    </xf>
    <xf numFmtId="0" fontId="3" fillId="0" borderId="5" xfId="0" applyFont="1" applyBorder="1" applyAlignment="1">
      <alignment horizontal="center"/>
    </xf>
    <xf numFmtId="0" fontId="3" fillId="18" borderId="8" xfId="0" applyFont="1" applyFill="1" applyBorder="1" applyAlignment="1">
      <alignment horizontal="center" vertical="top"/>
    </xf>
    <xf numFmtId="0" fontId="3" fillId="18" borderId="5" xfId="0" applyFont="1" applyFill="1" applyBorder="1" applyAlignment="1">
      <alignment horizontal="center" vertical="top"/>
    </xf>
    <xf numFmtId="0" fontId="30" fillId="18" borderId="2" xfId="0" applyFont="1" applyFill="1" applyBorder="1" applyAlignment="1">
      <alignment horizontal="center" vertical="center"/>
    </xf>
    <xf numFmtId="0" fontId="30" fillId="18" borderId="6" xfId="0" applyFont="1" applyFill="1" applyBorder="1" applyAlignment="1">
      <alignment horizontal="center" vertical="center"/>
    </xf>
    <xf numFmtId="0" fontId="32" fillId="18" borderId="3" xfId="0" applyFont="1" applyFill="1" applyBorder="1" applyAlignment="1">
      <alignment horizontal="center" vertical="center"/>
    </xf>
    <xf numFmtId="0" fontId="39" fillId="15" borderId="4" xfId="0" applyFont="1" applyFill="1" applyBorder="1"/>
    <xf numFmtId="0" fontId="39" fillId="15" borderId="8" xfId="0" applyFont="1" applyFill="1" applyBorder="1"/>
    <xf numFmtId="0" fontId="39" fillId="15" borderId="5" xfId="0" applyFont="1" applyFill="1" applyBorder="1"/>
    <xf numFmtId="0" fontId="32" fillId="18" borderId="6" xfId="0" applyFont="1" applyFill="1" applyBorder="1" applyAlignment="1">
      <alignment horizontal="center" vertical="center"/>
    </xf>
    <xf numFmtId="0" fontId="40" fillId="0" borderId="4" xfId="0" applyFont="1" applyBorder="1" applyAlignment="1">
      <alignment horizontal="left" vertical="top"/>
    </xf>
    <xf numFmtId="0" fontId="40" fillId="0" borderId="8" xfId="0" applyFont="1" applyBorder="1" applyAlignment="1">
      <alignment horizontal="left" vertical="top"/>
    </xf>
    <xf numFmtId="0" fontId="40" fillId="0" borderId="5" xfId="0" applyFont="1" applyBorder="1" applyAlignment="1">
      <alignment horizontal="left" vertical="top"/>
    </xf>
    <xf numFmtId="0" fontId="40" fillId="15" borderId="4" xfId="0" applyFont="1" applyFill="1" applyBorder="1" applyAlignment="1">
      <alignment horizontal="left" vertical="top"/>
    </xf>
    <xf numFmtId="0" fontId="40" fillId="15" borderId="8" xfId="0" applyFont="1" applyFill="1" applyBorder="1" applyAlignment="1">
      <alignment horizontal="left" vertical="top"/>
    </xf>
    <xf numFmtId="0" fontId="40" fillId="15" borderId="5" xfId="0" applyFont="1" applyFill="1" applyBorder="1" applyAlignment="1">
      <alignment horizontal="left" vertical="top"/>
    </xf>
    <xf numFmtId="0" fontId="3" fillId="0" borderId="0" xfId="0" applyFont="1" applyAlignment="1">
      <alignment horizontal="center"/>
    </xf>
    <xf numFmtId="0" fontId="30" fillId="14" borderId="4" xfId="0" applyFont="1" applyFill="1" applyBorder="1"/>
    <xf numFmtId="0" fontId="30" fillId="14" borderId="8" xfId="0" applyFont="1" applyFill="1" applyBorder="1"/>
    <xf numFmtId="0" fontId="37" fillId="14" borderId="8" xfId="0" applyFont="1" applyFill="1" applyBorder="1"/>
    <xf numFmtId="0" fontId="37" fillId="14" borderId="5" xfId="0" applyFont="1" applyFill="1" applyBorder="1"/>
    <xf numFmtId="0" fontId="30" fillId="14" borderId="4" xfId="0" applyFont="1" applyFill="1" applyBorder="1" applyAlignment="1">
      <alignment horizontal="center"/>
    </xf>
    <xf numFmtId="0" fontId="30" fillId="14" borderId="8" xfId="0" applyFont="1" applyFill="1" applyBorder="1" applyAlignment="1">
      <alignment horizontal="center"/>
    </xf>
    <xf numFmtId="0" fontId="30" fillId="14" borderId="5" xfId="0" applyFont="1" applyFill="1" applyBorder="1" applyAlignment="1">
      <alignment horizontal="center"/>
    </xf>
    <xf numFmtId="0" fontId="37" fillId="14" borderId="1" xfId="0" applyFont="1" applyFill="1" applyBorder="1" applyAlignment="1">
      <alignment horizontal="center" vertical="center"/>
    </xf>
    <xf numFmtId="0" fontId="37" fillId="14" borderId="1" xfId="0" applyFont="1" applyFill="1" applyBorder="1" applyAlignment="1">
      <alignment horizontal="center"/>
    </xf>
    <xf numFmtId="0" fontId="27" fillId="14" borderId="10" xfId="0" applyFont="1" applyFill="1" applyBorder="1" applyAlignment="1">
      <alignment horizontal="left"/>
    </xf>
    <xf numFmtId="0" fontId="30" fillId="14" borderId="1" xfId="0" applyFont="1" applyFill="1" applyBorder="1" applyAlignment="1">
      <alignment horizontal="center" vertical="center"/>
    </xf>
    <xf numFmtId="0" fontId="30" fillId="14" borderId="1" xfId="0" applyFont="1" applyFill="1" applyBorder="1" applyAlignment="1">
      <alignment horizontal="center"/>
    </xf>
    <xf numFmtId="0" fontId="41" fillId="14" borderId="4" xfId="0" applyFont="1" applyFill="1" applyBorder="1"/>
    <xf numFmtId="0" fontId="41" fillId="14" borderId="8" xfId="0" applyFont="1" applyFill="1" applyBorder="1"/>
    <xf numFmtId="0" fontId="41" fillId="14" borderId="5" xfId="0" applyFont="1" applyFill="1" applyBorder="1"/>
    <xf numFmtId="0" fontId="32" fillId="14" borderId="2" xfId="0" applyFont="1" applyFill="1" applyBorder="1" applyAlignment="1">
      <alignment horizontal="center"/>
    </xf>
    <xf numFmtId="0" fontId="32" fillId="14" borderId="3" xfId="0" applyFont="1" applyFill="1" applyBorder="1" applyAlignment="1">
      <alignment horizontal="center"/>
    </xf>
    <xf numFmtId="0" fontId="30" fillId="14" borderId="1" xfId="0" applyFont="1" applyFill="1" applyBorder="1" applyAlignment="1">
      <alignment horizontal="center" vertical="top" wrapText="1"/>
    </xf>
    <xf numFmtId="0" fontId="32" fillId="14" borderId="1" xfId="0" applyFont="1" applyFill="1" applyBorder="1" applyAlignment="1">
      <alignment horizontal="center" vertical="top" wrapText="1"/>
    </xf>
    <xf numFmtId="0" fontId="30" fillId="14" borderId="1" xfId="0" applyFont="1" applyFill="1" applyBorder="1" applyAlignment="1">
      <alignment horizontal="left" vertical="center"/>
    </xf>
    <xf numFmtId="0" fontId="30" fillId="14" borderId="3" xfId="0" applyFont="1" applyFill="1" applyBorder="1" applyAlignment="1">
      <alignment horizontal="center" vertical="center"/>
    </xf>
    <xf numFmtId="0" fontId="30" fillId="14" borderId="1" xfId="0" applyFont="1" applyFill="1" applyBorder="1" applyAlignment="1">
      <alignment horizontal="center" vertical="top"/>
    </xf>
    <xf numFmtId="0" fontId="30" fillId="14" borderId="4" xfId="0" applyFont="1" applyFill="1" applyBorder="1" applyAlignment="1">
      <alignment horizontal="center" vertical="top"/>
    </xf>
    <xf numFmtId="0" fontId="32" fillId="14" borderId="8" xfId="0" applyFont="1" applyFill="1" applyBorder="1" applyAlignment="1">
      <alignment horizontal="center" vertical="top"/>
    </xf>
    <xf numFmtId="0" fontId="32" fillId="14" borderId="5" xfId="0" applyFont="1" applyFill="1" applyBorder="1" applyAlignment="1">
      <alignment horizontal="center" vertical="top"/>
    </xf>
    <xf numFmtId="0" fontId="29" fillId="14" borderId="9" xfId="0" applyFont="1" applyFill="1" applyBorder="1" applyAlignment="1">
      <alignment horizontal="left" vertical="top"/>
    </xf>
    <xf numFmtId="0" fontId="29" fillId="14" borderId="10" xfId="0" applyFont="1" applyFill="1" applyBorder="1" applyAlignment="1">
      <alignment horizontal="left" vertical="top"/>
    </xf>
    <xf numFmtId="0" fontId="39" fillId="2" borderId="2" xfId="0" applyFont="1" applyFill="1" applyBorder="1" applyAlignment="1">
      <alignment horizontal="center" vertical="top"/>
    </xf>
    <xf numFmtId="0" fontId="4" fillId="0" borderId="3" xfId="0" applyFont="1" applyBorder="1" applyAlignment="1">
      <alignment horizontal="center" vertical="top"/>
    </xf>
    <xf numFmtId="0" fontId="39" fillId="2" borderId="1" xfId="0" applyFont="1" applyFill="1" applyBorder="1" applyAlignment="1">
      <alignment horizontal="center"/>
    </xf>
    <xf numFmtId="0" fontId="30" fillId="14" borderId="2" xfId="0" applyFont="1" applyFill="1" applyBorder="1" applyAlignment="1">
      <alignment horizontal="center" vertical="top" wrapText="1"/>
    </xf>
    <xf numFmtId="0" fontId="32" fillId="14" borderId="3" xfId="0" applyFont="1" applyFill="1" applyBorder="1" applyAlignment="1">
      <alignment horizontal="center" vertical="top" wrapText="1"/>
    </xf>
    <xf numFmtId="0" fontId="30" fillId="14" borderId="5" xfId="0" applyFont="1" applyFill="1" applyBorder="1" applyAlignment="1">
      <alignment horizontal="center" vertical="top"/>
    </xf>
    <xf numFmtId="0" fontId="39" fillId="0" borderId="0" xfId="0" applyFont="1" applyAlignment="1">
      <alignment horizontal="center" vertical="top"/>
    </xf>
    <xf numFmtId="0" fontId="39" fillId="0" borderId="0" xfId="0" applyFont="1" applyAlignment="1">
      <alignment horizontal="center"/>
    </xf>
    <xf numFmtId="0" fontId="30" fillId="14" borderId="8" xfId="0" applyFont="1" applyFill="1" applyBorder="1" applyAlignment="1">
      <alignment horizontal="center" vertical="top"/>
    </xf>
    <xf numFmtId="0" fontId="20" fillId="14" borderId="0" xfId="0" applyFont="1" applyFill="1" applyAlignment="1">
      <alignment horizontal="left"/>
    </xf>
    <xf numFmtId="0" fontId="30" fillId="26" borderId="4" xfId="0" applyFont="1" applyFill="1" applyBorder="1" applyAlignment="1">
      <alignment horizontal="center" vertical="top" wrapText="1"/>
    </xf>
    <xf numFmtId="0" fontId="30" fillId="26" borderId="8" xfId="0" applyFont="1" applyFill="1" applyBorder="1" applyAlignment="1">
      <alignment horizontal="center" vertical="top" wrapText="1"/>
    </xf>
    <xf numFmtId="0" fontId="30" fillId="26" borderId="5" xfId="0" applyFont="1" applyFill="1" applyBorder="1" applyAlignment="1">
      <alignment horizontal="center" vertical="top" wrapText="1"/>
    </xf>
    <xf numFmtId="2" fontId="30" fillId="26" borderId="4" xfId="0" applyNumberFormat="1" applyFont="1" applyFill="1" applyBorder="1" applyAlignment="1">
      <alignment horizontal="center" vertical="top" wrapText="1"/>
    </xf>
    <xf numFmtId="0" fontId="30" fillId="26" borderId="5" xfId="0" applyFont="1" applyFill="1" applyBorder="1" applyAlignment="1">
      <alignment vertical="top" wrapText="1"/>
    </xf>
    <xf numFmtId="2" fontId="30" fillId="26" borderId="2" xfId="0" applyNumberFormat="1" applyFont="1" applyFill="1" applyBorder="1" applyAlignment="1">
      <alignment horizontal="center" vertical="top"/>
    </xf>
    <xf numFmtId="0" fontId="30" fillId="26" borderId="3" xfId="0" applyFont="1" applyFill="1" applyBorder="1" applyAlignment="1">
      <alignment horizontal="center" vertical="top"/>
    </xf>
    <xf numFmtId="0" fontId="30" fillId="26" borderId="2" xfId="0" applyFont="1" applyFill="1" applyBorder="1" applyAlignment="1">
      <alignment horizontal="center" vertical="top"/>
    </xf>
    <xf numFmtId="0" fontId="28" fillId="26" borderId="1" xfId="0" applyFont="1" applyFill="1" applyBorder="1" applyAlignment="1">
      <alignment horizontal="left"/>
    </xf>
    <xf numFmtId="0" fontId="30" fillId="26" borderId="4" xfId="0" applyFont="1" applyFill="1" applyBorder="1" applyAlignment="1">
      <alignment horizontal="center" vertical="top"/>
    </xf>
    <xf numFmtId="0" fontId="30" fillId="26" borderId="5" xfId="0" applyFont="1" applyFill="1" applyBorder="1" applyAlignment="1">
      <alignment horizontal="center" vertical="top"/>
    </xf>
    <xf numFmtId="0" fontId="30" fillId="26" borderId="4" xfId="0" applyFont="1" applyFill="1" applyBorder="1" applyAlignment="1">
      <alignment horizontal="center"/>
    </xf>
    <xf numFmtId="0" fontId="30" fillId="26" borderId="5" xfId="0" applyFont="1" applyFill="1" applyBorder="1" applyAlignment="1">
      <alignment horizontal="center"/>
    </xf>
    <xf numFmtId="0" fontId="28" fillId="26" borderId="1" xfId="0" applyFont="1" applyFill="1" applyBorder="1" applyAlignment="1">
      <alignment horizontal="left" vertical="top"/>
    </xf>
    <xf numFmtId="0" fontId="20" fillId="26" borderId="1" xfId="0" applyFont="1" applyFill="1" applyBorder="1" applyAlignment="1">
      <alignment horizontal="left" vertical="top"/>
    </xf>
    <xf numFmtId="0" fontId="28" fillId="26" borderId="14" xfId="0" applyFont="1" applyFill="1" applyBorder="1" applyAlignment="1">
      <alignment vertical="top"/>
    </xf>
    <xf numFmtId="0" fontId="18" fillId="26" borderId="0" xfId="0" applyFont="1" applyFill="1" applyAlignment="1">
      <alignment vertical="top"/>
    </xf>
    <xf numFmtId="0" fontId="37" fillId="28" borderId="0" xfId="0" applyFont="1" applyFill="1" applyAlignment="1">
      <alignment vertical="top"/>
    </xf>
    <xf numFmtId="0" fontId="28" fillId="26" borderId="0" xfId="0" applyFont="1" applyFill="1" applyAlignment="1">
      <alignment vertical="top"/>
    </xf>
    <xf numFmtId="0" fontId="21" fillId="0" borderId="0" xfId="0" applyFont="1" applyAlignment="1">
      <alignment vertical="top" wrapText="1"/>
    </xf>
    <xf numFmtId="0" fontId="17" fillId="0" borderId="10" xfId="0" applyFont="1" applyBorder="1" applyAlignment="1">
      <alignment vertical="top" wrapText="1"/>
    </xf>
    <xf numFmtId="0" fontId="52" fillId="19" borderId="0" xfId="0" applyFont="1" applyFill="1" applyAlignment="1">
      <alignment horizontal="center"/>
    </xf>
    <xf numFmtId="0" fontId="52" fillId="19" borderId="0" xfId="0" applyFont="1" applyFill="1" applyAlignment="1">
      <alignment horizontal="left"/>
    </xf>
    <xf numFmtId="0" fontId="20" fillId="19" borderId="0" xfId="0" applyFont="1" applyFill="1" applyAlignment="1">
      <alignment horizontal="left"/>
    </xf>
    <xf numFmtId="0" fontId="30" fillId="19" borderId="4" xfId="0" applyFont="1" applyFill="1" applyBorder="1" applyAlignment="1">
      <alignment horizontal="center"/>
    </xf>
    <xf numFmtId="0" fontId="32" fillId="19" borderId="5" xfId="0" applyFont="1" applyFill="1" applyBorder="1" applyAlignment="1">
      <alignment horizontal="center"/>
    </xf>
    <xf numFmtId="0" fontId="30" fillId="19" borderId="2" xfId="0" applyFont="1" applyFill="1" applyBorder="1" applyAlignment="1">
      <alignment horizontal="center" vertical="top"/>
    </xf>
    <xf numFmtId="0" fontId="32" fillId="19" borderId="3" xfId="0" applyFont="1" applyFill="1" applyBorder="1" applyAlignment="1">
      <alignment horizontal="center" vertical="top"/>
    </xf>
    <xf numFmtId="0" fontId="17" fillId="0" borderId="4" xfId="0" applyFont="1" applyBorder="1"/>
    <xf numFmtId="0" fontId="17" fillId="0" borderId="5" xfId="0" applyFont="1" applyBorder="1"/>
    <xf numFmtId="0" fontId="22" fillId="20" borderId="10" xfId="0" applyFont="1" applyFill="1" applyBorder="1" applyAlignment="1">
      <alignment horizontal="left" vertical="top" wrapText="1"/>
    </xf>
    <xf numFmtId="0" fontId="21" fillId="20" borderId="10" xfId="0" applyFont="1" applyFill="1" applyBorder="1" applyAlignment="1">
      <alignment horizontal="left" vertical="top" wrapText="1"/>
    </xf>
    <xf numFmtId="0" fontId="93" fillId="0" borderId="0" xfId="0" applyFont="1"/>
  </cellXfs>
  <cellStyles count="4">
    <cellStyle name="Currency" xfId="2" builtinId="4"/>
    <cellStyle name="Hyperlink" xfId="3" builtinId="8"/>
    <cellStyle name="Normal" xfId="0" builtinId="0"/>
    <cellStyle name="Percent" xfId="1" builtinId="5"/>
  </cellStyles>
  <dxfs count="10">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gradientFill>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degree="180">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degree="180">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
      <fill>
        <gradientFill degree="180">
          <stop position="0">
            <color theme="0"/>
          </stop>
          <stop position="1">
            <color theme="0" tint="-0.1490218817712943"/>
          </stop>
        </gradient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CF6F5"/>
      <color rgb="FFF5E050"/>
      <color rgb="FFF6E6EA"/>
      <color rgb="FFDDEBF7"/>
      <color rgb="FFFFFCF3"/>
      <color rgb="FF000000"/>
      <color rgb="FFAB3E58"/>
      <color rgb="FFFFD44B"/>
      <color rgb="FFC93E5B"/>
      <color rgb="FFC986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'Results (Graphical) – Facility'!$AU$13</c:f>
          <c:strCache>
            <c:ptCount val="1"/>
            <c:pt idx="0">
              <c:v>Total Emissions - CH4</c:v>
            </c:pt>
          </c:strCache>
        </c:strRef>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view3D>
      <c:rotX val="30"/>
      <c:rotY val="22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2675086406278419E-2"/>
          <c:y val="0.17745207985365463"/>
          <c:w val="0.52736917724282673"/>
          <c:h val="0.66781388085982918"/>
        </c:manualLayout>
      </c:layout>
      <c:pie3DChart>
        <c:varyColors val="1"/>
        <c:ser>
          <c:idx val="0"/>
          <c:order val="0"/>
          <c:tx>
            <c:strRef>
              <c:f>'Results (Graphical) – Facility'!$AU$13</c:f>
              <c:strCache>
                <c:ptCount val="1"/>
                <c:pt idx="0">
                  <c:v>Total Emissions - CH4</c:v>
                </c:pt>
              </c:strCache>
            </c:strRef>
          </c:tx>
          <c:explosion val="12"/>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C82F-4472-A88D-45BA13896B74}"/>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C82F-4472-A88D-45BA13896B74}"/>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C82F-4472-A88D-45BA13896B74}"/>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C82F-4472-A88D-45BA13896B74}"/>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C82F-4472-A88D-45BA13896B74}"/>
              </c:ext>
            </c:extLst>
          </c:dPt>
          <c:dPt>
            <c:idx val="5"/>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C82F-4472-A88D-45BA13896B74}"/>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D-C82F-4472-A88D-45BA13896B74}"/>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F-C82F-4472-A88D-45BA13896B74}"/>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1-C82F-4472-A88D-45BA13896B74}"/>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3-8E62-4E7E-968F-88B4639E2AF1}"/>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5-F769-4009-923F-52B21AE01DF6}"/>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7-0567-4D92-B4DD-B4941DCB8959}"/>
              </c:ext>
            </c:extLst>
          </c:dPt>
          <c:dLbls>
            <c:dLbl>
              <c:idx val="0"/>
              <c:layout>
                <c:manualLayout>
                  <c:x val="-9.7897259664575839E-2"/>
                  <c:y val="-3.5354419081453201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82F-4472-A88D-45BA13896B74}"/>
                </c:ext>
              </c:extLst>
            </c:dLbl>
            <c:dLbl>
              <c:idx val="1"/>
              <c:layout>
                <c:manualLayout>
                  <c:x val="0.11153331998754393"/>
                  <c:y val="2.3532768631193919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82F-4472-A88D-45BA13896B74}"/>
                </c:ext>
              </c:extLst>
            </c:dLbl>
            <c:dLbl>
              <c:idx val="2"/>
              <c:layout>
                <c:manualLayout>
                  <c:x val="-4.7993682993015705E-3"/>
                  <c:y val="1.0679144904866607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82F-4472-A88D-45BA13896B74}"/>
                </c:ext>
              </c:extLst>
            </c:dLbl>
            <c:dLbl>
              <c:idx val="3"/>
              <c:layout>
                <c:manualLayout>
                  <c:x val="0.10315924980781215"/>
                  <c:y val="-2.9946177613874216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82F-4472-A88D-45BA13896B74}"/>
                </c:ext>
              </c:extLst>
            </c:dLbl>
            <c:dLbl>
              <c:idx val="4"/>
              <c:layout>
                <c:manualLayout>
                  <c:x val="2.2751067663152276E-2"/>
                  <c:y val="4.8552895534522834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82F-4472-A88D-45BA13896B74}"/>
                </c:ext>
              </c:extLst>
            </c:dLbl>
            <c:dLbl>
              <c:idx val="5"/>
              <c:layout>
                <c:manualLayout>
                  <c:x val="-5.9507985230659727E-2"/>
                  <c:y val="0.13522806808239887"/>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82F-4472-A88D-45BA13896B74}"/>
                </c:ext>
              </c:extLst>
            </c:dLbl>
            <c:dLbl>
              <c:idx val="6"/>
              <c:layout>
                <c:manualLayout>
                  <c:x val="-4.7763468125806311E-3"/>
                  <c:y val="0.1560614014157321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82F-4472-A88D-45BA13896B74}"/>
                </c:ext>
              </c:extLst>
            </c:dLbl>
            <c:dLbl>
              <c:idx val="7"/>
              <c:layout>
                <c:manualLayout>
                  <c:x val="9.6918568441656625E-2"/>
                  <c:y val="9.5455340809671607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82F-4472-A88D-45BA13896B74}"/>
                </c:ext>
              </c:extLst>
            </c:dLbl>
            <c:dLbl>
              <c:idx val="8"/>
              <c:layout>
                <c:manualLayout>
                  <c:x val="-6.0567307264558029E-2"/>
                  <c:y val="-8.7274671474146623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C82F-4472-A88D-45BA13896B74}"/>
                </c:ext>
              </c:extLst>
            </c:dLbl>
            <c:dLbl>
              <c:idx val="9"/>
              <c:layout>
                <c:manualLayout>
                  <c:x val="-4.9608134258641398E-2"/>
                  <c:y val="6.2969149058387908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8E62-4E7E-968F-88B4639E2AF1}"/>
                </c:ext>
              </c:extLst>
            </c:dLbl>
            <c:dLbl>
              <c:idx val="10"/>
              <c:layout>
                <c:manualLayout>
                  <c:x val="-5.0137795275590549E-2"/>
                  <c:y val="6.2912590471645592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F769-4009-923F-52B21AE01DF6}"/>
                </c:ext>
              </c:extLst>
            </c:dLbl>
            <c:dLbl>
              <c:idx val="11"/>
              <c:layout>
                <c:manualLayout>
                  <c:x val="-9.8639229947951421E-2"/>
                  <c:y val="2.4444267698860874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567-4D92-B4DD-B4941DCB8959}"/>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1"/>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'Results (Graphical) – Facility'!$AL$14:$AL$25</c:f>
              <c:strCache>
                <c:ptCount val="12"/>
                <c:pt idx="0">
                  <c:v>Fuel Combustion</c:v>
                </c:pt>
                <c:pt idx="1">
                  <c:v>Acid Gas Removal</c:v>
                </c:pt>
                <c:pt idx="2">
                  <c:v>Flaring  &amp; Venting (Hydrocarbon Gas)</c:v>
                </c:pt>
                <c:pt idx="3">
                  <c:v>Fugitive Equipment Leaks</c:v>
                </c:pt>
                <c:pt idx="4">
                  <c:v>Compressor Seals</c:v>
                </c:pt>
                <c:pt idx="5">
                  <c:v>Wells: Casing Vents</c:v>
                </c:pt>
                <c:pt idx="6">
                  <c:v>Pneumatic Devices</c:v>
                </c:pt>
                <c:pt idx="7">
                  <c:v>Process Venting</c:v>
                </c:pt>
                <c:pt idx="8">
                  <c:v>Inspection &amp; Maintenance Activities</c:v>
                </c:pt>
                <c:pt idx="9">
                  <c:v>Mishaps</c:v>
                </c:pt>
                <c:pt idx="10">
                  <c:v>Indirect Emissions from Power &amp; Heat Purchases</c:v>
                </c:pt>
                <c:pt idx="11">
                  <c:v>Other Contributions (Measured)</c:v>
                </c:pt>
              </c:strCache>
            </c:strRef>
          </c:cat>
          <c:val>
            <c:numRef>
              <c:f>'Results (Graphical) – Facility'!$AU$14:$AU$25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2-C82F-4472-A88D-45BA13896B74}"/>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5346763337751101"/>
          <c:y val="0.15463869463869465"/>
          <c:w val="0.31022530329289427"/>
          <c:h val="0.76715654424315849"/>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Radio" checked="Checked" firstButton="1" fmlaLink="$AU$12" lockText="1" noThreeD="1"/>
</file>

<file path=xl/ctrlProps/ctrlProp10.xml><?xml version="1.0" encoding="utf-8"?>
<formControlPr xmlns="http://schemas.microsoft.com/office/spreadsheetml/2009/9/main" objectType="Drop" dropStyle="combo" dx="39" fmlaLink="$A$13" fmlaRange="HydrocarbonLiquids" noThreeD="1" sel="2" val="0"/>
</file>

<file path=xl/ctrlProps/ctrlProp100.xml><?xml version="1.0" encoding="utf-8"?>
<formControlPr xmlns="http://schemas.microsoft.com/office/spreadsheetml/2009/9/main" objectType="Drop" dropStyle="combo" dx="39" fmlaLink="$N$43" fmlaRange="EmittedSubstance" noThreeD="1" sel="3" val="0"/>
</file>

<file path=xl/ctrlProps/ctrlProp101.xml><?xml version="1.0" encoding="utf-8"?>
<formControlPr xmlns="http://schemas.microsoft.com/office/spreadsheetml/2009/9/main" objectType="Drop" dropStyle="combo" dx="39" fmlaLink="$N$44" fmlaRange="EmittedSubstance" noThreeD="1" sel="3" val="0"/>
</file>

<file path=xl/ctrlProps/ctrlProp102.xml><?xml version="1.0" encoding="utf-8"?>
<formControlPr xmlns="http://schemas.microsoft.com/office/spreadsheetml/2009/9/main" objectType="Drop" dropStyle="combo" dx="39" fmlaLink="$N$45" fmlaRange="EmittedSubstance" noThreeD="1" sel="3" val="0"/>
</file>

<file path=xl/ctrlProps/ctrlProp103.xml><?xml version="1.0" encoding="utf-8"?>
<formControlPr xmlns="http://schemas.microsoft.com/office/spreadsheetml/2009/9/main" objectType="Drop" dropStyle="combo" dx="39" fmlaLink="$N$46" fmlaRange="EmittedSubstance" noThreeD="1" sel="3" val="0"/>
</file>

<file path=xl/ctrlProps/ctrlProp104.xml><?xml version="1.0" encoding="utf-8"?>
<formControlPr xmlns="http://schemas.microsoft.com/office/spreadsheetml/2009/9/main" objectType="Drop" dropStyle="combo" dx="39" fmlaLink="$N$35" fmlaRange="EmittedSubstance" noThreeD="1" sel="3" val="0"/>
</file>

<file path=xl/ctrlProps/ctrlProp105.xml><?xml version="1.0" encoding="utf-8"?>
<formControlPr xmlns="http://schemas.microsoft.com/office/spreadsheetml/2009/9/main" objectType="Drop" dropStyle="combo" dx="39" fmlaLink="$N$36" fmlaRange="EmittedSubstance" noThreeD="1" sel="3" val="0"/>
</file>

<file path=xl/ctrlProps/ctrlProp106.xml><?xml version="1.0" encoding="utf-8"?>
<formControlPr xmlns="http://schemas.microsoft.com/office/spreadsheetml/2009/9/main" objectType="Drop" dropStyle="combo" dx="39" fmlaLink="$BV$40" fmlaRange="HeaterBoilerType" noThreeD="1" sel="1" val="0"/>
</file>

<file path=xl/ctrlProps/ctrlProp107.xml><?xml version="1.0" encoding="utf-8"?>
<formControlPr xmlns="http://schemas.microsoft.com/office/spreadsheetml/2009/9/main" objectType="Drop" dropStyle="combo" dx="39" fmlaLink="$BV$41" fmlaRange="HeaterBoilerType" noThreeD="1" sel="1" val="0"/>
</file>

<file path=xl/ctrlProps/ctrlProp108.xml><?xml version="1.0" encoding="utf-8"?>
<formControlPr xmlns="http://schemas.microsoft.com/office/spreadsheetml/2009/9/main" objectType="Drop" dropStyle="combo" dx="39" fmlaLink="$BV$42" fmlaRange="HeaterBoilerType" noThreeD="1" sel="1" val="0"/>
</file>

<file path=xl/ctrlProps/ctrlProp109.xml><?xml version="1.0" encoding="utf-8"?>
<formControlPr xmlns="http://schemas.microsoft.com/office/spreadsheetml/2009/9/main" objectType="Drop" dropStyle="combo" dx="39" fmlaLink="$BV$43" fmlaRange="HeaterBoilerType" noThreeD="1" sel="1" val="0"/>
</file>

<file path=xl/ctrlProps/ctrlProp11.xml><?xml version="1.0" encoding="utf-8"?>
<formControlPr xmlns="http://schemas.microsoft.com/office/spreadsheetml/2009/9/main" objectType="Drop" dropLines="11" dropStyle="combo" dx="39" fmlaLink="$A$10" fmlaRange="FTSource" noThreeD="1" sel="4" val="0"/>
</file>

<file path=xl/ctrlProps/ctrlProp110.xml><?xml version="1.0" encoding="utf-8"?>
<formControlPr xmlns="http://schemas.microsoft.com/office/spreadsheetml/2009/9/main" objectType="Drop" dropStyle="combo" dx="39" fmlaLink="$BV$44" fmlaRange="HeaterBoilerType" noThreeD="1" sel="1" val="0"/>
</file>

<file path=xl/ctrlProps/ctrlProp111.xml><?xml version="1.0" encoding="utf-8"?>
<formControlPr xmlns="http://schemas.microsoft.com/office/spreadsheetml/2009/9/main" objectType="Drop" dropStyle="combo" dx="39" fmlaLink="$BV$45" fmlaRange="HeaterBoilerType" noThreeD="1" sel="1" val="0"/>
</file>

<file path=xl/ctrlProps/ctrlProp112.xml><?xml version="1.0" encoding="utf-8"?>
<formControlPr xmlns="http://schemas.microsoft.com/office/spreadsheetml/2009/9/main" objectType="Drop" dropStyle="combo" dx="39" fmlaLink="$BV$46" fmlaRange="HeaterBoilerType" noThreeD="1" sel="1" val="0"/>
</file>

<file path=xl/ctrlProps/ctrlProp113.xml><?xml version="1.0" encoding="utf-8"?>
<formControlPr xmlns="http://schemas.microsoft.com/office/spreadsheetml/2009/9/main" objectType="Drop" dropStyle="combo" dx="39" fmlaLink="$BV$47" fmlaRange="HeaterBoilerType" noThreeD="1" sel="1" val="0"/>
</file>

<file path=xl/ctrlProps/ctrlProp114.xml><?xml version="1.0" encoding="utf-8"?>
<formControlPr xmlns="http://schemas.microsoft.com/office/spreadsheetml/2009/9/main" objectType="Drop" dropStyle="combo" dx="39" fmlaLink="$BV$48" fmlaRange="HeaterBoilerType" noThreeD="1" sel="1" val="0"/>
</file>

<file path=xl/ctrlProps/ctrlProp115.xml><?xml version="1.0" encoding="utf-8"?>
<formControlPr xmlns="http://schemas.microsoft.com/office/spreadsheetml/2009/9/main" objectType="Drop" dropStyle="combo" dx="39" fmlaLink="$BV$49" fmlaRange="HeaterBoilerType" noThreeD="1" sel="1" val="0"/>
</file>

<file path=xl/ctrlProps/ctrlProp116.xml><?xml version="1.0" encoding="utf-8"?>
<formControlPr xmlns="http://schemas.microsoft.com/office/spreadsheetml/2009/9/main" objectType="Drop" dropStyle="combo" dx="39" fmlaLink="$BV$50" fmlaRange="HeaterBoilerType" noThreeD="1" sel="1" val="0"/>
</file>

<file path=xl/ctrlProps/ctrlProp117.xml><?xml version="1.0" encoding="utf-8"?>
<formControlPr xmlns="http://schemas.microsoft.com/office/spreadsheetml/2009/9/main" objectType="Drop" dropStyle="combo" dx="39" fmlaLink="$BW$40" fmlaRange="FuelCategory" noThreeD="1" sel="1" val="0"/>
</file>

<file path=xl/ctrlProps/ctrlProp118.xml><?xml version="1.0" encoding="utf-8"?>
<formControlPr xmlns="http://schemas.microsoft.com/office/spreadsheetml/2009/9/main" objectType="Drop" dropStyle="combo" dx="39" fmlaLink="$BW$41" fmlaRange="FuelCategory" noThreeD="1" sel="1" val="0"/>
</file>

<file path=xl/ctrlProps/ctrlProp119.xml><?xml version="1.0" encoding="utf-8"?>
<formControlPr xmlns="http://schemas.microsoft.com/office/spreadsheetml/2009/9/main" objectType="Drop" dropStyle="combo" dx="39" fmlaLink="$BW$42" fmlaRange="FuelCategory" noThreeD="1" sel="1" val="0"/>
</file>

<file path=xl/ctrlProps/ctrlProp12.xml><?xml version="1.0" encoding="utf-8"?>
<formControlPr xmlns="http://schemas.microsoft.com/office/spreadsheetml/2009/9/main" objectType="Drop" dropStyle="combo" dx="39" fmlaLink="$F$17" fmlaRange="SourceOfQuantity" noThreeD="1" sel="1" val="0"/>
</file>

<file path=xl/ctrlProps/ctrlProp120.xml><?xml version="1.0" encoding="utf-8"?>
<formControlPr xmlns="http://schemas.microsoft.com/office/spreadsheetml/2009/9/main" objectType="Drop" dropStyle="combo" dx="39" fmlaLink="$BW$43" fmlaRange="FuelCategory" noThreeD="1" sel="1" val="0"/>
</file>

<file path=xl/ctrlProps/ctrlProp121.xml><?xml version="1.0" encoding="utf-8"?>
<formControlPr xmlns="http://schemas.microsoft.com/office/spreadsheetml/2009/9/main" objectType="Drop" dropStyle="combo" dx="39" fmlaLink="$BW$44" fmlaRange="FuelCategory" noThreeD="1" sel="1" val="0"/>
</file>

<file path=xl/ctrlProps/ctrlProp122.xml><?xml version="1.0" encoding="utf-8"?>
<formControlPr xmlns="http://schemas.microsoft.com/office/spreadsheetml/2009/9/main" objectType="Drop" dropStyle="combo" dx="39" fmlaLink="$BW$45" fmlaRange="FuelCategory" noThreeD="1" sel="1" val="0"/>
</file>

<file path=xl/ctrlProps/ctrlProp123.xml><?xml version="1.0" encoding="utf-8"?>
<formControlPr xmlns="http://schemas.microsoft.com/office/spreadsheetml/2009/9/main" objectType="Drop" dropStyle="combo" dx="39" fmlaLink="$BW$46" fmlaRange="FuelCategory" noThreeD="1" sel="1" val="0"/>
</file>

<file path=xl/ctrlProps/ctrlProp124.xml><?xml version="1.0" encoding="utf-8"?>
<formControlPr xmlns="http://schemas.microsoft.com/office/spreadsheetml/2009/9/main" objectType="Drop" dropStyle="combo" dx="39" fmlaLink="$BW$47" fmlaRange="FuelCategory" noThreeD="1" sel="1" val="0"/>
</file>

<file path=xl/ctrlProps/ctrlProp125.xml><?xml version="1.0" encoding="utf-8"?>
<formControlPr xmlns="http://schemas.microsoft.com/office/spreadsheetml/2009/9/main" objectType="Drop" dropStyle="combo" dx="39" fmlaLink="$BW$48" fmlaRange="FuelCategory" noThreeD="1" sel="1" val="0"/>
</file>

<file path=xl/ctrlProps/ctrlProp126.xml><?xml version="1.0" encoding="utf-8"?>
<formControlPr xmlns="http://schemas.microsoft.com/office/spreadsheetml/2009/9/main" objectType="Drop" dropStyle="combo" dx="39" fmlaLink="$BW$49" fmlaRange="FuelCategory" noThreeD="1" sel="1" val="0"/>
</file>

<file path=xl/ctrlProps/ctrlProp127.xml><?xml version="1.0" encoding="utf-8"?>
<formControlPr xmlns="http://schemas.microsoft.com/office/spreadsheetml/2009/9/main" objectType="Drop" dropStyle="combo" dx="39" fmlaLink="$BX$41" fmlaRange="_DR38" noThreeD="1" sel="0" val="0"/>
</file>

<file path=xl/ctrlProps/ctrlProp128.xml><?xml version="1.0" encoding="utf-8"?>
<formControlPr xmlns="http://schemas.microsoft.com/office/spreadsheetml/2009/9/main" objectType="Drop" dropStyle="combo" dx="39" fmlaLink="$BX$42" fmlaRange="_DR39" noThreeD="1" sel="0" val="0"/>
</file>

<file path=xl/ctrlProps/ctrlProp129.xml><?xml version="1.0" encoding="utf-8"?>
<formControlPr xmlns="http://schemas.microsoft.com/office/spreadsheetml/2009/9/main" objectType="Drop" dropStyle="combo" dx="39" fmlaLink="$BX$43" fmlaRange="_DR40" noThreeD="1" sel="0" val="0"/>
</file>

<file path=xl/ctrlProps/ctrlProp13.xml><?xml version="1.0" encoding="utf-8"?>
<formControlPr xmlns="http://schemas.microsoft.com/office/spreadsheetml/2009/9/main" objectType="Drop" dropStyle="combo" dx="39" fmlaLink="$F$18" fmlaRange="SourceOfQuantity" noThreeD="1" sel="1" val="0"/>
</file>

<file path=xl/ctrlProps/ctrlProp130.xml><?xml version="1.0" encoding="utf-8"?>
<formControlPr xmlns="http://schemas.microsoft.com/office/spreadsheetml/2009/9/main" objectType="Drop" dropStyle="combo" dx="39" fmlaLink="$BX$44" fmlaRange="_DR41" noThreeD="1" sel="0" val="0"/>
</file>

<file path=xl/ctrlProps/ctrlProp131.xml><?xml version="1.0" encoding="utf-8"?>
<formControlPr xmlns="http://schemas.microsoft.com/office/spreadsheetml/2009/9/main" objectType="Drop" dropStyle="combo" dx="39" fmlaLink="$BX$45" fmlaRange="_DR42" noThreeD="1" sel="0" val="0"/>
</file>

<file path=xl/ctrlProps/ctrlProp132.xml><?xml version="1.0" encoding="utf-8"?>
<formControlPr xmlns="http://schemas.microsoft.com/office/spreadsheetml/2009/9/main" objectType="Drop" dropStyle="combo" dx="39" fmlaLink="$BX$46" fmlaRange="_DR43" noThreeD="1" sel="0" val="0"/>
</file>

<file path=xl/ctrlProps/ctrlProp133.xml><?xml version="1.0" encoding="utf-8"?>
<formControlPr xmlns="http://schemas.microsoft.com/office/spreadsheetml/2009/9/main" objectType="Drop" dropStyle="combo" dx="39" fmlaLink="$BX$47" fmlaRange="_DR44" noThreeD="1" sel="0" val="0"/>
</file>

<file path=xl/ctrlProps/ctrlProp134.xml><?xml version="1.0" encoding="utf-8"?>
<formControlPr xmlns="http://schemas.microsoft.com/office/spreadsheetml/2009/9/main" objectType="Drop" dropStyle="combo" dx="39" fmlaLink="$BX$48" fmlaRange="_DR45" noThreeD="1" sel="0" val="0"/>
</file>

<file path=xl/ctrlProps/ctrlProp135.xml><?xml version="1.0" encoding="utf-8"?>
<formControlPr xmlns="http://schemas.microsoft.com/office/spreadsheetml/2009/9/main" objectType="Drop" dropStyle="combo" dx="39" fmlaLink="$BX$49" fmlaRange="_DR46" noThreeD="1" sel="0" val="0"/>
</file>

<file path=xl/ctrlProps/ctrlProp136.xml><?xml version="1.0" encoding="utf-8"?>
<formControlPr xmlns="http://schemas.microsoft.com/office/spreadsheetml/2009/9/main" objectType="Drop" dropStyle="combo" dx="39" fmlaLink="$BX$50" fmlaRange="_DR47" noThreeD="1" sel="0" val="0"/>
</file>

<file path=xl/ctrlProps/ctrlProp137.xml><?xml version="1.0" encoding="utf-8"?>
<formControlPr xmlns="http://schemas.microsoft.com/office/spreadsheetml/2009/9/main" objectType="Drop" dropStyle="combo" dx="39" fmlaLink="$O$41" fmlaRange="Basis" noThreeD="1" sel="0" val="0"/>
</file>

<file path=xl/ctrlProps/ctrlProp138.xml><?xml version="1.0" encoding="utf-8"?>
<formControlPr xmlns="http://schemas.microsoft.com/office/spreadsheetml/2009/9/main" objectType="Drop" dropStyle="combo" dx="39" fmlaLink="$O$42" fmlaRange="Basis" noThreeD="1" sel="0" val="0"/>
</file>

<file path=xl/ctrlProps/ctrlProp139.xml><?xml version="1.0" encoding="utf-8"?>
<formControlPr xmlns="http://schemas.microsoft.com/office/spreadsheetml/2009/9/main" objectType="Drop" dropStyle="combo" dx="39" fmlaLink="$O$43" fmlaRange="Basis" noThreeD="1" sel="0" val="0"/>
</file>

<file path=xl/ctrlProps/ctrlProp14.xml><?xml version="1.0" encoding="utf-8"?>
<formControlPr xmlns="http://schemas.microsoft.com/office/spreadsheetml/2009/9/main" objectType="Drop" dropStyle="combo" dx="39" fmlaLink="$F$19" fmlaRange="SourceOfQuantity" noThreeD="1" sel="1" val="0"/>
</file>

<file path=xl/ctrlProps/ctrlProp140.xml><?xml version="1.0" encoding="utf-8"?>
<formControlPr xmlns="http://schemas.microsoft.com/office/spreadsheetml/2009/9/main" objectType="Drop" dropStyle="combo" dx="39" fmlaLink="$O$44" fmlaRange="Basis" noThreeD="1" sel="0" val="0"/>
</file>

<file path=xl/ctrlProps/ctrlProp141.xml><?xml version="1.0" encoding="utf-8"?>
<formControlPr xmlns="http://schemas.microsoft.com/office/spreadsheetml/2009/9/main" objectType="Drop" dropStyle="combo" dx="39" fmlaLink="$O$45" fmlaRange="Basis" noThreeD="1" sel="0" val="0"/>
</file>

<file path=xl/ctrlProps/ctrlProp142.xml><?xml version="1.0" encoding="utf-8"?>
<formControlPr xmlns="http://schemas.microsoft.com/office/spreadsheetml/2009/9/main" objectType="Drop" dropStyle="combo" dx="39" fmlaLink="$O$46" fmlaRange="Basis" noThreeD="1" sel="0" val="0"/>
</file>

<file path=xl/ctrlProps/ctrlProp143.xml><?xml version="1.0" encoding="utf-8"?>
<formControlPr xmlns="http://schemas.microsoft.com/office/spreadsheetml/2009/9/main" objectType="Drop" dropStyle="combo" dx="39" fmlaLink="$O$47" fmlaRange="Basis" noThreeD="1" sel="0" val="0"/>
</file>

<file path=xl/ctrlProps/ctrlProp144.xml><?xml version="1.0" encoding="utf-8"?>
<formControlPr xmlns="http://schemas.microsoft.com/office/spreadsheetml/2009/9/main" objectType="Drop" dropStyle="combo" dx="39" fmlaLink="$O$48" fmlaRange="Basis" noThreeD="1" sel="0" val="0"/>
</file>

<file path=xl/ctrlProps/ctrlProp145.xml><?xml version="1.0" encoding="utf-8"?>
<formControlPr xmlns="http://schemas.microsoft.com/office/spreadsheetml/2009/9/main" objectType="Drop" dropStyle="combo" dx="39" fmlaLink="$O$49" fmlaRange="Basis" noThreeD="1" sel="0" val="0"/>
</file>

<file path=xl/ctrlProps/ctrlProp146.xml><?xml version="1.0" encoding="utf-8"?>
<formControlPr xmlns="http://schemas.microsoft.com/office/spreadsheetml/2009/9/main" objectType="Drop" dropStyle="combo" dx="39" fmlaLink="$O$50" fmlaRange="Basis" noThreeD="1" sel="0" val="0"/>
</file>

<file path=xl/ctrlProps/ctrlProp147.xml><?xml version="1.0" encoding="utf-8"?>
<formControlPr xmlns="http://schemas.microsoft.com/office/spreadsheetml/2009/9/main" objectType="Drop" dropStyle="combo" dx="39" fmlaLink="$BV$59" fmlaRange="EngineType" noThreeD="1" sel="1" val="0"/>
</file>

<file path=xl/ctrlProps/ctrlProp148.xml><?xml version="1.0" encoding="utf-8"?>
<formControlPr xmlns="http://schemas.microsoft.com/office/spreadsheetml/2009/9/main" objectType="Drop" dropStyle="combo" dx="39" fmlaLink="$BV$60" fmlaRange="EngineType" noThreeD="1" sel="1" val="0"/>
</file>

<file path=xl/ctrlProps/ctrlProp149.xml><?xml version="1.0" encoding="utf-8"?>
<formControlPr xmlns="http://schemas.microsoft.com/office/spreadsheetml/2009/9/main" objectType="Drop" dropStyle="combo" dx="39" fmlaLink="$BV$61" fmlaRange="EngineType" noThreeD="1" sel="1" val="0"/>
</file>

<file path=xl/ctrlProps/ctrlProp15.xml><?xml version="1.0" encoding="utf-8"?>
<formControlPr xmlns="http://schemas.microsoft.com/office/spreadsheetml/2009/9/main" objectType="Drop" dropStyle="combo" dx="39" fmlaLink="$F$20" fmlaRange="SourceOfQuantity" noThreeD="1" sel="1" val="0"/>
</file>

<file path=xl/ctrlProps/ctrlProp150.xml><?xml version="1.0" encoding="utf-8"?>
<formControlPr xmlns="http://schemas.microsoft.com/office/spreadsheetml/2009/9/main" objectType="Drop" dropStyle="combo" dx="39" fmlaLink="$BV$62" fmlaRange="EngineType" noThreeD="1" sel="1" val="0"/>
</file>

<file path=xl/ctrlProps/ctrlProp151.xml><?xml version="1.0" encoding="utf-8"?>
<formControlPr xmlns="http://schemas.microsoft.com/office/spreadsheetml/2009/9/main" objectType="Drop" dropStyle="combo" dx="39" fmlaLink="$BV$63" fmlaRange="EngineType" noThreeD="1" sel="1" val="0"/>
</file>

<file path=xl/ctrlProps/ctrlProp152.xml><?xml version="1.0" encoding="utf-8"?>
<formControlPr xmlns="http://schemas.microsoft.com/office/spreadsheetml/2009/9/main" objectType="Drop" dropStyle="combo" dx="39" fmlaLink="$BV$64" fmlaRange="EngineType" noThreeD="1" sel="1" val="0"/>
</file>

<file path=xl/ctrlProps/ctrlProp153.xml><?xml version="1.0" encoding="utf-8"?>
<formControlPr xmlns="http://schemas.microsoft.com/office/spreadsheetml/2009/9/main" objectType="Drop" dropStyle="combo" dx="39" fmlaLink="$BV$65" fmlaRange="EngineType" noThreeD="1" sel="1" val="0"/>
</file>

<file path=xl/ctrlProps/ctrlProp154.xml><?xml version="1.0" encoding="utf-8"?>
<formControlPr xmlns="http://schemas.microsoft.com/office/spreadsheetml/2009/9/main" objectType="Drop" dropStyle="combo" dx="39" fmlaLink="$BV$66" fmlaRange="EngineType" noThreeD="1" sel="1" val="0"/>
</file>

<file path=xl/ctrlProps/ctrlProp155.xml><?xml version="1.0" encoding="utf-8"?>
<formControlPr xmlns="http://schemas.microsoft.com/office/spreadsheetml/2009/9/main" objectType="Drop" dropStyle="combo" dx="39" fmlaLink="$BV$67" fmlaRange="EngineType" noThreeD="1" sel="1" val="0"/>
</file>

<file path=xl/ctrlProps/ctrlProp156.xml><?xml version="1.0" encoding="utf-8"?>
<formControlPr xmlns="http://schemas.microsoft.com/office/spreadsheetml/2009/9/main" objectType="Drop" dropStyle="combo" dx="39" fmlaLink="$BW$50" fmlaRange="FuelCategory" noThreeD="1" sel="1" val="0"/>
</file>

<file path=xl/ctrlProps/ctrlProp157.xml><?xml version="1.0" encoding="utf-8"?>
<formControlPr xmlns="http://schemas.microsoft.com/office/spreadsheetml/2009/9/main" objectType="Drop" dropStyle="combo" dx="39" fmlaLink="$BW$59" fmlaRange="FuelCategory_v2" noThreeD="1" sel="1" val="0"/>
</file>

<file path=xl/ctrlProps/ctrlProp158.xml><?xml version="1.0" encoding="utf-8"?>
<formControlPr xmlns="http://schemas.microsoft.com/office/spreadsheetml/2009/9/main" objectType="Drop" dropStyle="combo" dx="39" fmlaLink="$BW$60" fmlaRange="FuelCategory_v2" noThreeD="1" sel="1" val="0"/>
</file>

<file path=xl/ctrlProps/ctrlProp159.xml><?xml version="1.0" encoding="utf-8"?>
<formControlPr xmlns="http://schemas.microsoft.com/office/spreadsheetml/2009/9/main" objectType="Drop" dropStyle="combo" dx="39" fmlaLink="$BW$61" fmlaRange="FuelCategory_v2" noThreeD="1" sel="1" val="0"/>
</file>

<file path=xl/ctrlProps/ctrlProp16.xml><?xml version="1.0" encoding="utf-8"?>
<formControlPr xmlns="http://schemas.microsoft.com/office/spreadsheetml/2009/9/main" objectType="Drop" dropStyle="combo" dx="39" fmlaLink="$F$21" fmlaRange="SourceOfQuantity" noThreeD="1" sel="1" val="0"/>
</file>

<file path=xl/ctrlProps/ctrlProp160.xml><?xml version="1.0" encoding="utf-8"?>
<formControlPr xmlns="http://schemas.microsoft.com/office/spreadsheetml/2009/9/main" objectType="Drop" dropStyle="combo" dx="39" fmlaLink="$BW$62" fmlaRange="FuelCategory_v2" noThreeD="1" sel="1" val="0"/>
</file>

<file path=xl/ctrlProps/ctrlProp161.xml><?xml version="1.0" encoding="utf-8"?>
<formControlPr xmlns="http://schemas.microsoft.com/office/spreadsheetml/2009/9/main" objectType="Drop" dropStyle="combo" dx="39" fmlaLink="$BW$63" fmlaRange="FuelCategory_v2" noThreeD="1" sel="1" val="0"/>
</file>

<file path=xl/ctrlProps/ctrlProp162.xml><?xml version="1.0" encoding="utf-8"?>
<formControlPr xmlns="http://schemas.microsoft.com/office/spreadsheetml/2009/9/main" objectType="Drop" dropStyle="combo" dx="39" fmlaLink="$BW$64" fmlaRange="FuelCategory_v2" noThreeD="1" sel="1" val="0"/>
</file>

<file path=xl/ctrlProps/ctrlProp163.xml><?xml version="1.0" encoding="utf-8"?>
<formControlPr xmlns="http://schemas.microsoft.com/office/spreadsheetml/2009/9/main" objectType="Drop" dropStyle="combo" dx="39" fmlaLink="$BW$65" fmlaRange="FuelCategory_v2" noThreeD="1" sel="1" val="0"/>
</file>

<file path=xl/ctrlProps/ctrlProp164.xml><?xml version="1.0" encoding="utf-8"?>
<formControlPr xmlns="http://schemas.microsoft.com/office/spreadsheetml/2009/9/main" objectType="Drop" dropStyle="combo" dx="39" fmlaLink="$BW$66" fmlaRange="FuelCategory_v2" noThreeD="1" sel="1" val="0"/>
</file>

<file path=xl/ctrlProps/ctrlProp165.xml><?xml version="1.0" encoding="utf-8"?>
<formControlPr xmlns="http://schemas.microsoft.com/office/spreadsheetml/2009/9/main" objectType="Drop" dropStyle="combo" dx="39" fmlaLink="$BW$67" fmlaRange="FuelCategory_v2" noThreeD="1" sel="1" val="0"/>
</file>

<file path=xl/ctrlProps/ctrlProp166.xml><?xml version="1.0" encoding="utf-8"?>
<formControlPr xmlns="http://schemas.microsoft.com/office/spreadsheetml/2009/9/main" objectType="Drop" dropStyle="combo" dx="39" fmlaLink="$BX$40" fmlaRange="_DR37" noThreeD="1" sel="0" val="0"/>
</file>

<file path=xl/ctrlProps/ctrlProp167.xml><?xml version="1.0" encoding="utf-8"?>
<formControlPr xmlns="http://schemas.microsoft.com/office/spreadsheetml/2009/9/main" objectType="Drop" dropStyle="combo" dx="39" fmlaLink="$BX$59" fmlaRange="_DR56" noThreeD="1" sel="0" val="0"/>
</file>

<file path=xl/ctrlProps/ctrlProp168.xml><?xml version="1.0" encoding="utf-8"?>
<formControlPr xmlns="http://schemas.microsoft.com/office/spreadsheetml/2009/9/main" objectType="Drop" dropStyle="combo" dx="39" fmlaLink="$BX$60" fmlaRange="_DR57" noThreeD="1" sel="0" val="0"/>
</file>

<file path=xl/ctrlProps/ctrlProp169.xml><?xml version="1.0" encoding="utf-8"?>
<formControlPr xmlns="http://schemas.microsoft.com/office/spreadsheetml/2009/9/main" objectType="Drop" dropStyle="combo" dx="39" fmlaLink="$BX$61" fmlaRange="_DR58" noThreeD="1" sel="0" val="0"/>
</file>

<file path=xl/ctrlProps/ctrlProp17.xml><?xml version="1.0" encoding="utf-8"?>
<formControlPr xmlns="http://schemas.microsoft.com/office/spreadsheetml/2009/9/main" objectType="Drop" dropStyle="combo" dx="39" fmlaLink="$F$22" fmlaRange="SourceOfQuantity" noThreeD="1" sel="1" val="0"/>
</file>

<file path=xl/ctrlProps/ctrlProp170.xml><?xml version="1.0" encoding="utf-8"?>
<formControlPr xmlns="http://schemas.microsoft.com/office/spreadsheetml/2009/9/main" objectType="Drop" dropStyle="combo" dx="39" fmlaLink="$BX$62" fmlaRange="_DR59" noThreeD="1" sel="0" val="0"/>
</file>

<file path=xl/ctrlProps/ctrlProp171.xml><?xml version="1.0" encoding="utf-8"?>
<formControlPr xmlns="http://schemas.microsoft.com/office/spreadsheetml/2009/9/main" objectType="Drop" dropStyle="combo" dx="39" fmlaLink="$BX$63" fmlaRange="_DR60" noThreeD="1" sel="0" val="0"/>
</file>

<file path=xl/ctrlProps/ctrlProp172.xml><?xml version="1.0" encoding="utf-8"?>
<formControlPr xmlns="http://schemas.microsoft.com/office/spreadsheetml/2009/9/main" objectType="Drop" dropStyle="combo" dx="39" fmlaLink="$BX$64" fmlaRange="_DR61" noThreeD="1" sel="0" val="0"/>
</file>

<file path=xl/ctrlProps/ctrlProp173.xml><?xml version="1.0" encoding="utf-8"?>
<formControlPr xmlns="http://schemas.microsoft.com/office/spreadsheetml/2009/9/main" objectType="Drop" dropStyle="combo" dx="39" fmlaLink="$BX$65" fmlaRange="_DR62" noThreeD="1" sel="0" val="0"/>
</file>

<file path=xl/ctrlProps/ctrlProp174.xml><?xml version="1.0" encoding="utf-8"?>
<formControlPr xmlns="http://schemas.microsoft.com/office/spreadsheetml/2009/9/main" objectType="Drop" dropStyle="combo" dx="39" fmlaLink="$BX$66" fmlaRange="_DR63" noThreeD="1" sel="0" val="0"/>
</file>

<file path=xl/ctrlProps/ctrlProp175.xml><?xml version="1.0" encoding="utf-8"?>
<formControlPr xmlns="http://schemas.microsoft.com/office/spreadsheetml/2009/9/main" objectType="Drop" dropStyle="combo" dx="39" fmlaLink="$BX$67" fmlaRange="_DR64" noThreeD="1" sel="0" val="0"/>
</file>

<file path=xl/ctrlProps/ctrlProp176.xml><?xml version="1.0" encoding="utf-8"?>
<formControlPr xmlns="http://schemas.microsoft.com/office/spreadsheetml/2009/9/main" objectType="Drop" dropStyle="combo" dx="39" fmlaLink="$O$40" fmlaRange="Basis" noThreeD="1" sel="1" val="0"/>
</file>

<file path=xl/ctrlProps/ctrlProp177.xml><?xml version="1.0" encoding="utf-8"?>
<formControlPr xmlns="http://schemas.microsoft.com/office/spreadsheetml/2009/9/main" objectType="Drop" dropStyle="combo" dx="39" fmlaLink="$M$59" fmlaRange="Basis" noThreeD="1" sel="1" val="0"/>
</file>

<file path=xl/ctrlProps/ctrlProp178.xml><?xml version="1.0" encoding="utf-8"?>
<formControlPr xmlns="http://schemas.microsoft.com/office/spreadsheetml/2009/9/main" objectType="Drop" dropStyle="combo" dx="39" fmlaLink="$M$60" fmlaRange="Basis" noThreeD="1" sel="1" val="0"/>
</file>

<file path=xl/ctrlProps/ctrlProp179.xml><?xml version="1.0" encoding="utf-8"?>
<formControlPr xmlns="http://schemas.microsoft.com/office/spreadsheetml/2009/9/main" objectType="Drop" dropStyle="combo" dx="39" fmlaLink="$M$61" fmlaRange="Basis" noThreeD="1" sel="1" val="0"/>
</file>

<file path=xl/ctrlProps/ctrlProp18.xml><?xml version="1.0" encoding="utf-8"?>
<formControlPr xmlns="http://schemas.microsoft.com/office/spreadsheetml/2009/9/main" objectType="Drop" dropStyle="combo" dx="39" fmlaLink="$F$23" fmlaRange="SourceOfQuantity" noThreeD="1" sel="1" val="0"/>
</file>

<file path=xl/ctrlProps/ctrlProp180.xml><?xml version="1.0" encoding="utf-8"?>
<formControlPr xmlns="http://schemas.microsoft.com/office/spreadsheetml/2009/9/main" objectType="Drop" dropStyle="combo" dx="39" fmlaLink="$M$62" fmlaRange="Basis" noThreeD="1" sel="1" val="0"/>
</file>

<file path=xl/ctrlProps/ctrlProp181.xml><?xml version="1.0" encoding="utf-8"?>
<formControlPr xmlns="http://schemas.microsoft.com/office/spreadsheetml/2009/9/main" objectType="Drop" dropStyle="combo" dx="39" fmlaLink="$M$63" fmlaRange="Basis" noThreeD="1" sel="1" val="0"/>
</file>

<file path=xl/ctrlProps/ctrlProp182.xml><?xml version="1.0" encoding="utf-8"?>
<formControlPr xmlns="http://schemas.microsoft.com/office/spreadsheetml/2009/9/main" objectType="Drop" dropStyle="combo" dx="39" fmlaLink="$M$64" fmlaRange="Basis" noThreeD="1" sel="1" val="0"/>
</file>

<file path=xl/ctrlProps/ctrlProp183.xml><?xml version="1.0" encoding="utf-8"?>
<formControlPr xmlns="http://schemas.microsoft.com/office/spreadsheetml/2009/9/main" objectType="Drop" dropStyle="combo" dx="39" fmlaLink="$M$65" fmlaRange="Basis" noThreeD="1" sel="1" val="0"/>
</file>

<file path=xl/ctrlProps/ctrlProp184.xml><?xml version="1.0" encoding="utf-8"?>
<formControlPr xmlns="http://schemas.microsoft.com/office/spreadsheetml/2009/9/main" objectType="Drop" dropStyle="combo" dx="39" fmlaLink="$M$66" fmlaRange="Basis" noThreeD="1" sel="1" val="0"/>
</file>

<file path=xl/ctrlProps/ctrlProp185.xml><?xml version="1.0" encoding="utf-8"?>
<formControlPr xmlns="http://schemas.microsoft.com/office/spreadsheetml/2009/9/main" objectType="Drop" dropStyle="combo" dx="39" fmlaLink="$M$67" fmlaRange="Basis" noThreeD="1" sel="1" val="0"/>
</file>

<file path=xl/ctrlProps/ctrlProp186.xml><?xml version="1.0" encoding="utf-8"?>
<formControlPr xmlns="http://schemas.microsoft.com/office/spreadsheetml/2009/9/main" objectType="Drop" dropStyle="combo" dx="39" fmlaLink="$BV$58" fmlaRange="EngineType" noThreeD="1" sel="1" val="0"/>
</file>

<file path=xl/ctrlProps/ctrlProp187.xml><?xml version="1.0" encoding="utf-8"?>
<formControlPr xmlns="http://schemas.microsoft.com/office/spreadsheetml/2009/9/main" objectType="Drop" dropStyle="combo" dx="39" fmlaLink="$BV$76" fmlaRange="EngineType" noThreeD="1" sel="1" val="0"/>
</file>

<file path=xl/ctrlProps/ctrlProp188.xml><?xml version="1.0" encoding="utf-8"?>
<formControlPr xmlns="http://schemas.microsoft.com/office/spreadsheetml/2009/9/main" objectType="Drop" dropStyle="combo" dx="39" fmlaLink="$BV$77" fmlaRange="EngineType" noThreeD="1" sel="1" val="0"/>
</file>

<file path=xl/ctrlProps/ctrlProp189.xml><?xml version="1.0" encoding="utf-8"?>
<formControlPr xmlns="http://schemas.microsoft.com/office/spreadsheetml/2009/9/main" objectType="Drop" dropStyle="combo" dx="39" fmlaLink="$BV$78" fmlaRange="EngineType" noThreeD="1" sel="1" val="0"/>
</file>

<file path=xl/ctrlProps/ctrlProp19.xml><?xml version="1.0" encoding="utf-8"?>
<formControlPr xmlns="http://schemas.microsoft.com/office/spreadsheetml/2009/9/main" objectType="Drop" dropStyle="combo" dx="39" fmlaLink="$F$25" fmlaRange="SourceOfQuantity" noThreeD="1" sel="1" val="0"/>
</file>

<file path=xl/ctrlProps/ctrlProp190.xml><?xml version="1.0" encoding="utf-8"?>
<formControlPr xmlns="http://schemas.microsoft.com/office/spreadsheetml/2009/9/main" objectType="Drop" dropStyle="combo" dx="39" fmlaLink="$BV$79" fmlaRange="EngineType" noThreeD="1" sel="1" val="0"/>
</file>

<file path=xl/ctrlProps/ctrlProp191.xml><?xml version="1.0" encoding="utf-8"?>
<formControlPr xmlns="http://schemas.microsoft.com/office/spreadsheetml/2009/9/main" objectType="Drop" dropStyle="combo" dx="39" fmlaLink="$BV$80" fmlaRange="EngineType" noThreeD="1" sel="1" val="0"/>
</file>

<file path=xl/ctrlProps/ctrlProp192.xml><?xml version="1.0" encoding="utf-8"?>
<formControlPr xmlns="http://schemas.microsoft.com/office/spreadsheetml/2009/9/main" objectType="Drop" dropStyle="combo" dx="39" fmlaLink="$BV$81" fmlaRange="EngineType" noThreeD="1" sel="1" val="0"/>
</file>

<file path=xl/ctrlProps/ctrlProp193.xml><?xml version="1.0" encoding="utf-8"?>
<formControlPr xmlns="http://schemas.microsoft.com/office/spreadsheetml/2009/9/main" objectType="Drop" dropStyle="combo" dx="39" fmlaLink="$BV$82" fmlaRange="EngineType" noThreeD="1" sel="1" val="0"/>
</file>

<file path=xl/ctrlProps/ctrlProp194.xml><?xml version="1.0" encoding="utf-8"?>
<formControlPr xmlns="http://schemas.microsoft.com/office/spreadsheetml/2009/9/main" objectType="Drop" dropStyle="combo" dx="39" fmlaLink="$BV$83" fmlaRange="EngineType" noThreeD="1" sel="1" val="0"/>
</file>

<file path=xl/ctrlProps/ctrlProp195.xml><?xml version="1.0" encoding="utf-8"?>
<formControlPr xmlns="http://schemas.microsoft.com/office/spreadsheetml/2009/9/main" objectType="Drop" dropStyle="combo" dx="39" fmlaLink="$BV$84" fmlaRange="EngineType" noThreeD="1" sel="1" val="0"/>
</file>

<file path=xl/ctrlProps/ctrlProp196.xml><?xml version="1.0" encoding="utf-8"?>
<formControlPr xmlns="http://schemas.microsoft.com/office/spreadsheetml/2009/9/main" objectType="Drop" dropStyle="combo" dx="39" fmlaLink="$BV$85" fmlaRange="EngineType" noThreeD="1" sel="1" val="0"/>
</file>

<file path=xl/ctrlProps/ctrlProp197.xml><?xml version="1.0" encoding="utf-8"?>
<formControlPr xmlns="http://schemas.microsoft.com/office/spreadsheetml/2009/9/main" objectType="Drop" dropStyle="combo" dx="39" fmlaLink="$BW$58" fmlaRange="FuelCategory_v2" noThreeD="1" sel="1" val="0"/>
</file>

<file path=xl/ctrlProps/ctrlProp198.xml><?xml version="1.0" encoding="utf-8"?>
<formControlPr xmlns="http://schemas.microsoft.com/office/spreadsheetml/2009/9/main" objectType="Drop" dropStyle="combo" dx="39" fmlaLink="$BW$76" fmlaRange="FuelCategory_v2" noThreeD="1" sel="1" val="0"/>
</file>

<file path=xl/ctrlProps/ctrlProp199.xml><?xml version="1.0" encoding="utf-8"?>
<formControlPr xmlns="http://schemas.microsoft.com/office/spreadsheetml/2009/9/main" objectType="Drop" dropStyle="combo" dx="39" fmlaLink="$BW$77" fmlaRange="FuelCategory_v2" noThreeD="1" sel="1" val="0"/>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Drop" dropStyle="combo" dx="39" fmlaLink="$F$26" fmlaRange="SourceOfQuantity" noThreeD="1" sel="1" val="0"/>
</file>

<file path=xl/ctrlProps/ctrlProp200.xml><?xml version="1.0" encoding="utf-8"?>
<formControlPr xmlns="http://schemas.microsoft.com/office/spreadsheetml/2009/9/main" objectType="Drop" dropStyle="combo" dx="39" fmlaLink="$BW$78" fmlaRange="FuelCategory_v2" noThreeD="1" sel="1" val="0"/>
</file>

<file path=xl/ctrlProps/ctrlProp201.xml><?xml version="1.0" encoding="utf-8"?>
<formControlPr xmlns="http://schemas.microsoft.com/office/spreadsheetml/2009/9/main" objectType="Drop" dropStyle="combo" dx="39" fmlaLink="$BW$79" fmlaRange="FuelCategory_v2" noThreeD="1" sel="1" val="0"/>
</file>

<file path=xl/ctrlProps/ctrlProp202.xml><?xml version="1.0" encoding="utf-8"?>
<formControlPr xmlns="http://schemas.microsoft.com/office/spreadsheetml/2009/9/main" objectType="Drop" dropStyle="combo" dx="39" fmlaLink="$BW$80" fmlaRange="FuelCategory_v2" noThreeD="1" sel="1" val="0"/>
</file>

<file path=xl/ctrlProps/ctrlProp203.xml><?xml version="1.0" encoding="utf-8"?>
<formControlPr xmlns="http://schemas.microsoft.com/office/spreadsheetml/2009/9/main" objectType="Drop" dropStyle="combo" dx="39" fmlaLink="$BW$81" fmlaRange="FuelCategory_v2" noThreeD="1" sel="1" val="0"/>
</file>

<file path=xl/ctrlProps/ctrlProp204.xml><?xml version="1.0" encoding="utf-8"?>
<formControlPr xmlns="http://schemas.microsoft.com/office/spreadsheetml/2009/9/main" objectType="Drop" dropStyle="combo" dx="39" fmlaLink="$BW$82" fmlaRange="FuelCategory_v2" noThreeD="1" sel="1" val="0"/>
</file>

<file path=xl/ctrlProps/ctrlProp205.xml><?xml version="1.0" encoding="utf-8"?>
<formControlPr xmlns="http://schemas.microsoft.com/office/spreadsheetml/2009/9/main" objectType="Drop" dropStyle="combo" dx="39" fmlaLink="$BW$83" fmlaRange="FuelCategory_v2" noThreeD="1" sel="1" val="0"/>
</file>

<file path=xl/ctrlProps/ctrlProp206.xml><?xml version="1.0" encoding="utf-8"?>
<formControlPr xmlns="http://schemas.microsoft.com/office/spreadsheetml/2009/9/main" objectType="Drop" dropStyle="combo" dx="39" fmlaLink="$BW$84" fmlaRange="FuelCategory_v2" noThreeD="1" sel="1" val="0"/>
</file>

<file path=xl/ctrlProps/ctrlProp207.xml><?xml version="1.0" encoding="utf-8"?>
<formControlPr xmlns="http://schemas.microsoft.com/office/spreadsheetml/2009/9/main" objectType="Drop" dropStyle="combo" dx="39" fmlaLink="$BW$85" fmlaRange="FuelCategory_v2" noThreeD="1" sel="1" val="0"/>
</file>

<file path=xl/ctrlProps/ctrlProp208.xml><?xml version="1.0" encoding="utf-8"?>
<formControlPr xmlns="http://schemas.microsoft.com/office/spreadsheetml/2009/9/main" objectType="Drop" dropStyle="combo" dx="39" fmlaLink="$BX$58" fmlaRange="_DR55" noThreeD="1" sel="0" val="0"/>
</file>

<file path=xl/ctrlProps/ctrlProp209.xml><?xml version="1.0" encoding="utf-8"?>
<formControlPr xmlns="http://schemas.microsoft.com/office/spreadsheetml/2009/9/main" objectType="Drop" dropStyle="combo" dx="39" fmlaLink="$BX$76" fmlaRange="_DR73" noThreeD="1" sel="0" val="0"/>
</file>

<file path=xl/ctrlProps/ctrlProp21.xml><?xml version="1.0" encoding="utf-8"?>
<formControlPr xmlns="http://schemas.microsoft.com/office/spreadsheetml/2009/9/main" objectType="Drop" dropStyle="combo" dx="39" fmlaLink="$F$27" fmlaRange="SourceOfQuantity" noThreeD="1" sel="1" val="0"/>
</file>

<file path=xl/ctrlProps/ctrlProp210.xml><?xml version="1.0" encoding="utf-8"?>
<formControlPr xmlns="http://schemas.microsoft.com/office/spreadsheetml/2009/9/main" objectType="Drop" dropStyle="combo" dx="39" fmlaLink="$BX$77" fmlaRange="_DR74" noThreeD="1" sel="0" val="0"/>
</file>

<file path=xl/ctrlProps/ctrlProp211.xml><?xml version="1.0" encoding="utf-8"?>
<formControlPr xmlns="http://schemas.microsoft.com/office/spreadsheetml/2009/9/main" objectType="Drop" dropStyle="combo" dx="39" fmlaLink="$BX$78" fmlaRange="_DR75" noThreeD="1" sel="0" val="0"/>
</file>

<file path=xl/ctrlProps/ctrlProp212.xml><?xml version="1.0" encoding="utf-8"?>
<formControlPr xmlns="http://schemas.microsoft.com/office/spreadsheetml/2009/9/main" objectType="Drop" dropStyle="combo" dx="39" fmlaLink="$BX$79" fmlaRange="_DR76" noThreeD="1" sel="0" val="0"/>
</file>

<file path=xl/ctrlProps/ctrlProp213.xml><?xml version="1.0" encoding="utf-8"?>
<formControlPr xmlns="http://schemas.microsoft.com/office/spreadsheetml/2009/9/main" objectType="Drop" dropStyle="combo" dx="39" fmlaLink="$BX$80" fmlaRange="_DR77" noThreeD="1" sel="0" val="0"/>
</file>

<file path=xl/ctrlProps/ctrlProp214.xml><?xml version="1.0" encoding="utf-8"?>
<formControlPr xmlns="http://schemas.microsoft.com/office/spreadsheetml/2009/9/main" objectType="Drop" dropStyle="combo" dx="39" fmlaLink="$BX$81" fmlaRange="_DR78" noThreeD="1" sel="0" val="0"/>
</file>

<file path=xl/ctrlProps/ctrlProp215.xml><?xml version="1.0" encoding="utf-8"?>
<formControlPr xmlns="http://schemas.microsoft.com/office/spreadsheetml/2009/9/main" objectType="Drop" dropStyle="combo" dx="39" fmlaLink="$BX$82" fmlaRange="_DR79" noThreeD="1" sel="0" val="0"/>
</file>

<file path=xl/ctrlProps/ctrlProp216.xml><?xml version="1.0" encoding="utf-8"?>
<formControlPr xmlns="http://schemas.microsoft.com/office/spreadsheetml/2009/9/main" objectType="Drop" dropStyle="combo" dx="39" fmlaLink="$BX$83" fmlaRange="_DR80" noThreeD="1" sel="0" val="0"/>
</file>

<file path=xl/ctrlProps/ctrlProp217.xml><?xml version="1.0" encoding="utf-8"?>
<formControlPr xmlns="http://schemas.microsoft.com/office/spreadsheetml/2009/9/main" objectType="Drop" dropStyle="combo" dx="39" fmlaLink="$BX$84" fmlaRange="_DR81" noThreeD="1" sel="0" val="0"/>
</file>

<file path=xl/ctrlProps/ctrlProp218.xml><?xml version="1.0" encoding="utf-8"?>
<formControlPr xmlns="http://schemas.microsoft.com/office/spreadsheetml/2009/9/main" objectType="Drop" dropStyle="combo" dx="39" fmlaLink="$BX$85" fmlaRange="_DR82" noThreeD="1" sel="0" val="0"/>
</file>

<file path=xl/ctrlProps/ctrlProp219.xml><?xml version="1.0" encoding="utf-8"?>
<formControlPr xmlns="http://schemas.microsoft.com/office/spreadsheetml/2009/9/main" objectType="Drop" dropStyle="combo" dx="39" fmlaLink="$M$58" fmlaRange="Basis" noThreeD="1" sel="1" val="0"/>
</file>

<file path=xl/ctrlProps/ctrlProp22.xml><?xml version="1.0" encoding="utf-8"?>
<formControlPr xmlns="http://schemas.microsoft.com/office/spreadsheetml/2009/9/main" objectType="Drop" dropStyle="combo" dx="39" fmlaLink="$F$28" fmlaRange="SourceOfQuantity" noThreeD="1" sel="1" val="0"/>
</file>

<file path=xl/ctrlProps/ctrlProp220.xml><?xml version="1.0" encoding="utf-8"?>
<formControlPr xmlns="http://schemas.microsoft.com/office/spreadsheetml/2009/9/main" objectType="Drop" dropStyle="combo" dx="39" fmlaLink="$M$76" fmlaRange="Basis" noThreeD="1" sel="1" val="0"/>
</file>

<file path=xl/ctrlProps/ctrlProp221.xml><?xml version="1.0" encoding="utf-8"?>
<formControlPr xmlns="http://schemas.microsoft.com/office/spreadsheetml/2009/9/main" objectType="Drop" dropStyle="combo" dx="39" fmlaLink="$M$77" fmlaRange="Basis" noThreeD="1" sel="1" val="0"/>
</file>

<file path=xl/ctrlProps/ctrlProp222.xml><?xml version="1.0" encoding="utf-8"?>
<formControlPr xmlns="http://schemas.microsoft.com/office/spreadsheetml/2009/9/main" objectType="Drop" dropStyle="combo" dx="39" fmlaLink="$M$78" fmlaRange="Basis" noThreeD="1" sel="1" val="0"/>
</file>

<file path=xl/ctrlProps/ctrlProp223.xml><?xml version="1.0" encoding="utf-8"?>
<formControlPr xmlns="http://schemas.microsoft.com/office/spreadsheetml/2009/9/main" objectType="Drop" dropStyle="combo" dx="39" fmlaLink="$M$79" fmlaRange="Basis" noThreeD="1" sel="1" val="0"/>
</file>

<file path=xl/ctrlProps/ctrlProp224.xml><?xml version="1.0" encoding="utf-8"?>
<formControlPr xmlns="http://schemas.microsoft.com/office/spreadsheetml/2009/9/main" objectType="Drop" dropStyle="combo" dx="39" fmlaLink="$M$80" fmlaRange="Basis" noThreeD="1" sel="1" val="0"/>
</file>

<file path=xl/ctrlProps/ctrlProp225.xml><?xml version="1.0" encoding="utf-8"?>
<formControlPr xmlns="http://schemas.microsoft.com/office/spreadsheetml/2009/9/main" objectType="Drop" dropStyle="combo" dx="39" fmlaLink="$M$81" fmlaRange="Basis" noThreeD="1" sel="1" val="0"/>
</file>

<file path=xl/ctrlProps/ctrlProp226.xml><?xml version="1.0" encoding="utf-8"?>
<formControlPr xmlns="http://schemas.microsoft.com/office/spreadsheetml/2009/9/main" objectType="Drop" dropStyle="combo" dx="39" fmlaLink="$M$82" fmlaRange="Basis" noThreeD="1" sel="1" val="0"/>
</file>

<file path=xl/ctrlProps/ctrlProp227.xml><?xml version="1.0" encoding="utf-8"?>
<formControlPr xmlns="http://schemas.microsoft.com/office/spreadsheetml/2009/9/main" objectType="Drop" dropStyle="combo" dx="39" fmlaLink="$M$83" fmlaRange="Basis" noThreeD="1" sel="1" val="0"/>
</file>

<file path=xl/ctrlProps/ctrlProp228.xml><?xml version="1.0" encoding="utf-8"?>
<formControlPr xmlns="http://schemas.microsoft.com/office/spreadsheetml/2009/9/main" objectType="Drop" dropStyle="combo" dx="39" fmlaLink="$M$84" fmlaRange="Basis" noThreeD="1" sel="1" val="0"/>
</file>

<file path=xl/ctrlProps/ctrlProp229.xml><?xml version="1.0" encoding="utf-8"?>
<formControlPr xmlns="http://schemas.microsoft.com/office/spreadsheetml/2009/9/main" objectType="Drop" dropStyle="combo" dx="39" fmlaLink="$M$85" fmlaRange="Basis" noThreeD="1" sel="1" val="0"/>
</file>

<file path=xl/ctrlProps/ctrlProp23.xml><?xml version="1.0" encoding="utf-8"?>
<formControlPr xmlns="http://schemas.microsoft.com/office/spreadsheetml/2009/9/main" objectType="Drop" dropStyle="combo" dx="39" fmlaLink="$F$29" fmlaRange="SourceOfQuantity" noThreeD="1" sel="1" val="0"/>
</file>

<file path=xl/ctrlProps/ctrlProp230.xml><?xml version="1.0" encoding="utf-8"?>
<formControlPr xmlns="http://schemas.microsoft.com/office/spreadsheetml/2009/9/main" objectType="Drop" dropStyle="combo" dx="39" fmlaLink="$B$26" fmlaRange="ProducedWaterStorageSystemType" noThreeD="1" sel="3" val="0"/>
</file>

<file path=xl/ctrlProps/ctrlProp231.xml><?xml version="1.0" encoding="utf-8"?>
<formControlPr xmlns="http://schemas.microsoft.com/office/spreadsheetml/2009/9/main" objectType="Drop" dropStyle="combo" dx="39" fmlaLink="$B$16" fmlaRange="OilStorageSystemType" noThreeD="1" sel="3" val="0"/>
</file>

<file path=xl/ctrlProps/ctrlProp232.xml><?xml version="1.0" encoding="utf-8"?>
<formControlPr xmlns="http://schemas.microsoft.com/office/spreadsheetml/2009/9/main" objectType="Drop" dropStyle="combo" dx="39" fmlaLink="A16" fmlaRange="VentControlDevice" noThreeD="1" sel="2" val="0"/>
</file>

<file path=xl/ctrlProps/ctrlProp233.xml><?xml version="1.0" encoding="utf-8"?>
<formControlPr xmlns="http://schemas.microsoft.com/office/spreadsheetml/2009/9/main" objectType="Drop" dropStyle="combo" dx="39" fmlaLink="$A$26" fmlaRange="VentControlDevice" noThreeD="1" sel="2" val="0"/>
</file>

<file path=xl/ctrlProps/ctrlProp234.xml><?xml version="1.0" encoding="utf-8"?>
<formControlPr xmlns="http://schemas.microsoft.com/office/spreadsheetml/2009/9/main" objectType="Drop" dropStyle="combo" dx="39" fmlaLink="$V$8" fmlaRange="ValidValveCF" noThreeD="1" sel="1" val="0"/>
</file>

<file path=xl/ctrlProps/ctrlProp235.xml><?xml version="1.0" encoding="utf-8"?>
<formControlPr xmlns="http://schemas.microsoft.com/office/spreadsheetml/2009/9/main" objectType="Drop" dropStyle="combo" dx="39" fmlaLink="$V$9" fmlaRange="ValidValveCF" noThreeD="1" sel="1" val="0"/>
</file>

<file path=xl/ctrlProps/ctrlProp236.xml><?xml version="1.0" encoding="utf-8"?>
<formControlPr xmlns="http://schemas.microsoft.com/office/spreadsheetml/2009/9/main" objectType="Drop" dropStyle="combo" dx="39" fmlaLink="$V$10" fmlaRange="ValidValveCF" noThreeD="1" sel="1" val="0"/>
</file>

<file path=xl/ctrlProps/ctrlProp237.xml><?xml version="1.0" encoding="utf-8"?>
<formControlPr xmlns="http://schemas.microsoft.com/office/spreadsheetml/2009/9/main" objectType="Drop" dropStyle="combo" dx="39" fmlaLink="$V$11" fmlaRange="ValidValveCF" noThreeD="1" sel="1" val="0"/>
</file>

<file path=xl/ctrlProps/ctrlProp238.xml><?xml version="1.0" encoding="utf-8"?>
<formControlPr xmlns="http://schemas.microsoft.com/office/spreadsheetml/2009/9/main" objectType="Drop" dropStyle="combo" dx="39" fmlaLink="$V$12" fmlaRange="ValidValveCF" noThreeD="1" sel="1" val="0"/>
</file>

<file path=xl/ctrlProps/ctrlProp239.xml><?xml version="1.0" encoding="utf-8"?>
<formControlPr xmlns="http://schemas.microsoft.com/office/spreadsheetml/2009/9/main" objectType="Drop" dropStyle="combo" dx="39" fmlaLink="$V$13" fmlaRange="ValidPumpCF" noThreeD="1" sel="3" val="0"/>
</file>

<file path=xl/ctrlProps/ctrlProp24.xml><?xml version="1.0" encoding="utf-8"?>
<formControlPr xmlns="http://schemas.microsoft.com/office/spreadsheetml/2009/9/main" objectType="Drop" dropStyle="combo" dx="39" fmlaLink="$F$30" fmlaRange="SourceOfQuantity" noThreeD="1" sel="1" val="0"/>
</file>

<file path=xl/ctrlProps/ctrlProp240.xml><?xml version="1.0" encoding="utf-8"?>
<formControlPr xmlns="http://schemas.microsoft.com/office/spreadsheetml/2009/9/main" objectType="Drop" dropStyle="combo" dx="39" fmlaLink="$V$14" fmlaRange="ValidPumpCF" noThreeD="1" sel="3" val="0"/>
</file>

<file path=xl/ctrlProps/ctrlProp241.xml><?xml version="1.0" encoding="utf-8"?>
<formControlPr xmlns="http://schemas.microsoft.com/office/spreadsheetml/2009/9/main" objectType="Drop" dropStyle="combo" dx="39" fmlaLink="$V$15" fmlaRange="ValidCompSealCF" noThreeD="1" sel="3" val="0"/>
</file>

<file path=xl/ctrlProps/ctrlProp242.xml><?xml version="1.0" encoding="utf-8"?>
<formControlPr xmlns="http://schemas.microsoft.com/office/spreadsheetml/2009/9/main" objectType="Drop" dropStyle="combo" dx="39" fmlaLink="$V$16" fmlaRange="ValidCompSealCF" noThreeD="1" sel="3" val="0"/>
</file>

<file path=xl/ctrlProps/ctrlProp243.xml><?xml version="1.0" encoding="utf-8"?>
<formControlPr xmlns="http://schemas.microsoft.com/office/spreadsheetml/2009/9/main" objectType="Drop" dropStyle="combo" dx="39" fmlaLink="$V$17" fmlaRange="ValidCompSealCF" noThreeD="1" sel="3" val="0"/>
</file>

<file path=xl/ctrlProps/ctrlProp244.xml><?xml version="1.0" encoding="utf-8"?>
<formControlPr xmlns="http://schemas.microsoft.com/office/spreadsheetml/2009/9/main" objectType="Drop" dropStyle="combo" dx="39" fmlaLink="$V$18" fmlaRange="ValidCompSealCF" noThreeD="1" sel="3" val="0"/>
</file>

<file path=xl/ctrlProps/ctrlProp245.xml><?xml version="1.0" encoding="utf-8"?>
<formControlPr xmlns="http://schemas.microsoft.com/office/spreadsheetml/2009/9/main" objectType="Drop" dropStyle="combo" dx="39" fmlaLink="$V$19" fmlaRange="ValidCompSealCF" noThreeD="1" sel="3" val="0"/>
</file>

<file path=xl/ctrlProps/ctrlProp246.xml><?xml version="1.0" encoding="utf-8"?>
<formControlPr xmlns="http://schemas.microsoft.com/office/spreadsheetml/2009/9/main" objectType="Drop" dropStyle="combo" dx="39" fmlaLink="$V$20" fmlaRange="ValidCompSealCF" noThreeD="1" sel="3" val="0"/>
</file>

<file path=xl/ctrlProps/ctrlProp247.xml><?xml version="1.0" encoding="utf-8"?>
<formControlPr xmlns="http://schemas.microsoft.com/office/spreadsheetml/2009/9/main" objectType="Drop" dropStyle="combo" dx="39" fmlaLink="$V$24" fmlaRange="ValidCompCrankcaseCF" noThreeD="1" sel="2" val="0"/>
</file>

<file path=xl/ctrlProps/ctrlProp248.xml><?xml version="1.0" encoding="utf-8"?>
<formControlPr xmlns="http://schemas.microsoft.com/office/spreadsheetml/2009/9/main" objectType="Drop" dropStyle="combo" dx="39" fmlaLink="$V$25" fmlaRange="ValidPRVCF" noThreeD="1" sel="2" val="0"/>
</file>

<file path=xl/ctrlProps/ctrlProp249.xml><?xml version="1.0" encoding="utf-8"?>
<formControlPr xmlns="http://schemas.microsoft.com/office/spreadsheetml/2009/9/main" objectType="Drop" dropStyle="combo" dx="39" fmlaLink="$V$26" fmlaRange="ValidRegulatorCF" noThreeD="1" sel="1" val="0"/>
</file>

<file path=xl/ctrlProps/ctrlProp25.xml><?xml version="1.0" encoding="utf-8"?>
<formControlPr xmlns="http://schemas.microsoft.com/office/spreadsheetml/2009/9/main" objectType="Drop" dropStyle="combo" dx="39" fmlaLink="$I$74" fmlaRange="SourceOfQuantity" noThreeD="1" sel="3" val="0"/>
</file>

<file path=xl/ctrlProps/ctrlProp250.xml><?xml version="1.0" encoding="utf-8"?>
<formControlPr xmlns="http://schemas.microsoft.com/office/spreadsheetml/2009/9/main" objectType="Drop" dropStyle="combo" dx="39" fmlaLink="$V$27" fmlaRange="ValidConnectorCF" noThreeD="1" sel="1" val="0"/>
</file>

<file path=xl/ctrlProps/ctrlProp251.xml><?xml version="1.0" encoding="utf-8"?>
<formControlPr xmlns="http://schemas.microsoft.com/office/spreadsheetml/2009/9/main" objectType="Drop" dropStyle="combo" dx="39" fmlaLink="$V$28" fmlaRange="ValidConnectorCF" noThreeD="1" sel="1" val="0"/>
</file>

<file path=xl/ctrlProps/ctrlProp252.xml><?xml version="1.0" encoding="utf-8"?>
<formControlPr xmlns="http://schemas.microsoft.com/office/spreadsheetml/2009/9/main" objectType="Drop" dropStyle="combo" dx="39" fmlaLink="$V$29" fmlaRange="ValidConnectorCF" noThreeD="1" sel="1" val="0"/>
</file>

<file path=xl/ctrlProps/ctrlProp253.xml><?xml version="1.0" encoding="utf-8"?>
<formControlPr xmlns="http://schemas.microsoft.com/office/spreadsheetml/2009/9/main" objectType="Drop" dropStyle="combo" dx="39" fmlaLink="$V$30" fmlaRange="ValidOELCF" noThreeD="1" sel="2" val="0"/>
</file>

<file path=xl/ctrlProps/ctrlProp254.xml><?xml version="1.0" encoding="utf-8"?>
<formControlPr xmlns="http://schemas.microsoft.com/office/spreadsheetml/2009/9/main" objectType="Drop" dropStyle="combo" dx="39" fmlaLink="$V$31" fmlaRange="ValidOELCF" noThreeD="1" sel="2" val="0"/>
</file>

<file path=xl/ctrlProps/ctrlProp255.xml><?xml version="1.0" encoding="utf-8"?>
<formControlPr xmlns="http://schemas.microsoft.com/office/spreadsheetml/2009/9/main" objectType="Drop" dropStyle="combo" dx="39" fmlaLink="$V$32" fmlaRange="ValidOELCF" noThreeD="1" sel="2" val="0"/>
</file>

<file path=xl/ctrlProps/ctrlProp256.xml><?xml version="1.0" encoding="utf-8"?>
<formControlPr xmlns="http://schemas.microsoft.com/office/spreadsheetml/2009/9/main" objectType="Drop" dropStyle="combo" dx="39" fmlaLink="$V$33" fmlaRange="ValidSampConCF" noThreeD="1" sel="2" val="0"/>
</file>

<file path=xl/ctrlProps/ctrlProp257.xml><?xml version="1.0" encoding="utf-8"?>
<formControlPr xmlns="http://schemas.microsoft.com/office/spreadsheetml/2009/9/main" objectType="Drop" dropStyle="combo" dx="39" fmlaLink="$V$34" fmlaRange="ValidDrainCF" noThreeD="1" sel="2" val="0"/>
</file>

<file path=xl/ctrlProps/ctrlProp258.xml><?xml version="1.0" encoding="utf-8"?>
<formControlPr xmlns="http://schemas.microsoft.com/office/spreadsheetml/2009/9/main" objectType="Drop" dropStyle="combo" dx="39" fmlaLink="$V$35" fmlaRange="ValidValveCF" noThreeD="1" sel="1" val="0"/>
</file>

<file path=xl/ctrlProps/ctrlProp259.xml><?xml version="1.0" encoding="utf-8"?>
<formControlPr xmlns="http://schemas.microsoft.com/office/spreadsheetml/2009/9/main" objectType="Drop" dropStyle="combo" dx="39" fmlaLink="$V$36" fmlaRange="ValidValveCF" noThreeD="1" sel="1" val="0"/>
</file>

<file path=xl/ctrlProps/ctrlProp26.xml><?xml version="1.0" encoding="utf-8"?>
<formControlPr xmlns="http://schemas.microsoft.com/office/spreadsheetml/2009/9/main" objectType="Drop" dropStyle="combo" dx="39" fmlaLink="$I$75" fmlaRange="SourceOfQuantity" noThreeD="1" sel="3" val="0"/>
</file>

<file path=xl/ctrlProps/ctrlProp260.xml><?xml version="1.0" encoding="utf-8"?>
<formControlPr xmlns="http://schemas.microsoft.com/office/spreadsheetml/2009/9/main" objectType="Drop" dropStyle="combo" dx="39" fmlaLink="$V$37" fmlaRange="ValidValveCF" noThreeD="1" sel="1" val="0"/>
</file>

<file path=xl/ctrlProps/ctrlProp261.xml><?xml version="1.0" encoding="utf-8"?>
<formControlPr xmlns="http://schemas.microsoft.com/office/spreadsheetml/2009/9/main" objectType="Drop" dropStyle="combo" dx="39" fmlaLink="$V$38" fmlaRange="ValidOtherCF" noThreeD="1" sel="1" val="0"/>
</file>

<file path=xl/ctrlProps/ctrlProp262.xml><?xml version="1.0" encoding="utf-8"?>
<formControlPr xmlns="http://schemas.microsoft.com/office/spreadsheetml/2009/9/main" objectType="Drop" dropStyle="combo" dx="39" fmlaLink="$V$39" fmlaRange="ValidOtherCF" noThreeD="1" sel="1" val="0"/>
</file>

<file path=xl/ctrlProps/ctrlProp263.xml><?xml version="1.0" encoding="utf-8"?>
<formControlPr xmlns="http://schemas.microsoft.com/office/spreadsheetml/2009/9/main" objectType="Drop" dropStyle="combo" dx="39" fmlaLink="$V$40" fmlaRange="ValidOtherCF" noThreeD="1" sel="1" val="0"/>
</file>

<file path=xl/ctrlProps/ctrlProp264.xml><?xml version="1.0" encoding="utf-8"?>
<formControlPr xmlns="http://schemas.microsoft.com/office/spreadsheetml/2009/9/main" objectType="Drop" dropStyle="combo" dx="39" fmlaLink="$V$50" fmlaRange="ValidValveCF" noThreeD="1" sel="1" val="0"/>
</file>

<file path=xl/ctrlProps/ctrlProp265.xml><?xml version="1.0" encoding="utf-8"?>
<formControlPr xmlns="http://schemas.microsoft.com/office/spreadsheetml/2009/9/main" objectType="Drop" dropStyle="combo" dx="39" fmlaLink="$V$51" fmlaRange="ValidValveCF" noThreeD="1" sel="1" val="0"/>
</file>

<file path=xl/ctrlProps/ctrlProp266.xml><?xml version="1.0" encoding="utf-8"?>
<formControlPr xmlns="http://schemas.microsoft.com/office/spreadsheetml/2009/9/main" objectType="Drop" dropStyle="combo" dx="39" fmlaLink="$V$52" fmlaRange="ValidValveCF" noThreeD="1" sel="1" val="0"/>
</file>

<file path=xl/ctrlProps/ctrlProp267.xml><?xml version="1.0" encoding="utf-8"?>
<formControlPr xmlns="http://schemas.microsoft.com/office/spreadsheetml/2009/9/main" objectType="Drop" dropStyle="combo" dx="39" fmlaLink="$V$53" fmlaRange="ValidValveCF" noThreeD="1" sel="1" val="0"/>
</file>

<file path=xl/ctrlProps/ctrlProp268.xml><?xml version="1.0" encoding="utf-8"?>
<formControlPr xmlns="http://schemas.microsoft.com/office/spreadsheetml/2009/9/main" objectType="Drop" dropStyle="combo" dx="39" fmlaLink="$V$54" fmlaRange="ValidValveCF" noThreeD="1" sel="1" val="0"/>
</file>

<file path=xl/ctrlProps/ctrlProp269.xml><?xml version="1.0" encoding="utf-8"?>
<formControlPr xmlns="http://schemas.microsoft.com/office/spreadsheetml/2009/9/main" objectType="Drop" dropStyle="combo" dx="39" fmlaLink="$V$55" fmlaRange="ValidPumpCF" noThreeD="1" sel="3" val="0"/>
</file>

<file path=xl/ctrlProps/ctrlProp27.xml><?xml version="1.0" encoding="utf-8"?>
<formControlPr xmlns="http://schemas.microsoft.com/office/spreadsheetml/2009/9/main" objectType="Drop" dropStyle="combo" dx="39" fmlaLink="$I$76" fmlaRange="SourceOfQuantity" noThreeD="1" sel="3" val="0"/>
</file>

<file path=xl/ctrlProps/ctrlProp270.xml><?xml version="1.0" encoding="utf-8"?>
<formControlPr xmlns="http://schemas.microsoft.com/office/spreadsheetml/2009/9/main" objectType="Drop" dropStyle="combo" dx="39" fmlaLink="$V$56" fmlaRange="ValidPumpCF" noThreeD="1" sel="3" val="0"/>
</file>

<file path=xl/ctrlProps/ctrlProp271.xml><?xml version="1.0" encoding="utf-8"?>
<formControlPr xmlns="http://schemas.microsoft.com/office/spreadsheetml/2009/9/main" objectType="Drop" dropStyle="combo" dx="39" fmlaLink="$V$57" fmlaRange="ValidCompSealCF" noThreeD="1" sel="3" val="0"/>
</file>

<file path=xl/ctrlProps/ctrlProp272.xml><?xml version="1.0" encoding="utf-8"?>
<formControlPr xmlns="http://schemas.microsoft.com/office/spreadsheetml/2009/9/main" objectType="Drop" dropStyle="combo" dx="39" fmlaLink="$V$58" fmlaRange="ValidCompSealCF" noThreeD="1" sel="3" val="0"/>
</file>

<file path=xl/ctrlProps/ctrlProp273.xml><?xml version="1.0" encoding="utf-8"?>
<formControlPr xmlns="http://schemas.microsoft.com/office/spreadsheetml/2009/9/main" objectType="Drop" dropStyle="combo" dx="39" fmlaLink="$V$59" fmlaRange="ValidCompSealCF" noThreeD="1" sel="3" val="0"/>
</file>

<file path=xl/ctrlProps/ctrlProp274.xml><?xml version="1.0" encoding="utf-8"?>
<formControlPr xmlns="http://schemas.microsoft.com/office/spreadsheetml/2009/9/main" objectType="Drop" dropStyle="combo" dx="39" fmlaLink="$V$60" fmlaRange="ValidCompSealCF" noThreeD="1" sel="3" val="0"/>
</file>

<file path=xl/ctrlProps/ctrlProp275.xml><?xml version="1.0" encoding="utf-8"?>
<formControlPr xmlns="http://schemas.microsoft.com/office/spreadsheetml/2009/9/main" objectType="Drop" dropStyle="combo" dx="39" fmlaLink="$V$61" fmlaRange="ValidCompSealCF" noThreeD="1" sel="3" val="0"/>
</file>

<file path=xl/ctrlProps/ctrlProp276.xml><?xml version="1.0" encoding="utf-8"?>
<formControlPr xmlns="http://schemas.microsoft.com/office/spreadsheetml/2009/9/main" objectType="Drop" dropStyle="combo" dx="39" fmlaLink="$V$62" fmlaRange="ValidCompSealCF" noThreeD="1" sel="3" val="0"/>
</file>

<file path=xl/ctrlProps/ctrlProp277.xml><?xml version="1.0" encoding="utf-8"?>
<formControlPr xmlns="http://schemas.microsoft.com/office/spreadsheetml/2009/9/main" objectType="Drop" dropStyle="combo" dx="39" fmlaLink="$V$66" fmlaRange="ValidCompCrankcaseCF" noThreeD="1" sel="2" val="0"/>
</file>

<file path=xl/ctrlProps/ctrlProp278.xml><?xml version="1.0" encoding="utf-8"?>
<formControlPr xmlns="http://schemas.microsoft.com/office/spreadsheetml/2009/9/main" objectType="Drop" dropStyle="combo" dx="39" fmlaLink="$V$67" fmlaRange="ValidPRVCF" noThreeD="1" sel="2" val="0"/>
</file>

<file path=xl/ctrlProps/ctrlProp279.xml><?xml version="1.0" encoding="utf-8"?>
<formControlPr xmlns="http://schemas.microsoft.com/office/spreadsheetml/2009/9/main" objectType="Drop" dropStyle="combo" dx="39" fmlaLink="$V$68" fmlaRange="ValidRegulatorCF" noThreeD="1" sel="1" val="0"/>
</file>

<file path=xl/ctrlProps/ctrlProp28.xml><?xml version="1.0" encoding="utf-8"?>
<formControlPr xmlns="http://schemas.microsoft.com/office/spreadsheetml/2009/9/main" objectType="Drop" dropStyle="combo" dx="39" fmlaLink="$I$77" fmlaRange="SourceOfQuantity" noThreeD="1" sel="3" val="0"/>
</file>

<file path=xl/ctrlProps/ctrlProp280.xml><?xml version="1.0" encoding="utf-8"?>
<formControlPr xmlns="http://schemas.microsoft.com/office/spreadsheetml/2009/9/main" objectType="Drop" dropStyle="combo" dx="39" fmlaLink="$V$69" fmlaRange="ValidConnectorCF" noThreeD="1" sel="1" val="0"/>
</file>

<file path=xl/ctrlProps/ctrlProp281.xml><?xml version="1.0" encoding="utf-8"?>
<formControlPr xmlns="http://schemas.microsoft.com/office/spreadsheetml/2009/9/main" objectType="Drop" dropStyle="combo" dx="39" fmlaLink="$V$70" fmlaRange="ValidConnectorCF" noThreeD="1" sel="1" val="0"/>
</file>

<file path=xl/ctrlProps/ctrlProp282.xml><?xml version="1.0" encoding="utf-8"?>
<formControlPr xmlns="http://schemas.microsoft.com/office/spreadsheetml/2009/9/main" objectType="Drop" dropStyle="combo" dx="39" fmlaLink="$V$71" fmlaRange="ValidConnectorCF" noThreeD="1" sel="1" val="0"/>
</file>

<file path=xl/ctrlProps/ctrlProp283.xml><?xml version="1.0" encoding="utf-8"?>
<formControlPr xmlns="http://schemas.microsoft.com/office/spreadsheetml/2009/9/main" objectType="Drop" dropStyle="combo" dx="39" fmlaLink="$V$72" fmlaRange="ValidOELCF" noThreeD="1" sel="2" val="0"/>
</file>

<file path=xl/ctrlProps/ctrlProp284.xml><?xml version="1.0" encoding="utf-8"?>
<formControlPr xmlns="http://schemas.microsoft.com/office/spreadsheetml/2009/9/main" objectType="Drop" dropStyle="combo" dx="39" fmlaLink="$V$73" fmlaRange="ValidOELCF" noThreeD="1" sel="2" val="0"/>
</file>

<file path=xl/ctrlProps/ctrlProp285.xml><?xml version="1.0" encoding="utf-8"?>
<formControlPr xmlns="http://schemas.microsoft.com/office/spreadsheetml/2009/9/main" objectType="Drop" dropStyle="combo" dx="39" fmlaLink="$V$74" fmlaRange="ValidOELCF" noThreeD="1" sel="2" val="0"/>
</file>

<file path=xl/ctrlProps/ctrlProp286.xml><?xml version="1.0" encoding="utf-8"?>
<formControlPr xmlns="http://schemas.microsoft.com/office/spreadsheetml/2009/9/main" objectType="Drop" dropStyle="combo" dx="39" fmlaLink="$V$75" fmlaRange="ValidSampConCF" noThreeD="1" sel="2" val="0"/>
</file>

<file path=xl/ctrlProps/ctrlProp287.xml><?xml version="1.0" encoding="utf-8"?>
<formControlPr xmlns="http://schemas.microsoft.com/office/spreadsheetml/2009/9/main" objectType="Drop" dropStyle="combo" dx="39" fmlaLink="$V$76" fmlaRange="ValidDrainCF" noThreeD="1" sel="2" val="0"/>
</file>

<file path=xl/ctrlProps/ctrlProp288.xml><?xml version="1.0" encoding="utf-8"?>
<formControlPr xmlns="http://schemas.microsoft.com/office/spreadsheetml/2009/9/main" objectType="Drop" dropStyle="combo" dx="39" fmlaLink="$V$77" fmlaRange="ValidValveCF" noThreeD="1" sel="1" val="0"/>
</file>

<file path=xl/ctrlProps/ctrlProp289.xml><?xml version="1.0" encoding="utf-8"?>
<formControlPr xmlns="http://schemas.microsoft.com/office/spreadsheetml/2009/9/main" objectType="Drop" dropStyle="combo" dx="39" fmlaLink="$V$78" fmlaRange="ValidValveCF" noThreeD="1" sel="1" val="0"/>
</file>

<file path=xl/ctrlProps/ctrlProp29.xml><?xml version="1.0" encoding="utf-8"?>
<formControlPr xmlns="http://schemas.microsoft.com/office/spreadsheetml/2009/9/main" objectType="Drop" dropStyle="combo" dx="39" fmlaLink="$I$78" fmlaRange="SourceOfQuantity" noThreeD="1" sel="3" val="0"/>
</file>

<file path=xl/ctrlProps/ctrlProp290.xml><?xml version="1.0" encoding="utf-8"?>
<formControlPr xmlns="http://schemas.microsoft.com/office/spreadsheetml/2009/9/main" objectType="Drop" dropStyle="combo" dx="39" fmlaLink="$V$79" fmlaRange="ValidValveCF" noThreeD="1" sel="1" val="0"/>
</file>

<file path=xl/ctrlProps/ctrlProp291.xml><?xml version="1.0" encoding="utf-8"?>
<formControlPr xmlns="http://schemas.microsoft.com/office/spreadsheetml/2009/9/main" objectType="Drop" dropStyle="combo" dx="39" fmlaLink="$V$80" fmlaRange="ValidOtherCF" noThreeD="1" sel="1" val="0"/>
</file>

<file path=xl/ctrlProps/ctrlProp292.xml><?xml version="1.0" encoding="utf-8"?>
<formControlPr xmlns="http://schemas.microsoft.com/office/spreadsheetml/2009/9/main" objectType="Drop" dropStyle="combo" dx="39" fmlaLink="$V$81" fmlaRange="ValidOtherCF" noThreeD="1" sel="1" val="0"/>
</file>

<file path=xl/ctrlProps/ctrlProp293.xml><?xml version="1.0" encoding="utf-8"?>
<formControlPr xmlns="http://schemas.microsoft.com/office/spreadsheetml/2009/9/main" objectType="Drop" dropStyle="combo" dx="39" fmlaLink="$V$82" fmlaRange="ValidOtherCF" noThreeD="1" sel="1" val="0"/>
</file>

<file path=xl/ctrlProps/ctrlProp294.xml><?xml version="1.0" encoding="utf-8"?>
<formControlPr xmlns="http://schemas.microsoft.com/office/spreadsheetml/2009/9/main" objectType="Drop" dropStyle="combo" dx="39" fmlaLink="$V$92" fmlaRange="ValidValveCF" noThreeD="1" sel="1" val="0"/>
</file>

<file path=xl/ctrlProps/ctrlProp295.xml><?xml version="1.0" encoding="utf-8"?>
<formControlPr xmlns="http://schemas.microsoft.com/office/spreadsheetml/2009/9/main" objectType="Drop" dropStyle="combo" dx="39" fmlaLink="$V$93" fmlaRange="ValidValveCF" noThreeD="1" sel="1" val="0"/>
</file>

<file path=xl/ctrlProps/ctrlProp296.xml><?xml version="1.0" encoding="utf-8"?>
<formControlPr xmlns="http://schemas.microsoft.com/office/spreadsheetml/2009/9/main" objectType="Drop" dropStyle="combo" dx="39" fmlaLink="$V$94" fmlaRange="ValidValveCF" noThreeD="1" sel="1" val="0"/>
</file>

<file path=xl/ctrlProps/ctrlProp297.xml><?xml version="1.0" encoding="utf-8"?>
<formControlPr xmlns="http://schemas.microsoft.com/office/spreadsheetml/2009/9/main" objectType="Drop" dropStyle="combo" dx="39" fmlaLink="$V$95" fmlaRange="ValidValveCF" noThreeD="1" sel="1" val="0"/>
</file>

<file path=xl/ctrlProps/ctrlProp298.xml><?xml version="1.0" encoding="utf-8"?>
<formControlPr xmlns="http://schemas.microsoft.com/office/spreadsheetml/2009/9/main" objectType="Drop" dropStyle="combo" dx="39" fmlaLink="$V$96" fmlaRange="ValidValveCF" noThreeD="1" sel="1" val="0"/>
</file>

<file path=xl/ctrlProps/ctrlProp299.xml><?xml version="1.0" encoding="utf-8"?>
<formControlPr xmlns="http://schemas.microsoft.com/office/spreadsheetml/2009/9/main" objectType="Drop" dropStyle="combo" dx="39" fmlaLink="$V$97" fmlaRange="ValidPumpCF" noThreeD="1" sel="3" val="0"/>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Drop" dropStyle="combo" dx="39" fmlaLink="$I$79" fmlaRange="SourceOfQuantity" noThreeD="1" sel="3" val="0"/>
</file>

<file path=xl/ctrlProps/ctrlProp300.xml><?xml version="1.0" encoding="utf-8"?>
<formControlPr xmlns="http://schemas.microsoft.com/office/spreadsheetml/2009/9/main" objectType="Drop" dropStyle="combo" dx="39" fmlaLink="$V$98" fmlaRange="ValidPumpCF" noThreeD="1" sel="3" val="0"/>
</file>

<file path=xl/ctrlProps/ctrlProp301.xml><?xml version="1.0" encoding="utf-8"?>
<formControlPr xmlns="http://schemas.microsoft.com/office/spreadsheetml/2009/9/main" objectType="Drop" dropStyle="combo" dx="39" fmlaLink="$V$99" fmlaRange="ValidCompSealCF" noThreeD="1" sel="3" val="0"/>
</file>

<file path=xl/ctrlProps/ctrlProp302.xml><?xml version="1.0" encoding="utf-8"?>
<formControlPr xmlns="http://schemas.microsoft.com/office/spreadsheetml/2009/9/main" objectType="Drop" dropStyle="combo" dx="39" fmlaLink="$V$100" fmlaRange="ValidCompSealCF" noThreeD="1" sel="3" val="0"/>
</file>

<file path=xl/ctrlProps/ctrlProp303.xml><?xml version="1.0" encoding="utf-8"?>
<formControlPr xmlns="http://schemas.microsoft.com/office/spreadsheetml/2009/9/main" objectType="Drop" dropStyle="combo" dx="39" fmlaLink="$V$101" fmlaRange="ValidCompSealCF" noThreeD="1" sel="3" val="0"/>
</file>

<file path=xl/ctrlProps/ctrlProp304.xml><?xml version="1.0" encoding="utf-8"?>
<formControlPr xmlns="http://schemas.microsoft.com/office/spreadsheetml/2009/9/main" objectType="Drop" dropStyle="combo" dx="39" fmlaLink="$V$102" fmlaRange="ValidCompSealCF" noThreeD="1" sel="3" val="0"/>
</file>

<file path=xl/ctrlProps/ctrlProp305.xml><?xml version="1.0" encoding="utf-8"?>
<formControlPr xmlns="http://schemas.microsoft.com/office/spreadsheetml/2009/9/main" objectType="Drop" dropStyle="combo" dx="39" fmlaLink="$V$103" fmlaRange="ValidCompSealCF" noThreeD="1" sel="3" val="0"/>
</file>

<file path=xl/ctrlProps/ctrlProp306.xml><?xml version="1.0" encoding="utf-8"?>
<formControlPr xmlns="http://schemas.microsoft.com/office/spreadsheetml/2009/9/main" objectType="Drop" dropStyle="combo" dx="39" fmlaLink="#REF!" fmlaRange="ValidCompSealCF" noThreeD="1" sel="3" val="0"/>
</file>

<file path=xl/ctrlProps/ctrlProp307.xml><?xml version="1.0" encoding="utf-8"?>
<formControlPr xmlns="http://schemas.microsoft.com/office/spreadsheetml/2009/9/main" objectType="Drop" dropStyle="combo" dx="39" fmlaLink="$V$108" fmlaRange="ValidCompCrankcaseCF" noThreeD="1" sel="2" val="0"/>
</file>

<file path=xl/ctrlProps/ctrlProp308.xml><?xml version="1.0" encoding="utf-8"?>
<formControlPr xmlns="http://schemas.microsoft.com/office/spreadsheetml/2009/9/main" objectType="Drop" dropStyle="combo" dx="39" fmlaLink="$V$109" fmlaRange="ValidPRVCF" noThreeD="1" sel="2" val="0"/>
</file>

<file path=xl/ctrlProps/ctrlProp309.xml><?xml version="1.0" encoding="utf-8"?>
<formControlPr xmlns="http://schemas.microsoft.com/office/spreadsheetml/2009/9/main" objectType="Drop" dropStyle="combo" dx="39" fmlaLink="$V$110" fmlaRange="ValidRegulatorCF" noThreeD="1" sel="1" val="0"/>
</file>

<file path=xl/ctrlProps/ctrlProp31.xml><?xml version="1.0" encoding="utf-8"?>
<formControlPr xmlns="http://schemas.microsoft.com/office/spreadsheetml/2009/9/main" objectType="Drop" dropStyle="combo" dx="39" fmlaLink="$I$80" fmlaRange="SourceOfQuantity" noThreeD="1" sel="3" val="0"/>
</file>

<file path=xl/ctrlProps/ctrlProp310.xml><?xml version="1.0" encoding="utf-8"?>
<formControlPr xmlns="http://schemas.microsoft.com/office/spreadsheetml/2009/9/main" objectType="Drop" dropStyle="combo" dx="39" fmlaLink="$V$111" fmlaRange="ValidConnectorCF" noThreeD="1" sel="1" val="0"/>
</file>

<file path=xl/ctrlProps/ctrlProp311.xml><?xml version="1.0" encoding="utf-8"?>
<formControlPr xmlns="http://schemas.microsoft.com/office/spreadsheetml/2009/9/main" objectType="Drop" dropStyle="combo" dx="39" fmlaLink="$V$112" fmlaRange="ValidConnectorCF" noThreeD="1" sel="1" val="0"/>
</file>

<file path=xl/ctrlProps/ctrlProp312.xml><?xml version="1.0" encoding="utf-8"?>
<formControlPr xmlns="http://schemas.microsoft.com/office/spreadsheetml/2009/9/main" objectType="Drop" dropStyle="combo" dx="39" fmlaLink="$V$113" fmlaRange="ValidConnectorCF" noThreeD="1" sel="1" val="0"/>
</file>

<file path=xl/ctrlProps/ctrlProp313.xml><?xml version="1.0" encoding="utf-8"?>
<formControlPr xmlns="http://schemas.microsoft.com/office/spreadsheetml/2009/9/main" objectType="Drop" dropStyle="combo" dx="39" fmlaLink="$V$114" fmlaRange="ValidOELCF" noThreeD="1" sel="2" val="0"/>
</file>

<file path=xl/ctrlProps/ctrlProp314.xml><?xml version="1.0" encoding="utf-8"?>
<formControlPr xmlns="http://schemas.microsoft.com/office/spreadsheetml/2009/9/main" objectType="Drop" dropStyle="combo" dx="39" fmlaLink="$V$115" fmlaRange="ValidOELCF" noThreeD="1" sel="2" val="0"/>
</file>

<file path=xl/ctrlProps/ctrlProp315.xml><?xml version="1.0" encoding="utf-8"?>
<formControlPr xmlns="http://schemas.microsoft.com/office/spreadsheetml/2009/9/main" objectType="Drop" dropStyle="combo" dx="39" fmlaLink="$V$116" fmlaRange="ValidOELCF" noThreeD="1" sel="2" val="0"/>
</file>

<file path=xl/ctrlProps/ctrlProp316.xml><?xml version="1.0" encoding="utf-8"?>
<formControlPr xmlns="http://schemas.microsoft.com/office/spreadsheetml/2009/9/main" objectType="Drop" dropStyle="combo" dx="39" fmlaLink="$V$117" fmlaRange="ValidSampConCF" noThreeD="1" sel="2" val="0"/>
</file>

<file path=xl/ctrlProps/ctrlProp317.xml><?xml version="1.0" encoding="utf-8"?>
<formControlPr xmlns="http://schemas.microsoft.com/office/spreadsheetml/2009/9/main" objectType="Drop" dropStyle="combo" dx="39" fmlaLink="$V$118" fmlaRange="ValidDrainCF" noThreeD="1" sel="2" val="0"/>
</file>

<file path=xl/ctrlProps/ctrlProp318.xml><?xml version="1.0" encoding="utf-8"?>
<formControlPr xmlns="http://schemas.microsoft.com/office/spreadsheetml/2009/9/main" objectType="Drop" dropStyle="combo" dx="39" fmlaLink="$V$119" fmlaRange="ValidValveCF" noThreeD="1" sel="1" val="0"/>
</file>

<file path=xl/ctrlProps/ctrlProp319.xml><?xml version="1.0" encoding="utf-8"?>
<formControlPr xmlns="http://schemas.microsoft.com/office/spreadsheetml/2009/9/main" objectType="Drop" dropStyle="combo" dx="39" fmlaLink="$V$120" fmlaRange="ValidValveCF" noThreeD="1" sel="1" val="0"/>
</file>

<file path=xl/ctrlProps/ctrlProp32.xml><?xml version="1.0" encoding="utf-8"?>
<formControlPr xmlns="http://schemas.microsoft.com/office/spreadsheetml/2009/9/main" objectType="Drop" dropStyle="combo" dx="39" fmlaLink="$I$82" fmlaRange="SourceOfQuantity" noThreeD="1" sel="3" val="0"/>
</file>

<file path=xl/ctrlProps/ctrlProp320.xml><?xml version="1.0" encoding="utf-8"?>
<formControlPr xmlns="http://schemas.microsoft.com/office/spreadsheetml/2009/9/main" objectType="Drop" dropStyle="combo" dx="39" fmlaLink="$V$121" fmlaRange="ValidValveCF" noThreeD="1" sel="1" val="0"/>
</file>

<file path=xl/ctrlProps/ctrlProp321.xml><?xml version="1.0" encoding="utf-8"?>
<formControlPr xmlns="http://schemas.microsoft.com/office/spreadsheetml/2009/9/main" objectType="Drop" dropStyle="combo" dx="39" fmlaLink="$V$122" fmlaRange="ValidOtherCF" noThreeD="1" sel="1" val="0"/>
</file>

<file path=xl/ctrlProps/ctrlProp322.xml><?xml version="1.0" encoding="utf-8"?>
<formControlPr xmlns="http://schemas.microsoft.com/office/spreadsheetml/2009/9/main" objectType="Drop" dropStyle="combo" dx="39" fmlaLink="$V$123" fmlaRange="ValidOtherCF" noThreeD="1" sel="1" val="0"/>
</file>

<file path=xl/ctrlProps/ctrlProp323.xml><?xml version="1.0" encoding="utf-8"?>
<formControlPr xmlns="http://schemas.microsoft.com/office/spreadsheetml/2009/9/main" objectType="Drop" dropStyle="combo" dx="39" fmlaLink="$V$124" fmlaRange="ValidOtherCF" noThreeD="1" sel="1" val="0"/>
</file>

<file path=xl/ctrlProps/ctrlProp324.xml><?xml version="1.0" encoding="utf-8"?>
<formControlPr xmlns="http://schemas.microsoft.com/office/spreadsheetml/2009/9/main" objectType="Drop" dropStyle="combo" dx="39" fmlaLink="$V$134" fmlaRange="ValidValveCF" noThreeD="1" sel="1" val="0"/>
</file>

<file path=xl/ctrlProps/ctrlProp325.xml><?xml version="1.0" encoding="utf-8"?>
<formControlPr xmlns="http://schemas.microsoft.com/office/spreadsheetml/2009/9/main" objectType="Drop" dropStyle="combo" dx="39" fmlaLink="$V$135" fmlaRange="ValidValveCF" noThreeD="1" sel="1" val="0"/>
</file>

<file path=xl/ctrlProps/ctrlProp326.xml><?xml version="1.0" encoding="utf-8"?>
<formControlPr xmlns="http://schemas.microsoft.com/office/spreadsheetml/2009/9/main" objectType="Drop" dropStyle="combo" dx="39" fmlaLink="$V$136" fmlaRange="ValidValveCF" noThreeD="1" sel="1" val="0"/>
</file>

<file path=xl/ctrlProps/ctrlProp327.xml><?xml version="1.0" encoding="utf-8"?>
<formControlPr xmlns="http://schemas.microsoft.com/office/spreadsheetml/2009/9/main" objectType="Drop" dropStyle="combo" dx="39" fmlaLink="$V$137" fmlaRange="ValidValveCF" noThreeD="1" sel="1" val="0"/>
</file>

<file path=xl/ctrlProps/ctrlProp328.xml><?xml version="1.0" encoding="utf-8"?>
<formControlPr xmlns="http://schemas.microsoft.com/office/spreadsheetml/2009/9/main" objectType="Drop" dropStyle="combo" dx="39" fmlaLink="$V$138" fmlaRange="ValidValveCF" noThreeD="1" sel="1" val="0"/>
</file>

<file path=xl/ctrlProps/ctrlProp329.xml><?xml version="1.0" encoding="utf-8"?>
<formControlPr xmlns="http://schemas.microsoft.com/office/spreadsheetml/2009/9/main" objectType="Drop" dropStyle="combo" dx="39" fmlaLink="$V$139" fmlaRange="ValidPumpCF" noThreeD="1" sel="3" val="0"/>
</file>

<file path=xl/ctrlProps/ctrlProp33.xml><?xml version="1.0" encoding="utf-8"?>
<formControlPr xmlns="http://schemas.microsoft.com/office/spreadsheetml/2009/9/main" objectType="Drop" dropLines="10" dropStyle="combo" dx="39" fmlaLink="$N$51" fmlaRange="PTSource" noThreeD="1" sel="1" val="0"/>
</file>

<file path=xl/ctrlProps/ctrlProp330.xml><?xml version="1.0" encoding="utf-8"?>
<formControlPr xmlns="http://schemas.microsoft.com/office/spreadsheetml/2009/9/main" objectType="Drop" dropStyle="combo" dx="39" fmlaLink="$V$140" fmlaRange="ValidPumpCF" noThreeD="1" sel="3" val="0"/>
</file>

<file path=xl/ctrlProps/ctrlProp331.xml><?xml version="1.0" encoding="utf-8"?>
<formControlPr xmlns="http://schemas.microsoft.com/office/spreadsheetml/2009/9/main" objectType="Drop" dropStyle="combo" dx="39" fmlaLink="$V$141" fmlaRange="ValidCompSealCF" noThreeD="1" sel="3" val="0"/>
</file>

<file path=xl/ctrlProps/ctrlProp332.xml><?xml version="1.0" encoding="utf-8"?>
<formControlPr xmlns="http://schemas.microsoft.com/office/spreadsheetml/2009/9/main" objectType="Drop" dropStyle="combo" dx="39" fmlaLink="$V$142" fmlaRange="ValidCompSealCF" noThreeD="1" sel="3" val="0"/>
</file>

<file path=xl/ctrlProps/ctrlProp333.xml><?xml version="1.0" encoding="utf-8"?>
<formControlPr xmlns="http://schemas.microsoft.com/office/spreadsheetml/2009/9/main" objectType="Drop" dropStyle="combo" dx="39" fmlaLink="$V$143" fmlaRange="ValidCompSealCF" noThreeD="1" sel="3" val="0"/>
</file>

<file path=xl/ctrlProps/ctrlProp334.xml><?xml version="1.0" encoding="utf-8"?>
<formControlPr xmlns="http://schemas.microsoft.com/office/spreadsheetml/2009/9/main" objectType="Drop" dropStyle="combo" dx="39" fmlaLink="$V$144" fmlaRange="ValidCompSealCF" noThreeD="1" sel="3" val="0"/>
</file>

<file path=xl/ctrlProps/ctrlProp335.xml><?xml version="1.0" encoding="utf-8"?>
<formControlPr xmlns="http://schemas.microsoft.com/office/spreadsheetml/2009/9/main" objectType="Drop" dropStyle="combo" dx="39" fmlaLink="$V$145" fmlaRange="ValidCompSealCF" noThreeD="1" sel="3" val="0"/>
</file>

<file path=xl/ctrlProps/ctrlProp336.xml><?xml version="1.0" encoding="utf-8"?>
<formControlPr xmlns="http://schemas.microsoft.com/office/spreadsheetml/2009/9/main" objectType="Drop" dropStyle="combo" dx="39" fmlaLink="$V$146" fmlaRange="ValidCompSealCF" noThreeD="1" sel="3" val="0"/>
</file>

<file path=xl/ctrlProps/ctrlProp337.xml><?xml version="1.0" encoding="utf-8"?>
<formControlPr xmlns="http://schemas.microsoft.com/office/spreadsheetml/2009/9/main" objectType="Drop" dropStyle="combo" dx="39" fmlaLink="$V$150" fmlaRange="ValidCompCrankcaseCF" noThreeD="1" sel="2" val="0"/>
</file>

<file path=xl/ctrlProps/ctrlProp338.xml><?xml version="1.0" encoding="utf-8"?>
<formControlPr xmlns="http://schemas.microsoft.com/office/spreadsheetml/2009/9/main" objectType="Drop" dropStyle="combo" dx="39" fmlaLink="$V$151" fmlaRange="ValidPRVCF" noThreeD="1" sel="2" val="0"/>
</file>

<file path=xl/ctrlProps/ctrlProp339.xml><?xml version="1.0" encoding="utf-8"?>
<formControlPr xmlns="http://schemas.microsoft.com/office/spreadsheetml/2009/9/main" objectType="Drop" dropStyle="combo" dx="39" fmlaLink="$V$152" fmlaRange="ValidRegulatorCF" noThreeD="1" sel="1" val="0"/>
</file>

<file path=xl/ctrlProps/ctrlProp34.xml><?xml version="1.0" encoding="utf-8"?>
<formControlPr xmlns="http://schemas.microsoft.com/office/spreadsheetml/2009/9/main" objectType="Drop" dropLines="10" dropStyle="combo" dx="39" fmlaLink="$N$52" fmlaRange="PTSource" noThreeD="1" sel="1" val="0"/>
</file>

<file path=xl/ctrlProps/ctrlProp340.xml><?xml version="1.0" encoding="utf-8"?>
<formControlPr xmlns="http://schemas.microsoft.com/office/spreadsheetml/2009/9/main" objectType="Drop" dropStyle="combo" dx="39" fmlaLink="$V$153" fmlaRange="ValidConnectorCF" noThreeD="1" sel="1" val="0"/>
</file>

<file path=xl/ctrlProps/ctrlProp341.xml><?xml version="1.0" encoding="utf-8"?>
<formControlPr xmlns="http://schemas.microsoft.com/office/spreadsheetml/2009/9/main" objectType="Drop" dropStyle="combo" dx="39" fmlaLink="$V$154" fmlaRange="ValidConnectorCF" noThreeD="1" sel="1" val="0"/>
</file>

<file path=xl/ctrlProps/ctrlProp342.xml><?xml version="1.0" encoding="utf-8"?>
<formControlPr xmlns="http://schemas.microsoft.com/office/spreadsheetml/2009/9/main" objectType="Drop" dropStyle="combo" dx="39" fmlaLink="$V$155" fmlaRange="ValidConnectorCF" noThreeD="1" sel="1" val="0"/>
</file>

<file path=xl/ctrlProps/ctrlProp343.xml><?xml version="1.0" encoding="utf-8"?>
<formControlPr xmlns="http://schemas.microsoft.com/office/spreadsheetml/2009/9/main" objectType="Drop" dropStyle="combo" dx="39" fmlaLink="$V$156" fmlaRange="ValidOELCF" noThreeD="1" sel="2" val="0"/>
</file>

<file path=xl/ctrlProps/ctrlProp344.xml><?xml version="1.0" encoding="utf-8"?>
<formControlPr xmlns="http://schemas.microsoft.com/office/spreadsheetml/2009/9/main" objectType="Drop" dropStyle="combo" dx="39" fmlaLink="$V$157" fmlaRange="ValidOELCF" noThreeD="1" sel="2" val="0"/>
</file>

<file path=xl/ctrlProps/ctrlProp345.xml><?xml version="1.0" encoding="utf-8"?>
<formControlPr xmlns="http://schemas.microsoft.com/office/spreadsheetml/2009/9/main" objectType="Drop" dropStyle="combo" dx="39" fmlaLink="$V$158" fmlaRange="ValidOELCF" noThreeD="1" sel="2" val="0"/>
</file>

<file path=xl/ctrlProps/ctrlProp346.xml><?xml version="1.0" encoding="utf-8"?>
<formControlPr xmlns="http://schemas.microsoft.com/office/spreadsheetml/2009/9/main" objectType="Drop" dropStyle="combo" dx="39" fmlaLink="$V$159" fmlaRange="ValidSampConCF" noThreeD="1" sel="2" val="0"/>
</file>

<file path=xl/ctrlProps/ctrlProp347.xml><?xml version="1.0" encoding="utf-8"?>
<formControlPr xmlns="http://schemas.microsoft.com/office/spreadsheetml/2009/9/main" objectType="Drop" dropStyle="combo" dx="39" fmlaLink="$V$160" fmlaRange="ValidDrainCF" noThreeD="1" sel="2" val="0"/>
</file>

<file path=xl/ctrlProps/ctrlProp348.xml><?xml version="1.0" encoding="utf-8"?>
<formControlPr xmlns="http://schemas.microsoft.com/office/spreadsheetml/2009/9/main" objectType="Drop" dropStyle="combo" dx="39" fmlaLink="$V$161" fmlaRange="ValidValveCF" noThreeD="1" sel="1" val="0"/>
</file>

<file path=xl/ctrlProps/ctrlProp349.xml><?xml version="1.0" encoding="utf-8"?>
<formControlPr xmlns="http://schemas.microsoft.com/office/spreadsheetml/2009/9/main" objectType="Drop" dropStyle="combo" dx="39" fmlaLink="$V$162" fmlaRange="ValidValveCF" noThreeD="1" sel="1" val="0"/>
</file>

<file path=xl/ctrlProps/ctrlProp35.xml><?xml version="1.0" encoding="utf-8"?>
<formControlPr xmlns="http://schemas.microsoft.com/office/spreadsheetml/2009/9/main" objectType="Drop" dropLines="10" dropStyle="combo" dx="39" fmlaLink="$N$53" fmlaRange="PTSource" noThreeD="1" sel="1" val="0"/>
</file>

<file path=xl/ctrlProps/ctrlProp350.xml><?xml version="1.0" encoding="utf-8"?>
<formControlPr xmlns="http://schemas.microsoft.com/office/spreadsheetml/2009/9/main" objectType="Drop" dropStyle="combo" dx="39" fmlaLink="$V$163" fmlaRange="ValidValveCF" noThreeD="1" sel="1" val="0"/>
</file>

<file path=xl/ctrlProps/ctrlProp351.xml><?xml version="1.0" encoding="utf-8"?>
<formControlPr xmlns="http://schemas.microsoft.com/office/spreadsheetml/2009/9/main" objectType="Drop" dropStyle="combo" dx="39" fmlaLink="$V$164" fmlaRange="ValidOtherCF" noThreeD="1" sel="1" val="0"/>
</file>

<file path=xl/ctrlProps/ctrlProp352.xml><?xml version="1.0" encoding="utf-8"?>
<formControlPr xmlns="http://schemas.microsoft.com/office/spreadsheetml/2009/9/main" objectType="Drop" dropStyle="combo" dx="39" fmlaLink="$V$165" fmlaRange="ValidOtherCF" noThreeD="1" sel="1" val="0"/>
</file>

<file path=xl/ctrlProps/ctrlProp353.xml><?xml version="1.0" encoding="utf-8"?>
<formControlPr xmlns="http://schemas.microsoft.com/office/spreadsheetml/2009/9/main" objectType="Drop" dropStyle="combo" dx="39" fmlaLink="$V$166" fmlaRange="ValidOtherCF" noThreeD="1" sel="1" val="0"/>
</file>

<file path=xl/ctrlProps/ctrlProp354.xml><?xml version="1.0" encoding="utf-8"?>
<formControlPr xmlns="http://schemas.microsoft.com/office/spreadsheetml/2009/9/main" objectType="Drop" dropStyle="combo" dx="39" fmlaLink="$V$176" fmlaRange="ValidValveCF" noThreeD="1" sel="1" val="0"/>
</file>

<file path=xl/ctrlProps/ctrlProp355.xml><?xml version="1.0" encoding="utf-8"?>
<formControlPr xmlns="http://schemas.microsoft.com/office/spreadsheetml/2009/9/main" objectType="Drop" dropStyle="combo" dx="39" fmlaLink="$V$177" fmlaRange="ValidValveCF" noThreeD="1" sel="1" val="0"/>
</file>

<file path=xl/ctrlProps/ctrlProp356.xml><?xml version="1.0" encoding="utf-8"?>
<formControlPr xmlns="http://schemas.microsoft.com/office/spreadsheetml/2009/9/main" objectType="Drop" dropStyle="combo" dx="39" fmlaLink="$V$178" fmlaRange="ValidValveCF" noThreeD="1" sel="1" val="0"/>
</file>

<file path=xl/ctrlProps/ctrlProp357.xml><?xml version="1.0" encoding="utf-8"?>
<formControlPr xmlns="http://schemas.microsoft.com/office/spreadsheetml/2009/9/main" objectType="Drop" dropStyle="combo" dx="39" fmlaLink="$V$179" fmlaRange="ValidValveCF" noThreeD="1" sel="1" val="0"/>
</file>

<file path=xl/ctrlProps/ctrlProp358.xml><?xml version="1.0" encoding="utf-8"?>
<formControlPr xmlns="http://schemas.microsoft.com/office/spreadsheetml/2009/9/main" objectType="Drop" dropStyle="combo" dx="39" fmlaLink="$V$180" fmlaRange="ValidValveCF" noThreeD="1" sel="1" val="0"/>
</file>

<file path=xl/ctrlProps/ctrlProp359.xml><?xml version="1.0" encoding="utf-8"?>
<formControlPr xmlns="http://schemas.microsoft.com/office/spreadsheetml/2009/9/main" objectType="Drop" dropStyle="combo" dx="39" fmlaLink="$V$181" fmlaRange="ValidPumpCF" noThreeD="1" sel="3" val="0"/>
</file>

<file path=xl/ctrlProps/ctrlProp36.xml><?xml version="1.0" encoding="utf-8"?>
<formControlPr xmlns="http://schemas.microsoft.com/office/spreadsheetml/2009/9/main" objectType="Drop" dropLines="10" dropStyle="combo" dx="39" fmlaLink="$N$54" fmlaRange="PTSource" noThreeD="1" sel="1" val="0"/>
</file>

<file path=xl/ctrlProps/ctrlProp360.xml><?xml version="1.0" encoding="utf-8"?>
<formControlPr xmlns="http://schemas.microsoft.com/office/spreadsheetml/2009/9/main" objectType="Drop" dropStyle="combo" dx="39" fmlaLink="$V$182" fmlaRange="ValidPumpCF" noThreeD="1" sel="3" val="0"/>
</file>

<file path=xl/ctrlProps/ctrlProp361.xml><?xml version="1.0" encoding="utf-8"?>
<formControlPr xmlns="http://schemas.microsoft.com/office/spreadsheetml/2009/9/main" objectType="Drop" dropStyle="combo" dx="39" fmlaLink="$V$183" fmlaRange="ValidCompSealCF" noThreeD="1" sel="3" val="0"/>
</file>

<file path=xl/ctrlProps/ctrlProp362.xml><?xml version="1.0" encoding="utf-8"?>
<formControlPr xmlns="http://schemas.microsoft.com/office/spreadsheetml/2009/9/main" objectType="Drop" dropStyle="combo" dx="39" fmlaLink="$V$184" fmlaRange="ValidCompSealCF" noThreeD="1" sel="3" val="0"/>
</file>

<file path=xl/ctrlProps/ctrlProp363.xml><?xml version="1.0" encoding="utf-8"?>
<formControlPr xmlns="http://schemas.microsoft.com/office/spreadsheetml/2009/9/main" objectType="Drop" dropStyle="combo" dx="39" fmlaLink="$V$185" fmlaRange="ValidCompSealCF" noThreeD="1" sel="3" val="0"/>
</file>

<file path=xl/ctrlProps/ctrlProp364.xml><?xml version="1.0" encoding="utf-8"?>
<formControlPr xmlns="http://schemas.microsoft.com/office/spreadsheetml/2009/9/main" objectType="Drop" dropStyle="combo" dx="39" fmlaLink="$V$186" fmlaRange="ValidCompSealCF" noThreeD="1" sel="3" val="0"/>
</file>

<file path=xl/ctrlProps/ctrlProp365.xml><?xml version="1.0" encoding="utf-8"?>
<formControlPr xmlns="http://schemas.microsoft.com/office/spreadsheetml/2009/9/main" objectType="Drop" dropStyle="combo" dx="39" fmlaLink="$V$187" fmlaRange="ValidCompSealCF" noThreeD="1" sel="3" val="0"/>
</file>

<file path=xl/ctrlProps/ctrlProp366.xml><?xml version="1.0" encoding="utf-8"?>
<formControlPr xmlns="http://schemas.microsoft.com/office/spreadsheetml/2009/9/main" objectType="Drop" dropStyle="combo" dx="39" fmlaLink="$V$188" fmlaRange="ValidCompSealCF" noThreeD="1" sel="3" val="0"/>
</file>

<file path=xl/ctrlProps/ctrlProp367.xml><?xml version="1.0" encoding="utf-8"?>
<formControlPr xmlns="http://schemas.microsoft.com/office/spreadsheetml/2009/9/main" objectType="Drop" dropStyle="combo" dx="39" fmlaLink="$V$189" fmlaRange="ValidCompSealCF" noThreeD="1" sel="3" val="0"/>
</file>

<file path=xl/ctrlProps/ctrlProp368.xml><?xml version="1.0" encoding="utf-8"?>
<formControlPr xmlns="http://schemas.microsoft.com/office/spreadsheetml/2009/9/main" objectType="Drop" dropStyle="combo" dx="39" fmlaLink="$V$192" fmlaRange="ValidCompCrankcaseCF" noThreeD="1" sel="2" val="0"/>
</file>

<file path=xl/ctrlProps/ctrlProp369.xml><?xml version="1.0" encoding="utf-8"?>
<formControlPr xmlns="http://schemas.microsoft.com/office/spreadsheetml/2009/9/main" objectType="Drop" dropStyle="combo" dx="39" fmlaLink="$V$193" fmlaRange="ValidPRVCF" noThreeD="1" sel="2" val="0"/>
</file>

<file path=xl/ctrlProps/ctrlProp37.xml><?xml version="1.0" encoding="utf-8"?>
<formControlPr xmlns="http://schemas.microsoft.com/office/spreadsheetml/2009/9/main" objectType="Drop" dropLines="10" dropStyle="combo" dx="39" fmlaLink="$N$55" fmlaRange="PTSource" noThreeD="1" sel="1" val="0"/>
</file>

<file path=xl/ctrlProps/ctrlProp370.xml><?xml version="1.0" encoding="utf-8"?>
<formControlPr xmlns="http://schemas.microsoft.com/office/spreadsheetml/2009/9/main" objectType="Drop" dropStyle="combo" dx="39" fmlaLink="$V$194" fmlaRange="ValidRegulatorCF" noThreeD="1" sel="1" val="0"/>
</file>

<file path=xl/ctrlProps/ctrlProp371.xml><?xml version="1.0" encoding="utf-8"?>
<formControlPr xmlns="http://schemas.microsoft.com/office/spreadsheetml/2009/9/main" objectType="Drop" dropStyle="combo" dx="39" fmlaLink="$V$195" fmlaRange="ValidConnectorCF" noThreeD="1" sel="1" val="0"/>
</file>

<file path=xl/ctrlProps/ctrlProp372.xml><?xml version="1.0" encoding="utf-8"?>
<formControlPr xmlns="http://schemas.microsoft.com/office/spreadsheetml/2009/9/main" objectType="Drop" dropStyle="combo" dx="39" fmlaLink="$V$196" fmlaRange="ValidConnectorCF" noThreeD="1" sel="1" val="0"/>
</file>

<file path=xl/ctrlProps/ctrlProp373.xml><?xml version="1.0" encoding="utf-8"?>
<formControlPr xmlns="http://schemas.microsoft.com/office/spreadsheetml/2009/9/main" objectType="Drop" dropStyle="combo" dx="39" fmlaLink="$V$197" fmlaRange="ValidConnectorCF" noThreeD="1" sel="1" val="0"/>
</file>

<file path=xl/ctrlProps/ctrlProp374.xml><?xml version="1.0" encoding="utf-8"?>
<formControlPr xmlns="http://schemas.microsoft.com/office/spreadsheetml/2009/9/main" objectType="Drop" dropStyle="combo" dx="39" fmlaLink="$V$198" fmlaRange="ValidOELCF" noThreeD="1" sel="2" val="0"/>
</file>

<file path=xl/ctrlProps/ctrlProp375.xml><?xml version="1.0" encoding="utf-8"?>
<formControlPr xmlns="http://schemas.microsoft.com/office/spreadsheetml/2009/9/main" objectType="Drop" dropStyle="combo" dx="39" fmlaLink="$V$199" fmlaRange="ValidOELCF" noThreeD="1" sel="2" val="0"/>
</file>

<file path=xl/ctrlProps/ctrlProp376.xml><?xml version="1.0" encoding="utf-8"?>
<formControlPr xmlns="http://schemas.microsoft.com/office/spreadsheetml/2009/9/main" objectType="Drop" dropStyle="combo" dx="39" fmlaLink="$V$200" fmlaRange="ValidOELCF" noThreeD="1" sel="2" val="0"/>
</file>

<file path=xl/ctrlProps/ctrlProp377.xml><?xml version="1.0" encoding="utf-8"?>
<formControlPr xmlns="http://schemas.microsoft.com/office/spreadsheetml/2009/9/main" objectType="Drop" dropStyle="combo" dx="39" fmlaLink="$V$201" fmlaRange="ValidSampConCF" noThreeD="1" sel="2" val="0"/>
</file>

<file path=xl/ctrlProps/ctrlProp378.xml><?xml version="1.0" encoding="utf-8"?>
<formControlPr xmlns="http://schemas.microsoft.com/office/spreadsheetml/2009/9/main" objectType="Drop" dropStyle="combo" dx="39" fmlaLink="$V$202" fmlaRange="ValidDrainCF" noThreeD="1" sel="2" val="0"/>
</file>

<file path=xl/ctrlProps/ctrlProp379.xml><?xml version="1.0" encoding="utf-8"?>
<formControlPr xmlns="http://schemas.microsoft.com/office/spreadsheetml/2009/9/main" objectType="Drop" dropStyle="combo" dx="39" fmlaLink="$V$203" fmlaRange="ValidValveCF" noThreeD="1" sel="1" val="0"/>
</file>

<file path=xl/ctrlProps/ctrlProp38.xml><?xml version="1.0" encoding="utf-8"?>
<formControlPr xmlns="http://schemas.microsoft.com/office/spreadsheetml/2009/9/main" objectType="Drop" dropLines="10" dropStyle="combo" dx="39" fmlaLink="$N$56" fmlaRange="PTSource" noThreeD="1" sel="1" val="0"/>
</file>

<file path=xl/ctrlProps/ctrlProp380.xml><?xml version="1.0" encoding="utf-8"?>
<formControlPr xmlns="http://schemas.microsoft.com/office/spreadsheetml/2009/9/main" objectType="Drop" dropStyle="combo" dx="39" fmlaLink="$V$204" fmlaRange="ValidValveCF" noThreeD="1" sel="1" val="0"/>
</file>

<file path=xl/ctrlProps/ctrlProp381.xml><?xml version="1.0" encoding="utf-8"?>
<formControlPr xmlns="http://schemas.microsoft.com/office/spreadsheetml/2009/9/main" objectType="Drop" dropStyle="combo" dx="39" fmlaLink="$V$205" fmlaRange="ValidValveCF" noThreeD="1" sel="1" val="0"/>
</file>

<file path=xl/ctrlProps/ctrlProp382.xml><?xml version="1.0" encoding="utf-8"?>
<formControlPr xmlns="http://schemas.microsoft.com/office/spreadsheetml/2009/9/main" objectType="Drop" dropStyle="combo" dx="39" fmlaLink="$V$206" fmlaRange="ValidOtherCF" noThreeD="1" sel="1" val="0"/>
</file>

<file path=xl/ctrlProps/ctrlProp383.xml><?xml version="1.0" encoding="utf-8"?>
<formControlPr xmlns="http://schemas.microsoft.com/office/spreadsheetml/2009/9/main" objectType="Drop" dropStyle="combo" dx="39" fmlaLink="$V$207" fmlaRange="ValidOtherCF" noThreeD="1" sel="1" val="0"/>
</file>

<file path=xl/ctrlProps/ctrlProp384.xml><?xml version="1.0" encoding="utf-8"?>
<formControlPr xmlns="http://schemas.microsoft.com/office/spreadsheetml/2009/9/main" objectType="Drop" dropStyle="combo" dx="39" fmlaLink="$V$208" fmlaRange="ValidOtherCF" noThreeD="1" sel="1" val="0"/>
</file>

<file path=xl/ctrlProps/ctrlProp385.xml><?xml version="1.0" encoding="utf-8"?>
<formControlPr xmlns="http://schemas.microsoft.com/office/spreadsheetml/2009/9/main" objectType="Drop" dropStyle="combo" dx="39" fmlaLink="$V$63" fmlaRange="ValidCompSealCF" noThreeD="1" sel="3" val="0"/>
</file>

<file path=xl/ctrlProps/ctrlProp386.xml><?xml version="1.0" encoding="utf-8"?>
<formControlPr xmlns="http://schemas.microsoft.com/office/spreadsheetml/2009/9/main" objectType="Drop" dropStyle="combo" dx="39" fmlaLink="$V$64" fmlaRange="ValidCompSealCF" noThreeD="1" sel="3" val="0"/>
</file>

<file path=xl/ctrlProps/ctrlProp387.xml><?xml version="1.0" encoding="utf-8"?>
<formControlPr xmlns="http://schemas.microsoft.com/office/spreadsheetml/2009/9/main" objectType="Drop" dropStyle="combo" dx="39" fmlaLink="$V$65" fmlaRange="ValidCompSealCF" noThreeD="1" sel="3" val="0"/>
</file>

<file path=xl/ctrlProps/ctrlProp388.xml><?xml version="1.0" encoding="utf-8"?>
<formControlPr xmlns="http://schemas.microsoft.com/office/spreadsheetml/2009/9/main" objectType="Drop" dropStyle="combo" dx="39" fmlaLink="$V$21" fmlaRange="ValidCompSealCF" noThreeD="1" sel="3" val="0"/>
</file>

<file path=xl/ctrlProps/ctrlProp389.xml><?xml version="1.0" encoding="utf-8"?>
<formControlPr xmlns="http://schemas.microsoft.com/office/spreadsheetml/2009/9/main" objectType="Drop" dropStyle="combo" dx="39" fmlaLink="$V$22" fmlaRange="ValidCompSealCF" noThreeD="1" sel="3" val="0"/>
</file>

<file path=xl/ctrlProps/ctrlProp39.xml><?xml version="1.0" encoding="utf-8"?>
<formControlPr xmlns="http://schemas.microsoft.com/office/spreadsheetml/2009/9/main" objectType="Drop" dropLines="10" dropStyle="combo" dx="39" fmlaLink="$N$57" fmlaRange="PTSource" noThreeD="1" sel="1" val="0"/>
</file>

<file path=xl/ctrlProps/ctrlProp390.xml><?xml version="1.0" encoding="utf-8"?>
<formControlPr xmlns="http://schemas.microsoft.com/office/spreadsheetml/2009/9/main" objectType="Drop" dropStyle="combo" dx="39" fmlaLink="$V$23" fmlaRange="ValidCompSealCF" noThreeD="1" sel="3" val="0"/>
</file>

<file path=xl/ctrlProps/ctrlProp391.xml><?xml version="1.0" encoding="utf-8"?>
<formControlPr xmlns="http://schemas.microsoft.com/office/spreadsheetml/2009/9/main" objectType="Drop" dropStyle="combo" dx="39" fmlaLink="$V$147" fmlaRange="ValidCompSealCF" noThreeD="1" sel="3" val="0"/>
</file>

<file path=xl/ctrlProps/ctrlProp392.xml><?xml version="1.0" encoding="utf-8"?>
<formControlPr xmlns="http://schemas.microsoft.com/office/spreadsheetml/2009/9/main" objectType="Drop" dropStyle="combo" dx="39" fmlaLink="$V$148" fmlaRange="ValidCompSealCF" noThreeD="1" sel="3" val="0"/>
</file>

<file path=xl/ctrlProps/ctrlProp393.xml><?xml version="1.0" encoding="utf-8"?>
<formControlPr xmlns="http://schemas.microsoft.com/office/spreadsheetml/2009/9/main" objectType="Drop" dropStyle="combo" dx="39" fmlaLink="$V$149" fmlaRange="ValidCompSealCF" noThreeD="1" sel="3" val="0"/>
</file>

<file path=xl/ctrlProps/ctrlProp394.xml><?xml version="1.0" encoding="utf-8"?>
<formControlPr xmlns="http://schemas.microsoft.com/office/spreadsheetml/2009/9/main" objectType="Drop" dropStyle="combo" dx="39" fmlaLink="$V$189" fmlaRange="ValidCompSealCF" noThreeD="1" sel="3" val="0"/>
</file>

<file path=xl/ctrlProps/ctrlProp395.xml><?xml version="1.0" encoding="utf-8"?>
<formControlPr xmlns="http://schemas.microsoft.com/office/spreadsheetml/2009/9/main" objectType="Drop" dropStyle="combo" dx="39" fmlaLink="$V$190" fmlaRange="ValidCompSealCF" noThreeD="1" sel="3" val="0"/>
</file>

<file path=xl/ctrlProps/ctrlProp396.xml><?xml version="1.0" encoding="utf-8"?>
<formControlPr xmlns="http://schemas.microsoft.com/office/spreadsheetml/2009/9/main" objectType="Drop" dropStyle="combo" dx="39" fmlaLink="$V$191" fmlaRange="ValidCompSealCF" noThreeD="1" sel="3" val="0"/>
</file>

<file path=xl/ctrlProps/ctrlProp397.xml><?xml version="1.0" encoding="utf-8"?>
<formControlPr xmlns="http://schemas.microsoft.com/office/spreadsheetml/2009/9/main" objectType="Drop" dropStyle="combo" dx="39" fmlaLink="$V$104" fmlaRange="ValidCompSealCF" noThreeD="1" sel="3" val="0"/>
</file>

<file path=xl/ctrlProps/ctrlProp398.xml><?xml version="1.0" encoding="utf-8"?>
<formControlPr xmlns="http://schemas.microsoft.com/office/spreadsheetml/2009/9/main" objectType="Drop" dropStyle="combo" dx="39" fmlaLink="$V$105" fmlaRange="ValidCompSealCF" noThreeD="1" sel="3" val="0"/>
</file>

<file path=xl/ctrlProps/ctrlProp399.xml><?xml version="1.0" encoding="utf-8"?>
<formControlPr xmlns="http://schemas.microsoft.com/office/spreadsheetml/2009/9/main" objectType="Drop" dropStyle="combo" dx="39" fmlaLink="$V$106" fmlaRange="ValidCompSealCF" noThreeD="1" sel="3" val="0"/>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Drop" dropLines="10" dropStyle="combo" dx="39" fmlaLink="$N$58" fmlaRange="PTSource" noThreeD="1" sel="1" val="0"/>
</file>

<file path=xl/ctrlProps/ctrlProp400.xml><?xml version="1.0" encoding="utf-8"?>
<formControlPr xmlns="http://schemas.microsoft.com/office/spreadsheetml/2009/9/main" objectType="Drop" dropStyle="combo" dx="39" fmlaLink="$V$107" fmlaRange="ValidCompSealCF" noThreeD="1" sel="3" val="0"/>
</file>

<file path=xl/ctrlProps/ctrlProp41.xml><?xml version="1.0" encoding="utf-8"?>
<formControlPr xmlns="http://schemas.microsoft.com/office/spreadsheetml/2009/9/main" objectType="Drop" dropLines="10" dropStyle="combo" dx="39" fmlaLink="$N$59" fmlaRange="PTSource" noThreeD="1" sel="1" val="0"/>
</file>

<file path=xl/ctrlProps/ctrlProp42.xml><?xml version="1.0" encoding="utf-8"?>
<formControlPr xmlns="http://schemas.microsoft.com/office/spreadsheetml/2009/9/main" objectType="Drop" dropLines="10" dropStyle="combo" dx="39" fmlaLink="$N$60" fmlaRange="PTSource" noThreeD="1" sel="1" val="0"/>
</file>

<file path=xl/ctrlProps/ctrlProp43.xml><?xml version="1.0" encoding="utf-8"?>
<formControlPr xmlns="http://schemas.microsoft.com/office/spreadsheetml/2009/9/main" objectType="Drop" dropLines="10" dropStyle="combo" dx="39" fmlaLink="$N$61" fmlaRange="PTSource" noThreeD="1" sel="1" val="0"/>
</file>

<file path=xl/ctrlProps/ctrlProp44.xml><?xml version="1.0" encoding="utf-8"?>
<formControlPr xmlns="http://schemas.microsoft.com/office/spreadsheetml/2009/9/main" objectType="Drop" dropLines="10" dropStyle="combo" dx="39" fmlaLink="$N$62" fmlaRange="PTSource" noThreeD="1" sel="1" val="0"/>
</file>

<file path=xl/ctrlProps/ctrlProp45.xml><?xml version="1.0" encoding="utf-8"?>
<formControlPr xmlns="http://schemas.microsoft.com/office/spreadsheetml/2009/9/main" objectType="Drop" dropLines="10" dropStyle="combo" dx="39" fmlaLink="$N$63" fmlaRange="PTSource" noThreeD="1" sel="1" val="0"/>
</file>

<file path=xl/ctrlProps/ctrlProp46.xml><?xml version="1.0" encoding="utf-8"?>
<formControlPr xmlns="http://schemas.microsoft.com/office/spreadsheetml/2009/9/main" objectType="Drop" dropLines="10" dropStyle="combo" dx="39" fmlaLink="$N$64" fmlaRange="PTSource" noThreeD="1" sel="1" val="0"/>
</file>

<file path=xl/ctrlProps/ctrlProp47.xml><?xml version="1.0" encoding="utf-8"?>
<formControlPr xmlns="http://schemas.microsoft.com/office/spreadsheetml/2009/9/main" objectType="Drop" dropLines="10" dropStyle="combo" dx="39" fmlaLink="$N$70" fmlaRange="PTSource" noThreeD="1" sel="1" val="0"/>
</file>

<file path=xl/ctrlProps/ctrlProp48.xml><?xml version="1.0" encoding="utf-8"?>
<formControlPr xmlns="http://schemas.microsoft.com/office/spreadsheetml/2009/9/main" objectType="Drop" dropStyle="combo" dx="39" fmlaLink="$O$51" fmlaRange="ValidPneumaticSupplyGas" noThreeD="1" sel="1" val="0"/>
</file>

<file path=xl/ctrlProps/ctrlProp49.xml><?xml version="1.0" encoding="utf-8"?>
<formControlPr xmlns="http://schemas.microsoft.com/office/spreadsheetml/2009/9/main" objectType="Drop" dropStyle="combo" dx="39" fmlaLink="$O$52" fmlaRange="ValidPneumaticSupplyGas" noThreeD="1" sel="1" val="0"/>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Drop" dropStyle="combo" dx="39" fmlaLink="$O$53" fmlaRange="ValidPneumaticSupplyGas" noThreeD="1" sel="1" val="0"/>
</file>

<file path=xl/ctrlProps/ctrlProp51.xml><?xml version="1.0" encoding="utf-8"?>
<formControlPr xmlns="http://schemas.microsoft.com/office/spreadsheetml/2009/9/main" objectType="Drop" dropStyle="combo" dx="39" fmlaLink="$O$54" fmlaRange="ValidPneumaticSupplyGas" noThreeD="1" sel="1" val="0"/>
</file>

<file path=xl/ctrlProps/ctrlProp52.xml><?xml version="1.0" encoding="utf-8"?>
<formControlPr xmlns="http://schemas.microsoft.com/office/spreadsheetml/2009/9/main" objectType="Drop" dropStyle="combo" dx="39" fmlaLink="$O$55" fmlaRange="ValidPneumaticSupplyGas" noThreeD="1" sel="1" val="0"/>
</file>

<file path=xl/ctrlProps/ctrlProp53.xml><?xml version="1.0" encoding="utf-8"?>
<formControlPr xmlns="http://schemas.microsoft.com/office/spreadsheetml/2009/9/main" objectType="Drop" dropStyle="combo" dx="39" fmlaLink="$O$56" fmlaRange="ValidPneumaticSupplyGas" noThreeD="1" sel="1" val="0"/>
</file>

<file path=xl/ctrlProps/ctrlProp54.xml><?xml version="1.0" encoding="utf-8"?>
<formControlPr xmlns="http://schemas.microsoft.com/office/spreadsheetml/2009/9/main" objectType="Drop" dropStyle="combo" dx="39" fmlaLink="$O$57" fmlaRange="ValidPneumaticSupplyGas" noThreeD="1" sel="1" val="0"/>
</file>

<file path=xl/ctrlProps/ctrlProp55.xml><?xml version="1.0" encoding="utf-8"?>
<formControlPr xmlns="http://schemas.microsoft.com/office/spreadsheetml/2009/9/main" objectType="Drop" dropStyle="combo" dx="39" fmlaLink="$O$58" fmlaRange="ValidPneumaticSupplyGas" noThreeD="1" sel="1" val="0"/>
</file>

<file path=xl/ctrlProps/ctrlProp56.xml><?xml version="1.0" encoding="utf-8"?>
<formControlPr xmlns="http://schemas.microsoft.com/office/spreadsheetml/2009/9/main" objectType="Drop" dropStyle="combo" dx="39" fmlaLink="$O$59" fmlaRange="ValidPneumaticSupplyGas" noThreeD="1" sel="1" val="0"/>
</file>

<file path=xl/ctrlProps/ctrlProp57.xml><?xml version="1.0" encoding="utf-8"?>
<formControlPr xmlns="http://schemas.microsoft.com/office/spreadsheetml/2009/9/main" objectType="Drop" dropStyle="combo" dx="39" fmlaLink="$O$60" fmlaRange="ValidPneumaticSupplyGas" noThreeD="1" sel="1" val="0"/>
</file>

<file path=xl/ctrlProps/ctrlProp58.xml><?xml version="1.0" encoding="utf-8"?>
<formControlPr xmlns="http://schemas.microsoft.com/office/spreadsheetml/2009/9/main" objectType="Drop" dropStyle="combo" dx="39" fmlaLink="$O$61" fmlaRange="ValidPneumaticSupplyGas" noThreeD="1" sel="1" val="0"/>
</file>

<file path=xl/ctrlProps/ctrlProp59.xml><?xml version="1.0" encoding="utf-8"?>
<formControlPr xmlns="http://schemas.microsoft.com/office/spreadsheetml/2009/9/main" objectType="Drop" dropStyle="combo" dx="39" fmlaLink="$O$62" fmlaRange="ValidPneumaticSupplyGas" noThreeD="1" sel="1" val="0"/>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Drop" dropStyle="combo" dx="39" fmlaLink="$O$63" fmlaRange="ValidPneumaticSupplyGas" noThreeD="1" sel="1" val="0"/>
</file>

<file path=xl/ctrlProps/ctrlProp61.xml><?xml version="1.0" encoding="utf-8"?>
<formControlPr xmlns="http://schemas.microsoft.com/office/spreadsheetml/2009/9/main" objectType="Drop" dropStyle="combo" dx="39" fmlaLink="$O$64" fmlaRange="ValidPneumaticSupplyGas" noThreeD="1" sel="1" val="0"/>
</file>

<file path=xl/ctrlProps/ctrlProp62.xml><?xml version="1.0" encoding="utf-8"?>
<formControlPr xmlns="http://schemas.microsoft.com/office/spreadsheetml/2009/9/main" objectType="Drop" dropStyle="combo" dx="39" fmlaLink="$O$70" fmlaRange="ValidPneumaticSupplyGas" noThreeD="1" sel="1" val="0"/>
</file>

<file path=xl/ctrlProps/ctrlProp63.xml><?xml version="1.0" encoding="utf-8"?>
<formControlPr xmlns="http://schemas.microsoft.com/office/spreadsheetml/2009/9/main" objectType="Drop" dropStyle="combo" dx="39" fmlaLink="$P$51" fmlaRange="ValidControllerTypes" noThreeD="1" sel="1" val="0"/>
</file>

<file path=xl/ctrlProps/ctrlProp64.xml><?xml version="1.0" encoding="utf-8"?>
<formControlPr xmlns="http://schemas.microsoft.com/office/spreadsheetml/2009/9/main" objectType="Drop" dropStyle="combo" dx="39" fmlaLink="$P$52" fmlaRange="ValidControllerTypes" noThreeD="1" sel="1" val="0"/>
</file>

<file path=xl/ctrlProps/ctrlProp65.xml><?xml version="1.0" encoding="utf-8"?>
<formControlPr xmlns="http://schemas.microsoft.com/office/spreadsheetml/2009/9/main" objectType="Drop" dropStyle="combo" dx="39" fmlaLink="$P$53" fmlaRange="ValidControllerTypes" noThreeD="1" sel="1" val="0"/>
</file>

<file path=xl/ctrlProps/ctrlProp66.xml><?xml version="1.0" encoding="utf-8"?>
<formControlPr xmlns="http://schemas.microsoft.com/office/spreadsheetml/2009/9/main" objectType="Drop" dropStyle="combo" dx="39" fmlaLink="$P$54" fmlaRange="ValidControllerTypes" noThreeD="1" sel="1" val="0"/>
</file>

<file path=xl/ctrlProps/ctrlProp67.xml><?xml version="1.0" encoding="utf-8"?>
<formControlPr xmlns="http://schemas.microsoft.com/office/spreadsheetml/2009/9/main" objectType="Drop" dropStyle="combo" dx="39" fmlaLink="$P$55" fmlaRange="ValidControllerTypes" noThreeD="1" sel="1" val="0"/>
</file>

<file path=xl/ctrlProps/ctrlProp68.xml><?xml version="1.0" encoding="utf-8"?>
<formControlPr xmlns="http://schemas.microsoft.com/office/spreadsheetml/2009/9/main" objectType="Drop" dropStyle="combo" dx="39" fmlaLink="$P$56" fmlaRange="ValidControllerTypes" noThreeD="1" sel="1" val="0"/>
</file>

<file path=xl/ctrlProps/ctrlProp69.xml><?xml version="1.0" encoding="utf-8"?>
<formControlPr xmlns="http://schemas.microsoft.com/office/spreadsheetml/2009/9/main" objectType="Drop" dropStyle="combo" dx="39" fmlaLink="$P$57" fmlaRange="ValidControllerTypes" noThreeD="1" sel="1" val="0"/>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Drop" dropStyle="combo" dx="39" fmlaLink="$P$58" fmlaRange="ValidControllerTypes" noThreeD="1" sel="1" val="0"/>
</file>

<file path=xl/ctrlProps/ctrlProp71.xml><?xml version="1.0" encoding="utf-8"?>
<formControlPr xmlns="http://schemas.microsoft.com/office/spreadsheetml/2009/9/main" objectType="Drop" dropStyle="combo" dx="39" fmlaLink="$P$59" fmlaRange="ValidControllerTypes" noThreeD="1" sel="1" val="0"/>
</file>

<file path=xl/ctrlProps/ctrlProp72.xml><?xml version="1.0" encoding="utf-8"?>
<formControlPr xmlns="http://schemas.microsoft.com/office/spreadsheetml/2009/9/main" objectType="Drop" dropStyle="combo" dx="39" fmlaLink="$P$60" fmlaRange="ValidControllerTypes" noThreeD="1" sel="1" val="0"/>
</file>

<file path=xl/ctrlProps/ctrlProp73.xml><?xml version="1.0" encoding="utf-8"?>
<formControlPr xmlns="http://schemas.microsoft.com/office/spreadsheetml/2009/9/main" objectType="Drop" dropStyle="combo" dx="39" fmlaLink="$P$61" fmlaRange="ValidControllerTypes" noThreeD="1" sel="1" val="0"/>
</file>

<file path=xl/ctrlProps/ctrlProp74.xml><?xml version="1.0" encoding="utf-8"?>
<formControlPr xmlns="http://schemas.microsoft.com/office/spreadsheetml/2009/9/main" objectType="Drop" dropStyle="combo" dx="39" fmlaLink="$P$62" fmlaRange="ValidControllerTypes" noThreeD="1" sel="1" val="0"/>
</file>

<file path=xl/ctrlProps/ctrlProp75.xml><?xml version="1.0" encoding="utf-8"?>
<formControlPr xmlns="http://schemas.microsoft.com/office/spreadsheetml/2009/9/main" objectType="Drop" dropStyle="combo" dx="39" fmlaLink="$P$63" fmlaRange="ValidControllerTypes" noThreeD="1" sel="1" val="0"/>
</file>

<file path=xl/ctrlProps/ctrlProp76.xml><?xml version="1.0" encoding="utf-8"?>
<formControlPr xmlns="http://schemas.microsoft.com/office/spreadsheetml/2009/9/main" objectType="Drop" dropStyle="combo" dx="39" fmlaLink="$P$64" fmlaRange="ValidControllerTypes" noThreeD="1" sel="1" val="0"/>
</file>

<file path=xl/ctrlProps/ctrlProp77.xml><?xml version="1.0" encoding="utf-8"?>
<formControlPr xmlns="http://schemas.microsoft.com/office/spreadsheetml/2009/9/main" objectType="Drop" dropStyle="combo" dx="39" fmlaLink="$P$70" fmlaRange="ValidControllerTypes" noThreeD="1" sel="1" val="0"/>
</file>

<file path=xl/ctrlProps/ctrlProp78.xml><?xml version="1.0" encoding="utf-8"?>
<formControlPr xmlns="http://schemas.microsoft.com/office/spreadsheetml/2009/9/main" objectType="Drop" dropStyle="combo" dx="39" fmlaLink="$I$81" fmlaRange="SourceOfQuantity" noThreeD="1" sel="3" val="0"/>
</file>

<file path=xl/ctrlProps/ctrlProp79.xml><?xml version="1.0" encoding="utf-8"?>
<formControlPr xmlns="http://schemas.microsoft.com/office/spreadsheetml/2009/9/main" objectType="Drop" dropLines="10" dropStyle="combo" dx="39" fmlaLink="$N$65" fmlaRange="PTSource" noThreeD="1" sel="1" val="0"/>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Drop" dropLines="10" dropStyle="combo" dx="39" fmlaLink="$N$66" fmlaRange="PTSource" noThreeD="1" sel="1" val="0"/>
</file>

<file path=xl/ctrlProps/ctrlProp81.xml><?xml version="1.0" encoding="utf-8"?>
<formControlPr xmlns="http://schemas.microsoft.com/office/spreadsheetml/2009/9/main" objectType="Drop" dropStyle="combo" dx="39" fmlaLink="$O$65" fmlaRange="ValidPneumaticSupplyGas" noThreeD="1" sel="1" val="0"/>
</file>

<file path=xl/ctrlProps/ctrlProp82.xml><?xml version="1.0" encoding="utf-8"?>
<formControlPr xmlns="http://schemas.microsoft.com/office/spreadsheetml/2009/9/main" objectType="Drop" dropStyle="combo" dx="39" fmlaLink="$O$66" fmlaRange="ValidPneumaticSupplyGas" noThreeD="1" sel="1" val="0"/>
</file>

<file path=xl/ctrlProps/ctrlProp83.xml><?xml version="1.0" encoding="utf-8"?>
<formControlPr xmlns="http://schemas.microsoft.com/office/spreadsheetml/2009/9/main" objectType="Drop" dropStyle="combo" dx="39" fmlaLink="$P$65" fmlaRange="ValidControllerTypes" noThreeD="1" sel="1" val="0"/>
</file>

<file path=xl/ctrlProps/ctrlProp84.xml><?xml version="1.0" encoding="utf-8"?>
<formControlPr xmlns="http://schemas.microsoft.com/office/spreadsheetml/2009/9/main" objectType="Drop" dropStyle="combo" dx="39" fmlaLink="$P$66" fmlaRange="ValidControllerTypes" noThreeD="1" sel="1" val="0"/>
</file>

<file path=xl/ctrlProps/ctrlProp85.xml><?xml version="1.0" encoding="utf-8"?>
<formControlPr xmlns="http://schemas.microsoft.com/office/spreadsheetml/2009/9/main" objectType="Drop" dropLines="10" dropStyle="combo" dx="39" fmlaLink="$N$67" fmlaRange="PTSource" noThreeD="1" sel="1" val="0"/>
</file>

<file path=xl/ctrlProps/ctrlProp86.xml><?xml version="1.0" encoding="utf-8"?>
<formControlPr xmlns="http://schemas.microsoft.com/office/spreadsheetml/2009/9/main" objectType="Drop" dropLines="10" dropStyle="combo" dx="39" fmlaLink="$N$68" fmlaRange="PTSource" noThreeD="1" sel="1" val="0"/>
</file>

<file path=xl/ctrlProps/ctrlProp87.xml><?xml version="1.0" encoding="utf-8"?>
<formControlPr xmlns="http://schemas.microsoft.com/office/spreadsheetml/2009/9/main" objectType="Drop" dropStyle="combo" dx="39" fmlaLink="$O$67" fmlaRange="ValidPneumaticSupplyGas" noThreeD="1" sel="1" val="0"/>
</file>

<file path=xl/ctrlProps/ctrlProp88.xml><?xml version="1.0" encoding="utf-8"?>
<formControlPr xmlns="http://schemas.microsoft.com/office/spreadsheetml/2009/9/main" objectType="Drop" dropStyle="combo" dx="39" fmlaLink="$O$68" fmlaRange="ValidPneumaticSupplyGas" noThreeD="1" sel="1" val="0"/>
</file>

<file path=xl/ctrlProps/ctrlProp89.xml><?xml version="1.0" encoding="utf-8"?>
<formControlPr xmlns="http://schemas.microsoft.com/office/spreadsheetml/2009/9/main" objectType="Drop" dropStyle="combo" dx="39" fmlaLink="$P$67" fmlaRange="ValidControllerTypes" noThreeD="1" sel="1" val="0"/>
</file>

<file path=xl/ctrlProps/ctrlProp9.xml><?xml version="1.0" encoding="utf-8"?>
<formControlPr xmlns="http://schemas.microsoft.com/office/spreadsheetml/2009/9/main" objectType="Drop" dropStyle="combo" dx="39" fmlaLink="$A$11" fmlaRange="ValidIndustrySegments" noThreeD="1" sel="6" val="2"/>
</file>

<file path=xl/ctrlProps/ctrlProp90.xml><?xml version="1.0" encoding="utf-8"?>
<formControlPr xmlns="http://schemas.microsoft.com/office/spreadsheetml/2009/9/main" objectType="Drop" dropStyle="combo" dx="39" fmlaLink="$P$68" fmlaRange="ValidControllerTypes" noThreeD="1" sel="1" val="0"/>
</file>

<file path=xl/ctrlProps/ctrlProp91.xml><?xml version="1.0" encoding="utf-8"?>
<formControlPr xmlns="http://schemas.microsoft.com/office/spreadsheetml/2009/9/main" objectType="Drop" dropLines="10" dropStyle="combo" dx="39" fmlaLink="$N$69" fmlaRange="PTSource" noThreeD="1" sel="1" val="0"/>
</file>

<file path=xl/ctrlProps/ctrlProp92.xml><?xml version="1.0" encoding="utf-8"?>
<formControlPr xmlns="http://schemas.microsoft.com/office/spreadsheetml/2009/9/main" objectType="Drop" dropStyle="combo" dx="39" fmlaLink="$O$69" fmlaRange="ValidPneumaticSupplyGas" noThreeD="1" sel="1" val="0"/>
</file>

<file path=xl/ctrlProps/ctrlProp93.xml><?xml version="1.0" encoding="utf-8"?>
<formControlPr xmlns="http://schemas.microsoft.com/office/spreadsheetml/2009/9/main" objectType="Drop" dropStyle="combo" dx="39" fmlaLink="$P$69" fmlaRange="ValidControllerTypes" noThreeD="1" sel="1" val="0"/>
</file>

<file path=xl/ctrlProps/ctrlProp94.xml><?xml version="1.0" encoding="utf-8"?>
<formControlPr xmlns="http://schemas.microsoft.com/office/spreadsheetml/2009/9/main" objectType="Drop" dropStyle="combo" dx="39" fmlaLink="$N$37" fmlaRange="EmittedSubstance" noThreeD="1" sel="3" val="0"/>
</file>

<file path=xl/ctrlProps/ctrlProp95.xml><?xml version="1.0" encoding="utf-8"?>
<formControlPr xmlns="http://schemas.microsoft.com/office/spreadsheetml/2009/9/main" objectType="Drop" dropStyle="combo" dx="39" fmlaLink="$N$38" fmlaRange="EmittedSubstance" noThreeD="1" sel="3" val="0"/>
</file>

<file path=xl/ctrlProps/ctrlProp96.xml><?xml version="1.0" encoding="utf-8"?>
<formControlPr xmlns="http://schemas.microsoft.com/office/spreadsheetml/2009/9/main" objectType="Drop" dropStyle="combo" dx="39" fmlaLink="$N$39" fmlaRange="EmittedSubstance" noThreeD="1" sel="3" val="0"/>
</file>

<file path=xl/ctrlProps/ctrlProp97.xml><?xml version="1.0" encoding="utf-8"?>
<formControlPr xmlns="http://schemas.microsoft.com/office/spreadsheetml/2009/9/main" objectType="Drop" dropStyle="combo" dx="39" fmlaLink="$N$40" fmlaRange="EmittedSubstance" noThreeD="1" sel="3" val="0"/>
</file>

<file path=xl/ctrlProps/ctrlProp98.xml><?xml version="1.0" encoding="utf-8"?>
<formControlPr xmlns="http://schemas.microsoft.com/office/spreadsheetml/2009/9/main" objectType="Drop" dropStyle="combo" dx="39" fmlaLink="$N$41" fmlaRange="EmittedSubstance" noThreeD="1" sel="3" val="0"/>
</file>

<file path=xl/ctrlProps/ctrlProp99.xml><?xml version="1.0" encoding="utf-8"?>
<formControlPr xmlns="http://schemas.microsoft.com/office/spreadsheetml/2009/9/main" objectType="Drop" dropStyle="combo" dx="39" fmlaLink="$N$42" fmlaRange="EmittedSubstance" noThreeD="1" sel="3"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hyperlink" Target="#'Results (Graphical) &#8211; Facility'!A1"/><Relationship Id="rId2" Type="http://schemas.openxmlformats.org/officeDocument/2006/relationships/hyperlink" Target="#'Setup - Facility Details'!A1"/><Relationship Id="rId1" Type="http://schemas.openxmlformats.org/officeDocument/2006/relationships/hyperlink" Target="#'Language &amp; User Guide'!A1"/><Relationship Id="rId6" Type="http://schemas.openxmlformats.org/officeDocument/2006/relationships/hyperlink" Target="#'Setup - Flashing Losses'!A1"/><Relationship Id="rId5" Type="http://schemas.openxmlformats.org/officeDocument/2006/relationships/hyperlink" Target="#'Setup - Fuel Use'!A1"/><Relationship Id="rId4" Type="http://schemas.openxmlformats.org/officeDocument/2006/relationships/hyperlink" Target="#'Results (Tabular) - Facility'!A1"/></Relationships>
</file>

<file path=xl/drawings/_rels/drawing4.xml.rels><?xml version="1.0" encoding="UTF-8" standalone="yes"?>
<Relationships xmlns="http://schemas.openxmlformats.org/package/2006/relationships"><Relationship Id="rId8" Type="http://schemas.openxmlformats.org/officeDocument/2006/relationships/hyperlink" Target="#'Results (Graphical) &#8211; Facility'!S15:S18"/><Relationship Id="rId13" Type="http://schemas.openxmlformats.org/officeDocument/2006/relationships/hyperlink" Target="#'Results (Graphical) &#8211; Facility'!S39"/><Relationship Id="rId3" Type="http://schemas.openxmlformats.org/officeDocument/2006/relationships/hyperlink" Target="https://www.epa.gov/natural-gas-star-program/engine-exhaust" TargetMode="External"/><Relationship Id="rId7" Type="http://schemas.openxmlformats.org/officeDocument/2006/relationships/hyperlink" Target="#'Results (Graphical) &#8211; Facility'!S14"/><Relationship Id="rId12" Type="http://schemas.openxmlformats.org/officeDocument/2006/relationships/hyperlink" Target="#'Results (Graphical) &#8211; Facility'!S35:S38"/><Relationship Id="rId2" Type="http://schemas.openxmlformats.org/officeDocument/2006/relationships/hyperlink" Target="#Contents!A1"/><Relationship Id="rId1" Type="http://schemas.openxmlformats.org/officeDocument/2006/relationships/chart" Target="../charts/chart1.xml"/><Relationship Id="rId6" Type="http://schemas.openxmlformats.org/officeDocument/2006/relationships/hyperlink" Target="#'Results (Graphical) &#8211; Facility'!S13"/><Relationship Id="rId11" Type="http://schemas.openxmlformats.org/officeDocument/2006/relationships/hyperlink" Target="#'Results (Graphical) &#8211; Facility'!S25:S34"/><Relationship Id="rId5" Type="http://schemas.openxmlformats.org/officeDocument/2006/relationships/hyperlink" Target="#'Results (Graphical) &#8211; Facility'!S11:S12"/><Relationship Id="rId10" Type="http://schemas.openxmlformats.org/officeDocument/2006/relationships/hyperlink" Target="#'Results (Graphical) &#8211; Facility'!S20:S24"/><Relationship Id="rId4" Type="http://schemas.openxmlformats.org/officeDocument/2006/relationships/hyperlink" Target="https://www.epa.gov/natural-gas-star-program/electric-compressor-motors" TargetMode="External"/><Relationship Id="rId9" Type="http://schemas.openxmlformats.org/officeDocument/2006/relationships/hyperlink" Target="#'Results (Graphical) &#8211; Facility'!S19"/><Relationship Id="rId14" Type="http://schemas.openxmlformats.org/officeDocument/2006/relationships/hyperlink" Target="#'Results (Graphical) &#8211; Facility'!S40"/></Relationships>
</file>

<file path=xl/drawings/_rels/drawing5.xml.rels><?xml version="1.0" encoding="UTF-8" standalone="yes"?>
<Relationships xmlns="http://schemas.openxmlformats.org/package/2006/relationships"><Relationship Id="rId8" Type="http://schemas.openxmlformats.org/officeDocument/2006/relationships/hyperlink" Target="https://www.epa.gov/natural-gas-star-program/well-completions-and-workovers" TargetMode="External"/><Relationship Id="rId13" Type="http://schemas.openxmlformats.org/officeDocument/2006/relationships/hyperlink" Target="https://www.epa.gov/natural-gas-star-program/mechanical-controllers" TargetMode="External"/><Relationship Id="rId18" Type="http://schemas.openxmlformats.org/officeDocument/2006/relationships/hyperlink" Target="https://www.epa.gov/natural-gas-star-program/methanol-injection" TargetMode="External"/><Relationship Id="rId26" Type="http://schemas.openxmlformats.org/officeDocument/2006/relationships/hyperlink" Target="https://www.epa.gov/natural-gas-star-program/compressor-station-blowdowns" TargetMode="External"/><Relationship Id="rId3" Type="http://schemas.openxmlformats.org/officeDocument/2006/relationships/hyperlink" Target="https://www.epa.gov/natural-gas-star-program/electric-compressor-motors" TargetMode="External"/><Relationship Id="rId21" Type="http://schemas.openxmlformats.org/officeDocument/2006/relationships/hyperlink" Target="https://www.epa.gov/natural-gas-star-program/desiccant-dehydrators" TargetMode="External"/><Relationship Id="rId7" Type="http://schemas.openxmlformats.org/officeDocument/2006/relationships/hyperlink" Target="https://www.epa.gov/natural-gas-star-program/reciprocating-compressors" TargetMode="External"/><Relationship Id="rId12" Type="http://schemas.openxmlformats.org/officeDocument/2006/relationships/hyperlink" Target="https://www.epa.gov/natural-gas-star-program/instrument-air-controllers" TargetMode="External"/><Relationship Id="rId17" Type="http://schemas.openxmlformats.org/officeDocument/2006/relationships/hyperlink" Target="https://www.epa.gov/natural-gas-star-program/electric-glycol-circulation-pumps" TargetMode="External"/><Relationship Id="rId25" Type="http://schemas.openxmlformats.org/officeDocument/2006/relationships/hyperlink" Target="https://www.epa.gov/natural-gas-star-program/pressurized-storage-tank" TargetMode="External"/><Relationship Id="rId2" Type="http://schemas.openxmlformats.org/officeDocument/2006/relationships/hyperlink" Target="https://www.epa.gov/natural-gas-star-program/engine-exhaust" TargetMode="External"/><Relationship Id="rId16" Type="http://schemas.openxmlformats.org/officeDocument/2006/relationships/hyperlink" Target="https://www.epa.gov/natural-gas-star-program/glycol-dehydrators" TargetMode="External"/><Relationship Id="rId20" Type="http://schemas.openxmlformats.org/officeDocument/2006/relationships/hyperlink" Target="https://www.epa.gov/natural-gas-star-program/flash-tank-separators" TargetMode="External"/><Relationship Id="rId29" Type="http://schemas.openxmlformats.org/officeDocument/2006/relationships/hyperlink" Target="https://www.epa.gov/natural-gas-star-program/pipeline-pig-launching-and-receiving" TargetMode="External"/><Relationship Id="rId1" Type="http://schemas.openxmlformats.org/officeDocument/2006/relationships/hyperlink" Target="#Contents!A1"/><Relationship Id="rId6" Type="http://schemas.openxmlformats.org/officeDocument/2006/relationships/hyperlink" Target="https://www.epa.gov/natural-gas-star-program/centrifugal-compressors" TargetMode="External"/><Relationship Id="rId11" Type="http://schemas.openxmlformats.org/officeDocument/2006/relationships/hyperlink" Target="https://www.epa.gov/natural-gas-star-program/pneumatic-controllers" TargetMode="External"/><Relationship Id="rId24" Type="http://schemas.openxmlformats.org/officeDocument/2006/relationships/hyperlink" Target="https://www.epa.gov/natural-gas-star-program/vapor-recovery-units" TargetMode="External"/><Relationship Id="rId5" Type="http://schemas.openxmlformats.org/officeDocument/2006/relationships/hyperlink" Target="https://www.epa.gov/natural-gas-star-program/advanced-methane-detection" TargetMode="External"/><Relationship Id="rId15" Type="http://schemas.openxmlformats.org/officeDocument/2006/relationships/hyperlink" Target="https://www.epa.gov/natural-gas-star-program/air-starters" TargetMode="External"/><Relationship Id="rId23" Type="http://schemas.openxmlformats.org/officeDocument/2006/relationships/hyperlink" Target="https://www.epa.gov/natural-gas-star-program/storage-tanks" TargetMode="External"/><Relationship Id="rId28" Type="http://schemas.openxmlformats.org/officeDocument/2006/relationships/hyperlink" Target="https://www.epa.gov/natural-gas-star-program/pipeline-hot-taps" TargetMode="External"/><Relationship Id="rId10" Type="http://schemas.openxmlformats.org/officeDocument/2006/relationships/hyperlink" Target="https://www.epa.gov/natural-gas-star-program/liquids-unloading" TargetMode="External"/><Relationship Id="rId19" Type="http://schemas.openxmlformats.org/officeDocument/2006/relationships/hyperlink" Target="https://www.epa.gov/natural-gas-star-program/optimize-glycol-circulation" TargetMode="External"/><Relationship Id="rId4" Type="http://schemas.openxmlformats.org/officeDocument/2006/relationships/hyperlink" Target="https://www.epa.gov/natural-gas-star-program/equipment-leaks" TargetMode="External"/><Relationship Id="rId9" Type="http://schemas.openxmlformats.org/officeDocument/2006/relationships/hyperlink" Target="https://www.epa.gov/natural-gas-star-program/reduced-emission-well-completions-and-workovers" TargetMode="External"/><Relationship Id="rId14" Type="http://schemas.openxmlformats.org/officeDocument/2006/relationships/hyperlink" Target="https://www.epa.gov/natural-gas-star-program/compressor-starts" TargetMode="External"/><Relationship Id="rId22" Type="http://schemas.openxmlformats.org/officeDocument/2006/relationships/hyperlink" Target="https://www.epa.gov/natural-gas-star-program/reroute-glycol-skimmer-gas" TargetMode="External"/><Relationship Id="rId27" Type="http://schemas.openxmlformats.org/officeDocument/2006/relationships/hyperlink" Target="https://www.epa.gov/natural-gas-star-program/route-blowdown-gas-low-pressure-system" TargetMode="External"/></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2" Type="http://schemas.openxmlformats.org/officeDocument/2006/relationships/hyperlink" Target="https://www.epa.gov/natural-gas-star-program/pipeline-pig-launching-and-receiving" TargetMode="External"/><Relationship Id="rId1" Type="http://schemas.openxmlformats.org/officeDocument/2006/relationships/hyperlink" Target="https://www.epa.gov/natural-gas-star-program/storage-tank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6</xdr:col>
      <xdr:colOff>375285</xdr:colOff>
      <xdr:row>25</xdr:row>
      <xdr:rowOff>53331</xdr:rowOff>
    </xdr:from>
    <xdr:to>
      <xdr:col>10</xdr:col>
      <xdr:colOff>146685</xdr:colOff>
      <xdr:row>32</xdr:row>
      <xdr:rowOff>3801</xdr:rowOff>
    </xdr:to>
    <xdr:pic>
      <xdr:nvPicPr>
        <xdr:cNvPr id="4" name="Graphic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699635" y="4601519"/>
          <a:ext cx="2362200" cy="1217295"/>
        </a:xfrm>
        <a:prstGeom prst="rect">
          <a:avLst/>
        </a:prstGeom>
      </xdr:spPr>
    </xdr:pic>
    <xdr:clientData/>
  </xdr:twoCellAnchor>
  <xdr:twoCellAnchor editAs="oneCell">
    <xdr:from>
      <xdr:col>1</xdr:col>
      <xdr:colOff>0</xdr:colOff>
      <xdr:row>25</xdr:row>
      <xdr:rowOff>76197</xdr:rowOff>
    </xdr:from>
    <xdr:to>
      <xdr:col>2</xdr:col>
      <xdr:colOff>528955</xdr:colOff>
      <xdr:row>31</xdr:row>
      <xdr:rowOff>167002</xdr:rowOff>
    </xdr:to>
    <xdr:pic>
      <xdr:nvPicPr>
        <xdr:cNvPr id="5" name="Picture 4" descr="A logo of a flower&#10;&#10;Description automatically generated">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647700" y="4624385"/>
          <a:ext cx="1176655" cy="1176655"/>
        </a:xfrm>
        <a:prstGeom prst="rect">
          <a:avLst/>
        </a:prstGeom>
        <a:noFill/>
        <a:ln>
          <a:noFill/>
        </a:ln>
      </xdr:spPr>
    </xdr:pic>
    <xdr:clientData/>
  </xdr:twoCellAnchor>
  <xdr:twoCellAnchor editAs="oneCell">
    <xdr:from>
      <xdr:col>0</xdr:col>
      <xdr:colOff>0</xdr:colOff>
      <xdr:row>0</xdr:row>
      <xdr:rowOff>0</xdr:rowOff>
    </xdr:from>
    <xdr:to>
      <xdr:col>12</xdr:col>
      <xdr:colOff>57150</xdr:colOff>
      <xdr:row>24</xdr:row>
      <xdr:rowOff>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7772400" cy="45815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1131795</xdr:colOff>
      <xdr:row>0</xdr:row>
      <xdr:rowOff>33617</xdr:rowOff>
    </xdr:from>
    <xdr:to>
      <xdr:col>5</xdr:col>
      <xdr:colOff>489698</xdr:colOff>
      <xdr:row>1</xdr:row>
      <xdr:rowOff>156882</xdr:rowOff>
    </xdr:to>
    <xdr:sp macro="" textlink="'Translation Table'!$H$35">
      <xdr:nvSpPr>
        <xdr:cNvPr id="2" name="Arrow: Right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4840942" y="33617"/>
          <a:ext cx="1543050" cy="504265"/>
        </a:xfrm>
        <a:prstGeom prst="rightArrow">
          <a:avLst/>
        </a:prstGeom>
        <a:solidFill>
          <a:srgbClr val="00A9B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190500</xdr:colOff>
      <xdr:row>0</xdr:row>
      <xdr:rowOff>28575</xdr:rowOff>
    </xdr:from>
    <xdr:to>
      <xdr:col>3</xdr:col>
      <xdr:colOff>95251</xdr:colOff>
      <xdr:row>1</xdr:row>
      <xdr:rowOff>238125</xdr:rowOff>
    </xdr:to>
    <xdr:sp macro="" textlink="'Translation Table'!$H$35">
      <xdr:nvSpPr>
        <xdr:cNvPr id="2" name="Arrow: Right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4486275" y="28575"/>
          <a:ext cx="1543051" cy="581025"/>
        </a:xfrm>
        <a:prstGeom prst="rightArrow">
          <a:avLst/>
        </a:prstGeom>
        <a:solidFill>
          <a:srgbClr val="00A9B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0</xdr:colOff>
          <xdr:row>7</xdr:row>
          <xdr:rowOff>0</xdr:rowOff>
        </xdr:from>
        <xdr:to>
          <xdr:col>17</xdr:col>
          <xdr:colOff>0</xdr:colOff>
          <xdr:row>8</xdr:row>
          <xdr:rowOff>0</xdr:rowOff>
        </xdr:to>
        <xdr:sp macro="" textlink="">
          <xdr:nvSpPr>
            <xdr:cNvPr id="9481" name="Drop Down 265" hidden="1">
              <a:extLst>
                <a:ext uri="{63B3BB69-23CF-44E3-9099-C40C66FF867C}">
                  <a14:compatExt spid="_x0000_s9481"/>
                </a:ext>
                <a:ext uri="{FF2B5EF4-FFF2-40B4-BE49-F238E27FC236}">
                  <a16:creationId xmlns:a16="http://schemas.microsoft.com/office/drawing/2014/main" id="{00000000-0008-0000-0B00-00000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8</xdr:row>
          <xdr:rowOff>0</xdr:rowOff>
        </xdr:from>
        <xdr:to>
          <xdr:col>17</xdr:col>
          <xdr:colOff>0</xdr:colOff>
          <xdr:row>9</xdr:row>
          <xdr:rowOff>0</xdr:rowOff>
        </xdr:to>
        <xdr:sp macro="" textlink="">
          <xdr:nvSpPr>
            <xdr:cNvPr id="9482" name="Drop Down 266" hidden="1">
              <a:extLst>
                <a:ext uri="{63B3BB69-23CF-44E3-9099-C40C66FF867C}">
                  <a14:compatExt spid="_x0000_s9482"/>
                </a:ext>
                <a:ext uri="{FF2B5EF4-FFF2-40B4-BE49-F238E27FC236}">
                  <a16:creationId xmlns:a16="http://schemas.microsoft.com/office/drawing/2014/main" id="{00000000-0008-0000-0B00-00000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xdr:row>
          <xdr:rowOff>0</xdr:rowOff>
        </xdr:from>
        <xdr:to>
          <xdr:col>17</xdr:col>
          <xdr:colOff>0</xdr:colOff>
          <xdr:row>10</xdr:row>
          <xdr:rowOff>0</xdr:rowOff>
        </xdr:to>
        <xdr:sp macro="" textlink="">
          <xdr:nvSpPr>
            <xdr:cNvPr id="9483" name="Drop Down 267" hidden="1">
              <a:extLst>
                <a:ext uri="{63B3BB69-23CF-44E3-9099-C40C66FF867C}">
                  <a14:compatExt spid="_x0000_s9483"/>
                </a:ext>
                <a:ext uri="{FF2B5EF4-FFF2-40B4-BE49-F238E27FC236}">
                  <a16:creationId xmlns:a16="http://schemas.microsoft.com/office/drawing/2014/main" id="{00000000-0008-0000-0B00-00000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xdr:row>
          <xdr:rowOff>0</xdr:rowOff>
        </xdr:from>
        <xdr:to>
          <xdr:col>17</xdr:col>
          <xdr:colOff>0</xdr:colOff>
          <xdr:row>11</xdr:row>
          <xdr:rowOff>0</xdr:rowOff>
        </xdr:to>
        <xdr:sp macro="" textlink="">
          <xdr:nvSpPr>
            <xdr:cNvPr id="9485" name="Drop Down 269" hidden="1">
              <a:extLst>
                <a:ext uri="{63B3BB69-23CF-44E3-9099-C40C66FF867C}">
                  <a14:compatExt spid="_x0000_s9485"/>
                </a:ext>
                <a:ext uri="{FF2B5EF4-FFF2-40B4-BE49-F238E27FC236}">
                  <a16:creationId xmlns:a16="http://schemas.microsoft.com/office/drawing/2014/main" id="{00000000-0008-0000-0B00-00000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xdr:row>
          <xdr:rowOff>0</xdr:rowOff>
        </xdr:from>
        <xdr:to>
          <xdr:col>17</xdr:col>
          <xdr:colOff>0</xdr:colOff>
          <xdr:row>12</xdr:row>
          <xdr:rowOff>0</xdr:rowOff>
        </xdr:to>
        <xdr:sp macro="" textlink="">
          <xdr:nvSpPr>
            <xdr:cNvPr id="9486" name="Drop Down 270" hidden="1">
              <a:extLst>
                <a:ext uri="{63B3BB69-23CF-44E3-9099-C40C66FF867C}">
                  <a14:compatExt spid="_x0000_s9486"/>
                </a:ext>
                <a:ext uri="{FF2B5EF4-FFF2-40B4-BE49-F238E27FC236}">
                  <a16:creationId xmlns:a16="http://schemas.microsoft.com/office/drawing/2014/main" id="{00000000-0008-0000-0B00-00000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12</xdr:row>
          <xdr:rowOff>0</xdr:rowOff>
        </xdr:from>
        <xdr:to>
          <xdr:col>17</xdr:col>
          <xdr:colOff>0</xdr:colOff>
          <xdr:row>13</xdr:row>
          <xdr:rowOff>0</xdr:rowOff>
        </xdr:to>
        <xdr:sp macro="" textlink="">
          <xdr:nvSpPr>
            <xdr:cNvPr id="9487" name="Drop Down 271" hidden="1">
              <a:extLst>
                <a:ext uri="{63B3BB69-23CF-44E3-9099-C40C66FF867C}">
                  <a14:compatExt spid="_x0000_s9487"/>
                </a:ext>
                <a:ext uri="{FF2B5EF4-FFF2-40B4-BE49-F238E27FC236}">
                  <a16:creationId xmlns:a16="http://schemas.microsoft.com/office/drawing/2014/main" id="{00000000-0008-0000-0B00-00000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13</xdr:row>
          <xdr:rowOff>0</xdr:rowOff>
        </xdr:from>
        <xdr:to>
          <xdr:col>17</xdr:col>
          <xdr:colOff>0</xdr:colOff>
          <xdr:row>14</xdr:row>
          <xdr:rowOff>0</xdr:rowOff>
        </xdr:to>
        <xdr:sp macro="" textlink="">
          <xdr:nvSpPr>
            <xdr:cNvPr id="9488" name="Drop Down 272" hidden="1">
              <a:extLst>
                <a:ext uri="{63B3BB69-23CF-44E3-9099-C40C66FF867C}">
                  <a14:compatExt spid="_x0000_s9488"/>
                </a:ext>
                <a:ext uri="{FF2B5EF4-FFF2-40B4-BE49-F238E27FC236}">
                  <a16:creationId xmlns:a16="http://schemas.microsoft.com/office/drawing/2014/main" id="{00000000-0008-0000-0B00-00001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xdr:row>
          <xdr:rowOff>0</xdr:rowOff>
        </xdr:from>
        <xdr:to>
          <xdr:col>17</xdr:col>
          <xdr:colOff>0</xdr:colOff>
          <xdr:row>15</xdr:row>
          <xdr:rowOff>0</xdr:rowOff>
        </xdr:to>
        <xdr:sp macro="" textlink="">
          <xdr:nvSpPr>
            <xdr:cNvPr id="9489" name="Drop Down 273" hidden="1">
              <a:extLst>
                <a:ext uri="{63B3BB69-23CF-44E3-9099-C40C66FF867C}">
                  <a14:compatExt spid="_x0000_s9489"/>
                </a:ext>
                <a:ext uri="{FF2B5EF4-FFF2-40B4-BE49-F238E27FC236}">
                  <a16:creationId xmlns:a16="http://schemas.microsoft.com/office/drawing/2014/main" id="{00000000-0008-0000-0B00-000011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xdr:row>
          <xdr:rowOff>0</xdr:rowOff>
        </xdr:from>
        <xdr:to>
          <xdr:col>17</xdr:col>
          <xdr:colOff>0</xdr:colOff>
          <xdr:row>16</xdr:row>
          <xdr:rowOff>0</xdr:rowOff>
        </xdr:to>
        <xdr:sp macro="" textlink="">
          <xdr:nvSpPr>
            <xdr:cNvPr id="9490" name="Drop Down 274" hidden="1">
              <a:extLst>
                <a:ext uri="{63B3BB69-23CF-44E3-9099-C40C66FF867C}">
                  <a14:compatExt spid="_x0000_s9490"/>
                </a:ext>
                <a:ext uri="{FF2B5EF4-FFF2-40B4-BE49-F238E27FC236}">
                  <a16:creationId xmlns:a16="http://schemas.microsoft.com/office/drawing/2014/main" id="{00000000-0008-0000-0B00-00001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16</xdr:row>
          <xdr:rowOff>0</xdr:rowOff>
        </xdr:from>
        <xdr:to>
          <xdr:col>17</xdr:col>
          <xdr:colOff>0</xdr:colOff>
          <xdr:row>17</xdr:row>
          <xdr:rowOff>0</xdr:rowOff>
        </xdr:to>
        <xdr:sp macro="" textlink="">
          <xdr:nvSpPr>
            <xdr:cNvPr id="9491" name="Drop Down 275" hidden="1">
              <a:extLst>
                <a:ext uri="{63B3BB69-23CF-44E3-9099-C40C66FF867C}">
                  <a14:compatExt spid="_x0000_s9491"/>
                </a:ext>
                <a:ext uri="{FF2B5EF4-FFF2-40B4-BE49-F238E27FC236}">
                  <a16:creationId xmlns:a16="http://schemas.microsoft.com/office/drawing/2014/main" id="{00000000-0008-0000-0B00-00001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17</xdr:row>
          <xdr:rowOff>0</xdr:rowOff>
        </xdr:from>
        <xdr:to>
          <xdr:col>17</xdr:col>
          <xdr:colOff>0</xdr:colOff>
          <xdr:row>18</xdr:row>
          <xdr:rowOff>0</xdr:rowOff>
        </xdr:to>
        <xdr:sp macro="" textlink="">
          <xdr:nvSpPr>
            <xdr:cNvPr id="9492" name="Drop Down 276" hidden="1">
              <a:extLst>
                <a:ext uri="{63B3BB69-23CF-44E3-9099-C40C66FF867C}">
                  <a14:compatExt spid="_x0000_s9492"/>
                </a:ext>
                <a:ext uri="{FF2B5EF4-FFF2-40B4-BE49-F238E27FC236}">
                  <a16:creationId xmlns:a16="http://schemas.microsoft.com/office/drawing/2014/main" id="{00000000-0008-0000-0B00-00001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xdr:row>
          <xdr:rowOff>0</xdr:rowOff>
        </xdr:from>
        <xdr:to>
          <xdr:col>17</xdr:col>
          <xdr:colOff>0</xdr:colOff>
          <xdr:row>19</xdr:row>
          <xdr:rowOff>0</xdr:rowOff>
        </xdr:to>
        <xdr:sp macro="" textlink="">
          <xdr:nvSpPr>
            <xdr:cNvPr id="9494" name="Drop Down 278" hidden="1">
              <a:extLst>
                <a:ext uri="{63B3BB69-23CF-44E3-9099-C40C66FF867C}">
                  <a14:compatExt spid="_x0000_s9494"/>
                </a:ext>
                <a:ext uri="{FF2B5EF4-FFF2-40B4-BE49-F238E27FC236}">
                  <a16:creationId xmlns:a16="http://schemas.microsoft.com/office/drawing/2014/main" id="{00000000-0008-0000-0B00-00001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xdr:row>
          <xdr:rowOff>0</xdr:rowOff>
        </xdr:from>
        <xdr:to>
          <xdr:col>17</xdr:col>
          <xdr:colOff>0</xdr:colOff>
          <xdr:row>20</xdr:row>
          <xdr:rowOff>0</xdr:rowOff>
        </xdr:to>
        <xdr:sp macro="" textlink="">
          <xdr:nvSpPr>
            <xdr:cNvPr id="9495" name="Drop Down 279" hidden="1">
              <a:extLst>
                <a:ext uri="{63B3BB69-23CF-44E3-9099-C40C66FF867C}">
                  <a14:compatExt spid="_x0000_s9495"/>
                </a:ext>
                <a:ext uri="{FF2B5EF4-FFF2-40B4-BE49-F238E27FC236}">
                  <a16:creationId xmlns:a16="http://schemas.microsoft.com/office/drawing/2014/main" id="{00000000-0008-0000-0B00-00001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23</xdr:row>
          <xdr:rowOff>0</xdr:rowOff>
        </xdr:from>
        <xdr:to>
          <xdr:col>17</xdr:col>
          <xdr:colOff>0</xdr:colOff>
          <xdr:row>24</xdr:row>
          <xdr:rowOff>0</xdr:rowOff>
        </xdr:to>
        <xdr:sp macro="" textlink="">
          <xdr:nvSpPr>
            <xdr:cNvPr id="9497" name="Drop Down 281" hidden="1">
              <a:extLst>
                <a:ext uri="{63B3BB69-23CF-44E3-9099-C40C66FF867C}">
                  <a14:compatExt spid="_x0000_s9497"/>
                </a:ext>
                <a:ext uri="{FF2B5EF4-FFF2-40B4-BE49-F238E27FC236}">
                  <a16:creationId xmlns:a16="http://schemas.microsoft.com/office/drawing/2014/main" id="{00000000-0008-0000-0B00-00001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24</xdr:row>
          <xdr:rowOff>0</xdr:rowOff>
        </xdr:from>
        <xdr:to>
          <xdr:col>17</xdr:col>
          <xdr:colOff>0</xdr:colOff>
          <xdr:row>25</xdr:row>
          <xdr:rowOff>0</xdr:rowOff>
        </xdr:to>
        <xdr:sp macro="" textlink="">
          <xdr:nvSpPr>
            <xdr:cNvPr id="9498" name="Drop Down 282" hidden="1">
              <a:extLst>
                <a:ext uri="{63B3BB69-23CF-44E3-9099-C40C66FF867C}">
                  <a14:compatExt spid="_x0000_s9498"/>
                </a:ext>
                <a:ext uri="{FF2B5EF4-FFF2-40B4-BE49-F238E27FC236}">
                  <a16:creationId xmlns:a16="http://schemas.microsoft.com/office/drawing/2014/main" id="{00000000-0008-0000-0B00-00001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25</xdr:row>
          <xdr:rowOff>0</xdr:rowOff>
        </xdr:from>
        <xdr:to>
          <xdr:col>17</xdr:col>
          <xdr:colOff>0</xdr:colOff>
          <xdr:row>26</xdr:row>
          <xdr:rowOff>0</xdr:rowOff>
        </xdr:to>
        <xdr:sp macro="" textlink="">
          <xdr:nvSpPr>
            <xdr:cNvPr id="9499" name="Drop Down 283" hidden="1">
              <a:extLst>
                <a:ext uri="{63B3BB69-23CF-44E3-9099-C40C66FF867C}">
                  <a14:compatExt spid="_x0000_s9499"/>
                </a:ext>
                <a:ext uri="{FF2B5EF4-FFF2-40B4-BE49-F238E27FC236}">
                  <a16:creationId xmlns:a16="http://schemas.microsoft.com/office/drawing/2014/main" id="{00000000-0008-0000-0B00-00001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26</xdr:row>
          <xdr:rowOff>0</xdr:rowOff>
        </xdr:from>
        <xdr:to>
          <xdr:col>17</xdr:col>
          <xdr:colOff>0</xdr:colOff>
          <xdr:row>27</xdr:row>
          <xdr:rowOff>0</xdr:rowOff>
        </xdr:to>
        <xdr:sp macro="" textlink="">
          <xdr:nvSpPr>
            <xdr:cNvPr id="9500" name="Drop Down 284" hidden="1">
              <a:extLst>
                <a:ext uri="{63B3BB69-23CF-44E3-9099-C40C66FF867C}">
                  <a14:compatExt spid="_x0000_s9500"/>
                </a:ext>
                <a:ext uri="{FF2B5EF4-FFF2-40B4-BE49-F238E27FC236}">
                  <a16:creationId xmlns:a16="http://schemas.microsoft.com/office/drawing/2014/main" id="{00000000-0008-0000-0B00-00001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27</xdr:row>
          <xdr:rowOff>0</xdr:rowOff>
        </xdr:from>
        <xdr:to>
          <xdr:col>17</xdr:col>
          <xdr:colOff>0</xdr:colOff>
          <xdr:row>28</xdr:row>
          <xdr:rowOff>0</xdr:rowOff>
        </xdr:to>
        <xdr:sp macro="" textlink="">
          <xdr:nvSpPr>
            <xdr:cNvPr id="9501" name="Drop Down 285" hidden="1">
              <a:extLst>
                <a:ext uri="{63B3BB69-23CF-44E3-9099-C40C66FF867C}">
                  <a14:compatExt spid="_x0000_s9501"/>
                </a:ext>
                <a:ext uri="{FF2B5EF4-FFF2-40B4-BE49-F238E27FC236}">
                  <a16:creationId xmlns:a16="http://schemas.microsoft.com/office/drawing/2014/main" id="{00000000-0008-0000-0B00-00001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28</xdr:row>
          <xdr:rowOff>0</xdr:rowOff>
        </xdr:from>
        <xdr:to>
          <xdr:col>17</xdr:col>
          <xdr:colOff>0</xdr:colOff>
          <xdr:row>29</xdr:row>
          <xdr:rowOff>0</xdr:rowOff>
        </xdr:to>
        <xdr:sp macro="" textlink="">
          <xdr:nvSpPr>
            <xdr:cNvPr id="9503" name="Drop Down 287" hidden="1">
              <a:extLst>
                <a:ext uri="{63B3BB69-23CF-44E3-9099-C40C66FF867C}">
                  <a14:compatExt spid="_x0000_s9503"/>
                </a:ext>
                <a:ext uri="{FF2B5EF4-FFF2-40B4-BE49-F238E27FC236}">
                  <a16:creationId xmlns:a16="http://schemas.microsoft.com/office/drawing/2014/main" id="{00000000-0008-0000-0B00-00001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29</xdr:row>
          <xdr:rowOff>0</xdr:rowOff>
        </xdr:from>
        <xdr:to>
          <xdr:col>17</xdr:col>
          <xdr:colOff>0</xdr:colOff>
          <xdr:row>30</xdr:row>
          <xdr:rowOff>0</xdr:rowOff>
        </xdr:to>
        <xdr:sp macro="" textlink="">
          <xdr:nvSpPr>
            <xdr:cNvPr id="9504" name="Drop Down 288" hidden="1">
              <a:extLst>
                <a:ext uri="{63B3BB69-23CF-44E3-9099-C40C66FF867C}">
                  <a14:compatExt spid="_x0000_s9504"/>
                </a:ext>
                <a:ext uri="{FF2B5EF4-FFF2-40B4-BE49-F238E27FC236}">
                  <a16:creationId xmlns:a16="http://schemas.microsoft.com/office/drawing/2014/main" id="{00000000-0008-0000-0B00-00002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30</xdr:row>
          <xdr:rowOff>0</xdr:rowOff>
        </xdr:from>
        <xdr:to>
          <xdr:col>17</xdr:col>
          <xdr:colOff>0</xdr:colOff>
          <xdr:row>31</xdr:row>
          <xdr:rowOff>0</xdr:rowOff>
        </xdr:to>
        <xdr:sp macro="" textlink="">
          <xdr:nvSpPr>
            <xdr:cNvPr id="9506" name="Drop Down 290" hidden="1">
              <a:extLst>
                <a:ext uri="{63B3BB69-23CF-44E3-9099-C40C66FF867C}">
                  <a14:compatExt spid="_x0000_s9506"/>
                </a:ext>
                <a:ext uri="{FF2B5EF4-FFF2-40B4-BE49-F238E27FC236}">
                  <a16:creationId xmlns:a16="http://schemas.microsoft.com/office/drawing/2014/main" id="{00000000-0008-0000-0B00-00002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31</xdr:row>
          <xdr:rowOff>0</xdr:rowOff>
        </xdr:from>
        <xdr:to>
          <xdr:col>17</xdr:col>
          <xdr:colOff>0</xdr:colOff>
          <xdr:row>32</xdr:row>
          <xdr:rowOff>0</xdr:rowOff>
        </xdr:to>
        <xdr:sp macro="" textlink="">
          <xdr:nvSpPr>
            <xdr:cNvPr id="9507" name="Drop Down 291" hidden="1">
              <a:extLst>
                <a:ext uri="{63B3BB69-23CF-44E3-9099-C40C66FF867C}">
                  <a14:compatExt spid="_x0000_s9507"/>
                </a:ext>
                <a:ext uri="{FF2B5EF4-FFF2-40B4-BE49-F238E27FC236}">
                  <a16:creationId xmlns:a16="http://schemas.microsoft.com/office/drawing/2014/main" id="{00000000-0008-0000-0B00-00002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32</xdr:row>
          <xdr:rowOff>0</xdr:rowOff>
        </xdr:from>
        <xdr:to>
          <xdr:col>17</xdr:col>
          <xdr:colOff>0</xdr:colOff>
          <xdr:row>33</xdr:row>
          <xdr:rowOff>0</xdr:rowOff>
        </xdr:to>
        <xdr:sp macro="" textlink="">
          <xdr:nvSpPr>
            <xdr:cNvPr id="9508" name="Drop Down 292" hidden="1">
              <a:extLst>
                <a:ext uri="{63B3BB69-23CF-44E3-9099-C40C66FF867C}">
                  <a14:compatExt spid="_x0000_s9508"/>
                </a:ext>
                <a:ext uri="{FF2B5EF4-FFF2-40B4-BE49-F238E27FC236}">
                  <a16:creationId xmlns:a16="http://schemas.microsoft.com/office/drawing/2014/main" id="{00000000-0008-0000-0B00-00002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33</xdr:row>
          <xdr:rowOff>0</xdr:rowOff>
        </xdr:from>
        <xdr:to>
          <xdr:col>17</xdr:col>
          <xdr:colOff>0</xdr:colOff>
          <xdr:row>34</xdr:row>
          <xdr:rowOff>0</xdr:rowOff>
        </xdr:to>
        <xdr:sp macro="" textlink="">
          <xdr:nvSpPr>
            <xdr:cNvPr id="9509" name="Drop Down 293" hidden="1">
              <a:extLst>
                <a:ext uri="{63B3BB69-23CF-44E3-9099-C40C66FF867C}">
                  <a14:compatExt spid="_x0000_s9509"/>
                </a:ext>
                <a:ext uri="{FF2B5EF4-FFF2-40B4-BE49-F238E27FC236}">
                  <a16:creationId xmlns:a16="http://schemas.microsoft.com/office/drawing/2014/main" id="{00000000-0008-0000-0B00-000025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34</xdr:row>
          <xdr:rowOff>0</xdr:rowOff>
        </xdr:from>
        <xdr:to>
          <xdr:col>17</xdr:col>
          <xdr:colOff>0</xdr:colOff>
          <xdr:row>35</xdr:row>
          <xdr:rowOff>0</xdr:rowOff>
        </xdr:to>
        <xdr:sp macro="" textlink="">
          <xdr:nvSpPr>
            <xdr:cNvPr id="9510" name="Drop Down 294" hidden="1">
              <a:extLst>
                <a:ext uri="{63B3BB69-23CF-44E3-9099-C40C66FF867C}">
                  <a14:compatExt spid="_x0000_s9510"/>
                </a:ext>
                <a:ext uri="{FF2B5EF4-FFF2-40B4-BE49-F238E27FC236}">
                  <a16:creationId xmlns:a16="http://schemas.microsoft.com/office/drawing/2014/main" id="{00000000-0008-0000-0B00-00002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35</xdr:row>
          <xdr:rowOff>0</xdr:rowOff>
        </xdr:from>
        <xdr:to>
          <xdr:col>17</xdr:col>
          <xdr:colOff>0</xdr:colOff>
          <xdr:row>36</xdr:row>
          <xdr:rowOff>0</xdr:rowOff>
        </xdr:to>
        <xdr:sp macro="" textlink="">
          <xdr:nvSpPr>
            <xdr:cNvPr id="9511" name="Drop Down 295" hidden="1">
              <a:extLst>
                <a:ext uri="{63B3BB69-23CF-44E3-9099-C40C66FF867C}">
                  <a14:compatExt spid="_x0000_s9511"/>
                </a:ext>
                <a:ext uri="{FF2B5EF4-FFF2-40B4-BE49-F238E27FC236}">
                  <a16:creationId xmlns:a16="http://schemas.microsoft.com/office/drawing/2014/main" id="{00000000-0008-0000-0B00-00002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36</xdr:row>
          <xdr:rowOff>0</xdr:rowOff>
        </xdr:from>
        <xdr:to>
          <xdr:col>17</xdr:col>
          <xdr:colOff>0</xdr:colOff>
          <xdr:row>37</xdr:row>
          <xdr:rowOff>0</xdr:rowOff>
        </xdr:to>
        <xdr:sp macro="" textlink="">
          <xdr:nvSpPr>
            <xdr:cNvPr id="9513" name="Drop Down 297" hidden="1">
              <a:extLst>
                <a:ext uri="{63B3BB69-23CF-44E3-9099-C40C66FF867C}">
                  <a14:compatExt spid="_x0000_s9513"/>
                </a:ext>
                <a:ext uri="{FF2B5EF4-FFF2-40B4-BE49-F238E27FC236}">
                  <a16:creationId xmlns:a16="http://schemas.microsoft.com/office/drawing/2014/main" id="{00000000-0008-0000-0B00-00002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37</xdr:row>
          <xdr:rowOff>0</xdr:rowOff>
        </xdr:from>
        <xdr:to>
          <xdr:col>17</xdr:col>
          <xdr:colOff>0</xdr:colOff>
          <xdr:row>38</xdr:row>
          <xdr:rowOff>0</xdr:rowOff>
        </xdr:to>
        <xdr:sp macro="" textlink="">
          <xdr:nvSpPr>
            <xdr:cNvPr id="9514" name="Drop Down 298" hidden="1">
              <a:extLst>
                <a:ext uri="{63B3BB69-23CF-44E3-9099-C40C66FF867C}">
                  <a14:compatExt spid="_x0000_s9514"/>
                </a:ext>
                <a:ext uri="{FF2B5EF4-FFF2-40B4-BE49-F238E27FC236}">
                  <a16:creationId xmlns:a16="http://schemas.microsoft.com/office/drawing/2014/main" id="{00000000-0008-0000-0B00-00002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38</xdr:row>
          <xdr:rowOff>0</xdr:rowOff>
        </xdr:from>
        <xdr:to>
          <xdr:col>17</xdr:col>
          <xdr:colOff>0</xdr:colOff>
          <xdr:row>39</xdr:row>
          <xdr:rowOff>0</xdr:rowOff>
        </xdr:to>
        <xdr:sp macro="" textlink="">
          <xdr:nvSpPr>
            <xdr:cNvPr id="9515" name="Drop Down 299" hidden="1">
              <a:extLst>
                <a:ext uri="{63B3BB69-23CF-44E3-9099-C40C66FF867C}">
                  <a14:compatExt spid="_x0000_s9515"/>
                </a:ext>
                <a:ext uri="{FF2B5EF4-FFF2-40B4-BE49-F238E27FC236}">
                  <a16:creationId xmlns:a16="http://schemas.microsoft.com/office/drawing/2014/main" id="{00000000-0008-0000-0B00-00002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39</xdr:row>
          <xdr:rowOff>0</xdr:rowOff>
        </xdr:from>
        <xdr:to>
          <xdr:col>17</xdr:col>
          <xdr:colOff>0</xdr:colOff>
          <xdr:row>40</xdr:row>
          <xdr:rowOff>0</xdr:rowOff>
        </xdr:to>
        <xdr:sp macro="" textlink="">
          <xdr:nvSpPr>
            <xdr:cNvPr id="9517" name="Drop Down 301" hidden="1">
              <a:extLst>
                <a:ext uri="{63B3BB69-23CF-44E3-9099-C40C66FF867C}">
                  <a14:compatExt spid="_x0000_s9517"/>
                </a:ext>
                <a:ext uri="{FF2B5EF4-FFF2-40B4-BE49-F238E27FC236}">
                  <a16:creationId xmlns:a16="http://schemas.microsoft.com/office/drawing/2014/main" id="{00000000-0008-0000-0B00-00002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49</xdr:row>
          <xdr:rowOff>0</xdr:rowOff>
        </xdr:from>
        <xdr:to>
          <xdr:col>17</xdr:col>
          <xdr:colOff>0</xdr:colOff>
          <xdr:row>50</xdr:row>
          <xdr:rowOff>0</xdr:rowOff>
        </xdr:to>
        <xdr:sp macro="" textlink="">
          <xdr:nvSpPr>
            <xdr:cNvPr id="9549" name="Drop Down 333" hidden="1">
              <a:extLst>
                <a:ext uri="{63B3BB69-23CF-44E3-9099-C40C66FF867C}">
                  <a14:compatExt spid="_x0000_s9549"/>
                </a:ext>
                <a:ext uri="{FF2B5EF4-FFF2-40B4-BE49-F238E27FC236}">
                  <a16:creationId xmlns:a16="http://schemas.microsoft.com/office/drawing/2014/main" id="{00000000-0008-0000-0B00-00004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50</xdr:row>
          <xdr:rowOff>0</xdr:rowOff>
        </xdr:from>
        <xdr:to>
          <xdr:col>17</xdr:col>
          <xdr:colOff>0</xdr:colOff>
          <xdr:row>51</xdr:row>
          <xdr:rowOff>0</xdr:rowOff>
        </xdr:to>
        <xdr:sp macro="" textlink="">
          <xdr:nvSpPr>
            <xdr:cNvPr id="9550" name="Drop Down 334" hidden="1">
              <a:extLst>
                <a:ext uri="{63B3BB69-23CF-44E3-9099-C40C66FF867C}">
                  <a14:compatExt spid="_x0000_s9550"/>
                </a:ext>
                <a:ext uri="{FF2B5EF4-FFF2-40B4-BE49-F238E27FC236}">
                  <a16:creationId xmlns:a16="http://schemas.microsoft.com/office/drawing/2014/main" id="{00000000-0008-0000-0B00-00004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51</xdr:row>
          <xdr:rowOff>0</xdr:rowOff>
        </xdr:from>
        <xdr:to>
          <xdr:col>17</xdr:col>
          <xdr:colOff>0</xdr:colOff>
          <xdr:row>52</xdr:row>
          <xdr:rowOff>0</xdr:rowOff>
        </xdr:to>
        <xdr:sp macro="" textlink="">
          <xdr:nvSpPr>
            <xdr:cNvPr id="9551" name="Drop Down 335" hidden="1">
              <a:extLst>
                <a:ext uri="{63B3BB69-23CF-44E3-9099-C40C66FF867C}">
                  <a14:compatExt spid="_x0000_s9551"/>
                </a:ext>
                <a:ext uri="{FF2B5EF4-FFF2-40B4-BE49-F238E27FC236}">
                  <a16:creationId xmlns:a16="http://schemas.microsoft.com/office/drawing/2014/main" id="{00000000-0008-0000-0B00-00004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52</xdr:row>
          <xdr:rowOff>0</xdr:rowOff>
        </xdr:from>
        <xdr:to>
          <xdr:col>17</xdr:col>
          <xdr:colOff>0</xdr:colOff>
          <xdr:row>53</xdr:row>
          <xdr:rowOff>0</xdr:rowOff>
        </xdr:to>
        <xdr:sp macro="" textlink="">
          <xdr:nvSpPr>
            <xdr:cNvPr id="9552" name="Drop Down 336" hidden="1">
              <a:extLst>
                <a:ext uri="{63B3BB69-23CF-44E3-9099-C40C66FF867C}">
                  <a14:compatExt spid="_x0000_s9552"/>
                </a:ext>
                <a:ext uri="{FF2B5EF4-FFF2-40B4-BE49-F238E27FC236}">
                  <a16:creationId xmlns:a16="http://schemas.microsoft.com/office/drawing/2014/main" id="{00000000-0008-0000-0B00-00005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53</xdr:row>
          <xdr:rowOff>0</xdr:rowOff>
        </xdr:from>
        <xdr:to>
          <xdr:col>17</xdr:col>
          <xdr:colOff>0</xdr:colOff>
          <xdr:row>54</xdr:row>
          <xdr:rowOff>0</xdr:rowOff>
        </xdr:to>
        <xdr:sp macro="" textlink="">
          <xdr:nvSpPr>
            <xdr:cNvPr id="9553" name="Drop Down 337" hidden="1">
              <a:extLst>
                <a:ext uri="{63B3BB69-23CF-44E3-9099-C40C66FF867C}">
                  <a14:compatExt spid="_x0000_s9553"/>
                </a:ext>
                <a:ext uri="{FF2B5EF4-FFF2-40B4-BE49-F238E27FC236}">
                  <a16:creationId xmlns:a16="http://schemas.microsoft.com/office/drawing/2014/main" id="{00000000-0008-0000-0B00-000051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54</xdr:row>
          <xdr:rowOff>0</xdr:rowOff>
        </xdr:from>
        <xdr:to>
          <xdr:col>17</xdr:col>
          <xdr:colOff>0</xdr:colOff>
          <xdr:row>55</xdr:row>
          <xdr:rowOff>0</xdr:rowOff>
        </xdr:to>
        <xdr:sp macro="" textlink="">
          <xdr:nvSpPr>
            <xdr:cNvPr id="9554" name="Drop Down 338" hidden="1">
              <a:extLst>
                <a:ext uri="{63B3BB69-23CF-44E3-9099-C40C66FF867C}">
                  <a14:compatExt spid="_x0000_s9554"/>
                </a:ext>
                <a:ext uri="{FF2B5EF4-FFF2-40B4-BE49-F238E27FC236}">
                  <a16:creationId xmlns:a16="http://schemas.microsoft.com/office/drawing/2014/main" id="{00000000-0008-0000-0B00-00005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55</xdr:row>
          <xdr:rowOff>0</xdr:rowOff>
        </xdr:from>
        <xdr:to>
          <xdr:col>17</xdr:col>
          <xdr:colOff>0</xdr:colOff>
          <xdr:row>56</xdr:row>
          <xdr:rowOff>0</xdr:rowOff>
        </xdr:to>
        <xdr:sp macro="" textlink="">
          <xdr:nvSpPr>
            <xdr:cNvPr id="9555" name="Drop Down 339" hidden="1">
              <a:extLst>
                <a:ext uri="{63B3BB69-23CF-44E3-9099-C40C66FF867C}">
                  <a14:compatExt spid="_x0000_s9555"/>
                </a:ext>
                <a:ext uri="{FF2B5EF4-FFF2-40B4-BE49-F238E27FC236}">
                  <a16:creationId xmlns:a16="http://schemas.microsoft.com/office/drawing/2014/main" id="{00000000-0008-0000-0B00-00005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56</xdr:row>
          <xdr:rowOff>0</xdr:rowOff>
        </xdr:from>
        <xdr:to>
          <xdr:col>17</xdr:col>
          <xdr:colOff>0</xdr:colOff>
          <xdr:row>57</xdr:row>
          <xdr:rowOff>0</xdr:rowOff>
        </xdr:to>
        <xdr:sp macro="" textlink="">
          <xdr:nvSpPr>
            <xdr:cNvPr id="9556" name="Drop Down 340" hidden="1">
              <a:extLst>
                <a:ext uri="{63B3BB69-23CF-44E3-9099-C40C66FF867C}">
                  <a14:compatExt spid="_x0000_s9556"/>
                </a:ext>
                <a:ext uri="{FF2B5EF4-FFF2-40B4-BE49-F238E27FC236}">
                  <a16:creationId xmlns:a16="http://schemas.microsoft.com/office/drawing/2014/main" id="{00000000-0008-0000-0B00-00005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57</xdr:row>
          <xdr:rowOff>0</xdr:rowOff>
        </xdr:from>
        <xdr:to>
          <xdr:col>17</xdr:col>
          <xdr:colOff>0</xdr:colOff>
          <xdr:row>58</xdr:row>
          <xdr:rowOff>0</xdr:rowOff>
        </xdr:to>
        <xdr:sp macro="" textlink="">
          <xdr:nvSpPr>
            <xdr:cNvPr id="9557" name="Drop Down 341" hidden="1">
              <a:extLst>
                <a:ext uri="{63B3BB69-23CF-44E3-9099-C40C66FF867C}">
                  <a14:compatExt spid="_x0000_s9557"/>
                </a:ext>
                <a:ext uri="{FF2B5EF4-FFF2-40B4-BE49-F238E27FC236}">
                  <a16:creationId xmlns:a16="http://schemas.microsoft.com/office/drawing/2014/main" id="{00000000-0008-0000-0B00-000055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58</xdr:row>
          <xdr:rowOff>0</xdr:rowOff>
        </xdr:from>
        <xdr:to>
          <xdr:col>17</xdr:col>
          <xdr:colOff>0</xdr:colOff>
          <xdr:row>59</xdr:row>
          <xdr:rowOff>0</xdr:rowOff>
        </xdr:to>
        <xdr:sp macro="" textlink="">
          <xdr:nvSpPr>
            <xdr:cNvPr id="9558" name="Drop Down 342" hidden="1">
              <a:extLst>
                <a:ext uri="{63B3BB69-23CF-44E3-9099-C40C66FF867C}">
                  <a14:compatExt spid="_x0000_s9558"/>
                </a:ext>
                <a:ext uri="{FF2B5EF4-FFF2-40B4-BE49-F238E27FC236}">
                  <a16:creationId xmlns:a16="http://schemas.microsoft.com/office/drawing/2014/main" id="{00000000-0008-0000-0B00-00005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59</xdr:row>
          <xdr:rowOff>0</xdr:rowOff>
        </xdr:from>
        <xdr:to>
          <xdr:col>17</xdr:col>
          <xdr:colOff>0</xdr:colOff>
          <xdr:row>60</xdr:row>
          <xdr:rowOff>0</xdr:rowOff>
        </xdr:to>
        <xdr:sp macro="" textlink="">
          <xdr:nvSpPr>
            <xdr:cNvPr id="9559" name="Drop Down 343" hidden="1">
              <a:extLst>
                <a:ext uri="{63B3BB69-23CF-44E3-9099-C40C66FF867C}">
                  <a14:compatExt spid="_x0000_s9559"/>
                </a:ext>
                <a:ext uri="{FF2B5EF4-FFF2-40B4-BE49-F238E27FC236}">
                  <a16:creationId xmlns:a16="http://schemas.microsoft.com/office/drawing/2014/main" id="{00000000-0008-0000-0B00-00005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60</xdr:row>
          <xdr:rowOff>0</xdr:rowOff>
        </xdr:from>
        <xdr:to>
          <xdr:col>17</xdr:col>
          <xdr:colOff>0</xdr:colOff>
          <xdr:row>61</xdr:row>
          <xdr:rowOff>0</xdr:rowOff>
        </xdr:to>
        <xdr:sp macro="" textlink="">
          <xdr:nvSpPr>
            <xdr:cNvPr id="9560" name="Drop Down 344" hidden="1">
              <a:extLst>
                <a:ext uri="{63B3BB69-23CF-44E3-9099-C40C66FF867C}">
                  <a14:compatExt spid="_x0000_s9560"/>
                </a:ext>
                <a:ext uri="{FF2B5EF4-FFF2-40B4-BE49-F238E27FC236}">
                  <a16:creationId xmlns:a16="http://schemas.microsoft.com/office/drawing/2014/main" id="{00000000-0008-0000-0B00-00005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61</xdr:row>
          <xdr:rowOff>0</xdr:rowOff>
        </xdr:from>
        <xdr:to>
          <xdr:col>17</xdr:col>
          <xdr:colOff>0</xdr:colOff>
          <xdr:row>62</xdr:row>
          <xdr:rowOff>0</xdr:rowOff>
        </xdr:to>
        <xdr:sp macro="" textlink="">
          <xdr:nvSpPr>
            <xdr:cNvPr id="9561" name="Drop Down 345" hidden="1">
              <a:extLst>
                <a:ext uri="{63B3BB69-23CF-44E3-9099-C40C66FF867C}">
                  <a14:compatExt spid="_x0000_s9561"/>
                </a:ext>
                <a:ext uri="{FF2B5EF4-FFF2-40B4-BE49-F238E27FC236}">
                  <a16:creationId xmlns:a16="http://schemas.microsoft.com/office/drawing/2014/main" id="{00000000-0008-0000-0B00-00005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65</xdr:row>
          <xdr:rowOff>0</xdr:rowOff>
        </xdr:from>
        <xdr:to>
          <xdr:col>17</xdr:col>
          <xdr:colOff>0</xdr:colOff>
          <xdr:row>66</xdr:row>
          <xdr:rowOff>0</xdr:rowOff>
        </xdr:to>
        <xdr:sp macro="" textlink="">
          <xdr:nvSpPr>
            <xdr:cNvPr id="9563" name="Drop Down 347" hidden="1">
              <a:extLst>
                <a:ext uri="{63B3BB69-23CF-44E3-9099-C40C66FF867C}">
                  <a14:compatExt spid="_x0000_s9563"/>
                </a:ext>
                <a:ext uri="{FF2B5EF4-FFF2-40B4-BE49-F238E27FC236}">
                  <a16:creationId xmlns:a16="http://schemas.microsoft.com/office/drawing/2014/main" id="{00000000-0008-0000-0B00-00005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66</xdr:row>
          <xdr:rowOff>0</xdr:rowOff>
        </xdr:from>
        <xdr:to>
          <xdr:col>17</xdr:col>
          <xdr:colOff>0</xdr:colOff>
          <xdr:row>67</xdr:row>
          <xdr:rowOff>0</xdr:rowOff>
        </xdr:to>
        <xdr:sp macro="" textlink="">
          <xdr:nvSpPr>
            <xdr:cNvPr id="9564" name="Drop Down 348" hidden="1">
              <a:extLst>
                <a:ext uri="{63B3BB69-23CF-44E3-9099-C40C66FF867C}">
                  <a14:compatExt spid="_x0000_s9564"/>
                </a:ext>
                <a:ext uri="{FF2B5EF4-FFF2-40B4-BE49-F238E27FC236}">
                  <a16:creationId xmlns:a16="http://schemas.microsoft.com/office/drawing/2014/main" id="{00000000-0008-0000-0B00-00005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67</xdr:row>
          <xdr:rowOff>0</xdr:rowOff>
        </xdr:from>
        <xdr:to>
          <xdr:col>17</xdr:col>
          <xdr:colOff>0</xdr:colOff>
          <xdr:row>68</xdr:row>
          <xdr:rowOff>0</xdr:rowOff>
        </xdr:to>
        <xdr:sp macro="" textlink="">
          <xdr:nvSpPr>
            <xdr:cNvPr id="9565" name="Drop Down 349" hidden="1">
              <a:extLst>
                <a:ext uri="{63B3BB69-23CF-44E3-9099-C40C66FF867C}">
                  <a14:compatExt spid="_x0000_s9565"/>
                </a:ext>
                <a:ext uri="{FF2B5EF4-FFF2-40B4-BE49-F238E27FC236}">
                  <a16:creationId xmlns:a16="http://schemas.microsoft.com/office/drawing/2014/main" id="{00000000-0008-0000-0B00-00005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68</xdr:row>
          <xdr:rowOff>0</xdr:rowOff>
        </xdr:from>
        <xdr:to>
          <xdr:col>17</xdr:col>
          <xdr:colOff>0</xdr:colOff>
          <xdr:row>69</xdr:row>
          <xdr:rowOff>0</xdr:rowOff>
        </xdr:to>
        <xdr:sp macro="" textlink="">
          <xdr:nvSpPr>
            <xdr:cNvPr id="9566" name="Drop Down 350" hidden="1">
              <a:extLst>
                <a:ext uri="{63B3BB69-23CF-44E3-9099-C40C66FF867C}">
                  <a14:compatExt spid="_x0000_s9566"/>
                </a:ext>
                <a:ext uri="{FF2B5EF4-FFF2-40B4-BE49-F238E27FC236}">
                  <a16:creationId xmlns:a16="http://schemas.microsoft.com/office/drawing/2014/main" id="{00000000-0008-0000-0B00-00005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69</xdr:row>
          <xdr:rowOff>0</xdr:rowOff>
        </xdr:from>
        <xdr:to>
          <xdr:col>17</xdr:col>
          <xdr:colOff>0</xdr:colOff>
          <xdr:row>70</xdr:row>
          <xdr:rowOff>0</xdr:rowOff>
        </xdr:to>
        <xdr:sp macro="" textlink="">
          <xdr:nvSpPr>
            <xdr:cNvPr id="9567" name="Drop Down 351" hidden="1">
              <a:extLst>
                <a:ext uri="{63B3BB69-23CF-44E3-9099-C40C66FF867C}">
                  <a14:compatExt spid="_x0000_s9567"/>
                </a:ext>
                <a:ext uri="{FF2B5EF4-FFF2-40B4-BE49-F238E27FC236}">
                  <a16:creationId xmlns:a16="http://schemas.microsoft.com/office/drawing/2014/main" id="{00000000-0008-0000-0B00-00005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70</xdr:row>
          <xdr:rowOff>0</xdr:rowOff>
        </xdr:from>
        <xdr:to>
          <xdr:col>17</xdr:col>
          <xdr:colOff>0</xdr:colOff>
          <xdr:row>71</xdr:row>
          <xdr:rowOff>0</xdr:rowOff>
        </xdr:to>
        <xdr:sp macro="" textlink="">
          <xdr:nvSpPr>
            <xdr:cNvPr id="9568" name="Drop Down 352" hidden="1">
              <a:extLst>
                <a:ext uri="{63B3BB69-23CF-44E3-9099-C40C66FF867C}">
                  <a14:compatExt spid="_x0000_s9568"/>
                </a:ext>
                <a:ext uri="{FF2B5EF4-FFF2-40B4-BE49-F238E27FC236}">
                  <a16:creationId xmlns:a16="http://schemas.microsoft.com/office/drawing/2014/main" id="{00000000-0008-0000-0B00-00006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71</xdr:row>
          <xdr:rowOff>0</xdr:rowOff>
        </xdr:from>
        <xdr:to>
          <xdr:col>17</xdr:col>
          <xdr:colOff>0</xdr:colOff>
          <xdr:row>72</xdr:row>
          <xdr:rowOff>0</xdr:rowOff>
        </xdr:to>
        <xdr:sp macro="" textlink="">
          <xdr:nvSpPr>
            <xdr:cNvPr id="9569" name="Drop Down 353" hidden="1">
              <a:extLst>
                <a:ext uri="{63B3BB69-23CF-44E3-9099-C40C66FF867C}">
                  <a14:compatExt spid="_x0000_s9569"/>
                </a:ext>
                <a:ext uri="{FF2B5EF4-FFF2-40B4-BE49-F238E27FC236}">
                  <a16:creationId xmlns:a16="http://schemas.microsoft.com/office/drawing/2014/main" id="{00000000-0008-0000-0B00-000061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72</xdr:row>
          <xdr:rowOff>0</xdr:rowOff>
        </xdr:from>
        <xdr:to>
          <xdr:col>17</xdr:col>
          <xdr:colOff>0</xdr:colOff>
          <xdr:row>73</xdr:row>
          <xdr:rowOff>0</xdr:rowOff>
        </xdr:to>
        <xdr:sp macro="" textlink="">
          <xdr:nvSpPr>
            <xdr:cNvPr id="9570" name="Drop Down 354" hidden="1">
              <a:extLst>
                <a:ext uri="{63B3BB69-23CF-44E3-9099-C40C66FF867C}">
                  <a14:compatExt spid="_x0000_s9570"/>
                </a:ext>
                <a:ext uri="{FF2B5EF4-FFF2-40B4-BE49-F238E27FC236}">
                  <a16:creationId xmlns:a16="http://schemas.microsoft.com/office/drawing/2014/main" id="{00000000-0008-0000-0B00-00006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73</xdr:row>
          <xdr:rowOff>0</xdr:rowOff>
        </xdr:from>
        <xdr:to>
          <xdr:col>17</xdr:col>
          <xdr:colOff>0</xdr:colOff>
          <xdr:row>74</xdr:row>
          <xdr:rowOff>0</xdr:rowOff>
        </xdr:to>
        <xdr:sp macro="" textlink="">
          <xdr:nvSpPr>
            <xdr:cNvPr id="9571" name="Drop Down 355" hidden="1">
              <a:extLst>
                <a:ext uri="{63B3BB69-23CF-44E3-9099-C40C66FF867C}">
                  <a14:compatExt spid="_x0000_s9571"/>
                </a:ext>
                <a:ext uri="{FF2B5EF4-FFF2-40B4-BE49-F238E27FC236}">
                  <a16:creationId xmlns:a16="http://schemas.microsoft.com/office/drawing/2014/main" id="{00000000-0008-0000-0B00-00006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74</xdr:row>
          <xdr:rowOff>0</xdr:rowOff>
        </xdr:from>
        <xdr:to>
          <xdr:col>17</xdr:col>
          <xdr:colOff>0</xdr:colOff>
          <xdr:row>75</xdr:row>
          <xdr:rowOff>0</xdr:rowOff>
        </xdr:to>
        <xdr:sp macro="" textlink="">
          <xdr:nvSpPr>
            <xdr:cNvPr id="9572" name="Drop Down 356" hidden="1">
              <a:extLst>
                <a:ext uri="{63B3BB69-23CF-44E3-9099-C40C66FF867C}">
                  <a14:compatExt spid="_x0000_s9572"/>
                </a:ext>
                <a:ext uri="{FF2B5EF4-FFF2-40B4-BE49-F238E27FC236}">
                  <a16:creationId xmlns:a16="http://schemas.microsoft.com/office/drawing/2014/main" id="{00000000-0008-0000-0B00-00006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75</xdr:row>
          <xdr:rowOff>0</xdr:rowOff>
        </xdr:from>
        <xdr:to>
          <xdr:col>17</xdr:col>
          <xdr:colOff>0</xdr:colOff>
          <xdr:row>76</xdr:row>
          <xdr:rowOff>0</xdr:rowOff>
        </xdr:to>
        <xdr:sp macro="" textlink="">
          <xdr:nvSpPr>
            <xdr:cNvPr id="9573" name="Drop Down 357" hidden="1">
              <a:extLst>
                <a:ext uri="{63B3BB69-23CF-44E3-9099-C40C66FF867C}">
                  <a14:compatExt spid="_x0000_s9573"/>
                </a:ext>
                <a:ext uri="{FF2B5EF4-FFF2-40B4-BE49-F238E27FC236}">
                  <a16:creationId xmlns:a16="http://schemas.microsoft.com/office/drawing/2014/main" id="{00000000-0008-0000-0B00-000065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76</xdr:row>
          <xdr:rowOff>0</xdr:rowOff>
        </xdr:from>
        <xdr:to>
          <xdr:col>17</xdr:col>
          <xdr:colOff>0</xdr:colOff>
          <xdr:row>77</xdr:row>
          <xdr:rowOff>0</xdr:rowOff>
        </xdr:to>
        <xdr:sp macro="" textlink="">
          <xdr:nvSpPr>
            <xdr:cNvPr id="9574" name="Drop Down 358" hidden="1">
              <a:extLst>
                <a:ext uri="{63B3BB69-23CF-44E3-9099-C40C66FF867C}">
                  <a14:compatExt spid="_x0000_s9574"/>
                </a:ext>
                <a:ext uri="{FF2B5EF4-FFF2-40B4-BE49-F238E27FC236}">
                  <a16:creationId xmlns:a16="http://schemas.microsoft.com/office/drawing/2014/main" id="{00000000-0008-0000-0B00-00006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77</xdr:row>
          <xdr:rowOff>0</xdr:rowOff>
        </xdr:from>
        <xdr:to>
          <xdr:col>17</xdr:col>
          <xdr:colOff>0</xdr:colOff>
          <xdr:row>78</xdr:row>
          <xdr:rowOff>0</xdr:rowOff>
        </xdr:to>
        <xdr:sp macro="" textlink="">
          <xdr:nvSpPr>
            <xdr:cNvPr id="9575" name="Drop Down 359" hidden="1">
              <a:extLst>
                <a:ext uri="{63B3BB69-23CF-44E3-9099-C40C66FF867C}">
                  <a14:compatExt spid="_x0000_s9575"/>
                </a:ext>
                <a:ext uri="{FF2B5EF4-FFF2-40B4-BE49-F238E27FC236}">
                  <a16:creationId xmlns:a16="http://schemas.microsoft.com/office/drawing/2014/main" id="{00000000-0008-0000-0B00-00006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78</xdr:row>
          <xdr:rowOff>0</xdr:rowOff>
        </xdr:from>
        <xdr:to>
          <xdr:col>17</xdr:col>
          <xdr:colOff>0</xdr:colOff>
          <xdr:row>79</xdr:row>
          <xdr:rowOff>0</xdr:rowOff>
        </xdr:to>
        <xdr:sp macro="" textlink="">
          <xdr:nvSpPr>
            <xdr:cNvPr id="9576" name="Drop Down 360" hidden="1">
              <a:extLst>
                <a:ext uri="{63B3BB69-23CF-44E3-9099-C40C66FF867C}">
                  <a14:compatExt spid="_x0000_s9576"/>
                </a:ext>
                <a:ext uri="{FF2B5EF4-FFF2-40B4-BE49-F238E27FC236}">
                  <a16:creationId xmlns:a16="http://schemas.microsoft.com/office/drawing/2014/main" id="{00000000-0008-0000-0B00-00006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79</xdr:row>
          <xdr:rowOff>0</xdr:rowOff>
        </xdr:from>
        <xdr:to>
          <xdr:col>17</xdr:col>
          <xdr:colOff>0</xdr:colOff>
          <xdr:row>80</xdr:row>
          <xdr:rowOff>0</xdr:rowOff>
        </xdr:to>
        <xdr:sp macro="" textlink="">
          <xdr:nvSpPr>
            <xdr:cNvPr id="9577" name="Drop Down 361" hidden="1">
              <a:extLst>
                <a:ext uri="{63B3BB69-23CF-44E3-9099-C40C66FF867C}">
                  <a14:compatExt spid="_x0000_s9577"/>
                </a:ext>
                <a:ext uri="{FF2B5EF4-FFF2-40B4-BE49-F238E27FC236}">
                  <a16:creationId xmlns:a16="http://schemas.microsoft.com/office/drawing/2014/main" id="{00000000-0008-0000-0B00-00006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80</xdr:row>
          <xdr:rowOff>0</xdr:rowOff>
        </xdr:from>
        <xdr:to>
          <xdr:col>17</xdr:col>
          <xdr:colOff>0</xdr:colOff>
          <xdr:row>81</xdr:row>
          <xdr:rowOff>0</xdr:rowOff>
        </xdr:to>
        <xdr:sp macro="" textlink="">
          <xdr:nvSpPr>
            <xdr:cNvPr id="9578" name="Drop Down 362" hidden="1">
              <a:extLst>
                <a:ext uri="{63B3BB69-23CF-44E3-9099-C40C66FF867C}">
                  <a14:compatExt spid="_x0000_s9578"/>
                </a:ext>
                <a:ext uri="{FF2B5EF4-FFF2-40B4-BE49-F238E27FC236}">
                  <a16:creationId xmlns:a16="http://schemas.microsoft.com/office/drawing/2014/main" id="{00000000-0008-0000-0B00-00006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81</xdr:row>
          <xdr:rowOff>0</xdr:rowOff>
        </xdr:from>
        <xdr:to>
          <xdr:col>17</xdr:col>
          <xdr:colOff>0</xdr:colOff>
          <xdr:row>82</xdr:row>
          <xdr:rowOff>0</xdr:rowOff>
        </xdr:to>
        <xdr:sp macro="" textlink="">
          <xdr:nvSpPr>
            <xdr:cNvPr id="9579" name="Drop Down 363" hidden="1">
              <a:extLst>
                <a:ext uri="{63B3BB69-23CF-44E3-9099-C40C66FF867C}">
                  <a14:compatExt spid="_x0000_s9579"/>
                </a:ext>
                <a:ext uri="{FF2B5EF4-FFF2-40B4-BE49-F238E27FC236}">
                  <a16:creationId xmlns:a16="http://schemas.microsoft.com/office/drawing/2014/main" id="{00000000-0008-0000-0B00-00006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91</xdr:row>
          <xdr:rowOff>0</xdr:rowOff>
        </xdr:from>
        <xdr:to>
          <xdr:col>17</xdr:col>
          <xdr:colOff>0</xdr:colOff>
          <xdr:row>92</xdr:row>
          <xdr:rowOff>0</xdr:rowOff>
        </xdr:to>
        <xdr:sp macro="" textlink="">
          <xdr:nvSpPr>
            <xdr:cNvPr id="9580" name="Drop Down 364" hidden="1">
              <a:extLst>
                <a:ext uri="{63B3BB69-23CF-44E3-9099-C40C66FF867C}">
                  <a14:compatExt spid="_x0000_s9580"/>
                </a:ext>
                <a:ext uri="{FF2B5EF4-FFF2-40B4-BE49-F238E27FC236}">
                  <a16:creationId xmlns:a16="http://schemas.microsoft.com/office/drawing/2014/main" id="{00000000-0008-0000-0B00-00006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92</xdr:row>
          <xdr:rowOff>0</xdr:rowOff>
        </xdr:from>
        <xdr:to>
          <xdr:col>17</xdr:col>
          <xdr:colOff>0</xdr:colOff>
          <xdr:row>93</xdr:row>
          <xdr:rowOff>0</xdr:rowOff>
        </xdr:to>
        <xdr:sp macro="" textlink="">
          <xdr:nvSpPr>
            <xdr:cNvPr id="9581" name="Drop Down 365" hidden="1">
              <a:extLst>
                <a:ext uri="{63B3BB69-23CF-44E3-9099-C40C66FF867C}">
                  <a14:compatExt spid="_x0000_s9581"/>
                </a:ext>
                <a:ext uri="{FF2B5EF4-FFF2-40B4-BE49-F238E27FC236}">
                  <a16:creationId xmlns:a16="http://schemas.microsoft.com/office/drawing/2014/main" id="{00000000-0008-0000-0B00-00006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93</xdr:row>
          <xdr:rowOff>0</xdr:rowOff>
        </xdr:from>
        <xdr:to>
          <xdr:col>17</xdr:col>
          <xdr:colOff>0</xdr:colOff>
          <xdr:row>94</xdr:row>
          <xdr:rowOff>0</xdr:rowOff>
        </xdr:to>
        <xdr:sp macro="" textlink="">
          <xdr:nvSpPr>
            <xdr:cNvPr id="9582" name="Drop Down 366" hidden="1">
              <a:extLst>
                <a:ext uri="{63B3BB69-23CF-44E3-9099-C40C66FF867C}">
                  <a14:compatExt spid="_x0000_s9582"/>
                </a:ext>
                <a:ext uri="{FF2B5EF4-FFF2-40B4-BE49-F238E27FC236}">
                  <a16:creationId xmlns:a16="http://schemas.microsoft.com/office/drawing/2014/main" id="{00000000-0008-0000-0B00-00006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94</xdr:row>
          <xdr:rowOff>0</xdr:rowOff>
        </xdr:from>
        <xdr:to>
          <xdr:col>17</xdr:col>
          <xdr:colOff>0</xdr:colOff>
          <xdr:row>95</xdr:row>
          <xdr:rowOff>0</xdr:rowOff>
        </xdr:to>
        <xdr:sp macro="" textlink="">
          <xdr:nvSpPr>
            <xdr:cNvPr id="9583" name="Drop Down 367" hidden="1">
              <a:extLst>
                <a:ext uri="{63B3BB69-23CF-44E3-9099-C40C66FF867C}">
                  <a14:compatExt spid="_x0000_s9583"/>
                </a:ext>
                <a:ext uri="{FF2B5EF4-FFF2-40B4-BE49-F238E27FC236}">
                  <a16:creationId xmlns:a16="http://schemas.microsoft.com/office/drawing/2014/main" id="{00000000-0008-0000-0B00-00006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95</xdr:row>
          <xdr:rowOff>0</xdr:rowOff>
        </xdr:from>
        <xdr:to>
          <xdr:col>17</xdr:col>
          <xdr:colOff>0</xdr:colOff>
          <xdr:row>96</xdr:row>
          <xdr:rowOff>0</xdr:rowOff>
        </xdr:to>
        <xdr:sp macro="" textlink="">
          <xdr:nvSpPr>
            <xdr:cNvPr id="9584" name="Drop Down 368" hidden="1">
              <a:extLst>
                <a:ext uri="{63B3BB69-23CF-44E3-9099-C40C66FF867C}">
                  <a14:compatExt spid="_x0000_s9584"/>
                </a:ext>
                <a:ext uri="{FF2B5EF4-FFF2-40B4-BE49-F238E27FC236}">
                  <a16:creationId xmlns:a16="http://schemas.microsoft.com/office/drawing/2014/main" id="{00000000-0008-0000-0B00-00007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96</xdr:row>
          <xdr:rowOff>0</xdr:rowOff>
        </xdr:from>
        <xdr:to>
          <xdr:col>17</xdr:col>
          <xdr:colOff>0</xdr:colOff>
          <xdr:row>97</xdr:row>
          <xdr:rowOff>0</xdr:rowOff>
        </xdr:to>
        <xdr:sp macro="" textlink="">
          <xdr:nvSpPr>
            <xdr:cNvPr id="9585" name="Drop Down 369" hidden="1">
              <a:extLst>
                <a:ext uri="{63B3BB69-23CF-44E3-9099-C40C66FF867C}">
                  <a14:compatExt spid="_x0000_s9585"/>
                </a:ext>
                <a:ext uri="{FF2B5EF4-FFF2-40B4-BE49-F238E27FC236}">
                  <a16:creationId xmlns:a16="http://schemas.microsoft.com/office/drawing/2014/main" id="{00000000-0008-0000-0B00-000071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97</xdr:row>
          <xdr:rowOff>0</xdr:rowOff>
        </xdr:from>
        <xdr:to>
          <xdr:col>17</xdr:col>
          <xdr:colOff>0</xdr:colOff>
          <xdr:row>98</xdr:row>
          <xdr:rowOff>0</xdr:rowOff>
        </xdr:to>
        <xdr:sp macro="" textlink="">
          <xdr:nvSpPr>
            <xdr:cNvPr id="9586" name="Drop Down 370" hidden="1">
              <a:extLst>
                <a:ext uri="{63B3BB69-23CF-44E3-9099-C40C66FF867C}">
                  <a14:compatExt spid="_x0000_s9586"/>
                </a:ext>
                <a:ext uri="{FF2B5EF4-FFF2-40B4-BE49-F238E27FC236}">
                  <a16:creationId xmlns:a16="http://schemas.microsoft.com/office/drawing/2014/main" id="{00000000-0008-0000-0B00-00007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98</xdr:row>
          <xdr:rowOff>0</xdr:rowOff>
        </xdr:from>
        <xdr:to>
          <xdr:col>17</xdr:col>
          <xdr:colOff>0</xdr:colOff>
          <xdr:row>99</xdr:row>
          <xdr:rowOff>0</xdr:rowOff>
        </xdr:to>
        <xdr:sp macro="" textlink="">
          <xdr:nvSpPr>
            <xdr:cNvPr id="9587" name="Drop Down 371" hidden="1">
              <a:extLst>
                <a:ext uri="{63B3BB69-23CF-44E3-9099-C40C66FF867C}">
                  <a14:compatExt spid="_x0000_s9587"/>
                </a:ext>
                <a:ext uri="{FF2B5EF4-FFF2-40B4-BE49-F238E27FC236}">
                  <a16:creationId xmlns:a16="http://schemas.microsoft.com/office/drawing/2014/main" id="{00000000-0008-0000-0B00-00007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99</xdr:row>
          <xdr:rowOff>0</xdr:rowOff>
        </xdr:from>
        <xdr:to>
          <xdr:col>17</xdr:col>
          <xdr:colOff>0</xdr:colOff>
          <xdr:row>100</xdr:row>
          <xdr:rowOff>0</xdr:rowOff>
        </xdr:to>
        <xdr:sp macro="" textlink="">
          <xdr:nvSpPr>
            <xdr:cNvPr id="9588" name="Drop Down 372" hidden="1">
              <a:extLst>
                <a:ext uri="{63B3BB69-23CF-44E3-9099-C40C66FF867C}">
                  <a14:compatExt spid="_x0000_s9588"/>
                </a:ext>
                <a:ext uri="{FF2B5EF4-FFF2-40B4-BE49-F238E27FC236}">
                  <a16:creationId xmlns:a16="http://schemas.microsoft.com/office/drawing/2014/main" id="{00000000-0008-0000-0B00-00007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100</xdr:row>
          <xdr:rowOff>0</xdr:rowOff>
        </xdr:from>
        <xdr:to>
          <xdr:col>17</xdr:col>
          <xdr:colOff>0</xdr:colOff>
          <xdr:row>101</xdr:row>
          <xdr:rowOff>0</xdr:rowOff>
        </xdr:to>
        <xdr:sp macro="" textlink="">
          <xdr:nvSpPr>
            <xdr:cNvPr id="9589" name="Drop Down 373" hidden="1">
              <a:extLst>
                <a:ext uri="{63B3BB69-23CF-44E3-9099-C40C66FF867C}">
                  <a14:compatExt spid="_x0000_s9589"/>
                </a:ext>
                <a:ext uri="{FF2B5EF4-FFF2-40B4-BE49-F238E27FC236}">
                  <a16:creationId xmlns:a16="http://schemas.microsoft.com/office/drawing/2014/main" id="{00000000-0008-0000-0B00-000075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101</xdr:row>
          <xdr:rowOff>0</xdr:rowOff>
        </xdr:from>
        <xdr:to>
          <xdr:col>17</xdr:col>
          <xdr:colOff>0</xdr:colOff>
          <xdr:row>102</xdr:row>
          <xdr:rowOff>0</xdr:rowOff>
        </xdr:to>
        <xdr:sp macro="" textlink="">
          <xdr:nvSpPr>
            <xdr:cNvPr id="9590" name="Drop Down 374" hidden="1">
              <a:extLst>
                <a:ext uri="{63B3BB69-23CF-44E3-9099-C40C66FF867C}">
                  <a14:compatExt spid="_x0000_s9590"/>
                </a:ext>
                <a:ext uri="{FF2B5EF4-FFF2-40B4-BE49-F238E27FC236}">
                  <a16:creationId xmlns:a16="http://schemas.microsoft.com/office/drawing/2014/main" id="{00000000-0008-0000-0B00-00007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102</xdr:row>
          <xdr:rowOff>0</xdr:rowOff>
        </xdr:from>
        <xdr:to>
          <xdr:col>17</xdr:col>
          <xdr:colOff>0</xdr:colOff>
          <xdr:row>103</xdr:row>
          <xdr:rowOff>0</xdr:rowOff>
        </xdr:to>
        <xdr:sp macro="" textlink="">
          <xdr:nvSpPr>
            <xdr:cNvPr id="9591" name="Drop Down 375" hidden="1">
              <a:extLst>
                <a:ext uri="{63B3BB69-23CF-44E3-9099-C40C66FF867C}">
                  <a14:compatExt spid="_x0000_s9591"/>
                </a:ext>
                <a:ext uri="{FF2B5EF4-FFF2-40B4-BE49-F238E27FC236}">
                  <a16:creationId xmlns:a16="http://schemas.microsoft.com/office/drawing/2014/main" id="{00000000-0008-0000-0B00-00007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103</xdr:row>
          <xdr:rowOff>0</xdr:rowOff>
        </xdr:from>
        <xdr:to>
          <xdr:col>17</xdr:col>
          <xdr:colOff>0</xdr:colOff>
          <xdr:row>104</xdr:row>
          <xdr:rowOff>0</xdr:rowOff>
        </xdr:to>
        <xdr:sp macro="" textlink="">
          <xdr:nvSpPr>
            <xdr:cNvPr id="9592" name="Drop Down 376" hidden="1">
              <a:extLst>
                <a:ext uri="{63B3BB69-23CF-44E3-9099-C40C66FF867C}">
                  <a14:compatExt spid="_x0000_s9592"/>
                </a:ext>
                <a:ext uri="{FF2B5EF4-FFF2-40B4-BE49-F238E27FC236}">
                  <a16:creationId xmlns:a16="http://schemas.microsoft.com/office/drawing/2014/main" id="{00000000-0008-0000-0B00-00007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107</xdr:row>
          <xdr:rowOff>0</xdr:rowOff>
        </xdr:from>
        <xdr:to>
          <xdr:col>17</xdr:col>
          <xdr:colOff>0</xdr:colOff>
          <xdr:row>108</xdr:row>
          <xdr:rowOff>0</xdr:rowOff>
        </xdr:to>
        <xdr:sp macro="" textlink="">
          <xdr:nvSpPr>
            <xdr:cNvPr id="9593" name="Drop Down 377" hidden="1">
              <a:extLst>
                <a:ext uri="{63B3BB69-23CF-44E3-9099-C40C66FF867C}">
                  <a14:compatExt spid="_x0000_s9593"/>
                </a:ext>
                <a:ext uri="{FF2B5EF4-FFF2-40B4-BE49-F238E27FC236}">
                  <a16:creationId xmlns:a16="http://schemas.microsoft.com/office/drawing/2014/main" id="{00000000-0008-0000-0B00-00007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107</xdr:row>
          <xdr:rowOff>0</xdr:rowOff>
        </xdr:from>
        <xdr:to>
          <xdr:col>17</xdr:col>
          <xdr:colOff>0</xdr:colOff>
          <xdr:row>108</xdr:row>
          <xdr:rowOff>0</xdr:rowOff>
        </xdr:to>
        <xdr:sp macro="" textlink="">
          <xdr:nvSpPr>
            <xdr:cNvPr id="9594" name="Drop Down 378" hidden="1">
              <a:extLst>
                <a:ext uri="{63B3BB69-23CF-44E3-9099-C40C66FF867C}">
                  <a14:compatExt spid="_x0000_s9594"/>
                </a:ext>
                <a:ext uri="{FF2B5EF4-FFF2-40B4-BE49-F238E27FC236}">
                  <a16:creationId xmlns:a16="http://schemas.microsoft.com/office/drawing/2014/main" id="{00000000-0008-0000-0B00-00007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108</xdr:row>
          <xdr:rowOff>0</xdr:rowOff>
        </xdr:from>
        <xdr:to>
          <xdr:col>17</xdr:col>
          <xdr:colOff>0</xdr:colOff>
          <xdr:row>109</xdr:row>
          <xdr:rowOff>0</xdr:rowOff>
        </xdr:to>
        <xdr:sp macro="" textlink="">
          <xdr:nvSpPr>
            <xdr:cNvPr id="9595" name="Drop Down 379" hidden="1">
              <a:extLst>
                <a:ext uri="{63B3BB69-23CF-44E3-9099-C40C66FF867C}">
                  <a14:compatExt spid="_x0000_s9595"/>
                </a:ext>
                <a:ext uri="{FF2B5EF4-FFF2-40B4-BE49-F238E27FC236}">
                  <a16:creationId xmlns:a16="http://schemas.microsoft.com/office/drawing/2014/main" id="{00000000-0008-0000-0B00-00007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109</xdr:row>
          <xdr:rowOff>0</xdr:rowOff>
        </xdr:from>
        <xdr:to>
          <xdr:col>17</xdr:col>
          <xdr:colOff>0</xdr:colOff>
          <xdr:row>110</xdr:row>
          <xdr:rowOff>0</xdr:rowOff>
        </xdr:to>
        <xdr:sp macro="" textlink="">
          <xdr:nvSpPr>
            <xdr:cNvPr id="9596" name="Drop Down 380" hidden="1">
              <a:extLst>
                <a:ext uri="{63B3BB69-23CF-44E3-9099-C40C66FF867C}">
                  <a14:compatExt spid="_x0000_s9596"/>
                </a:ext>
                <a:ext uri="{FF2B5EF4-FFF2-40B4-BE49-F238E27FC236}">
                  <a16:creationId xmlns:a16="http://schemas.microsoft.com/office/drawing/2014/main" id="{00000000-0008-0000-0B00-00007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110</xdr:row>
          <xdr:rowOff>0</xdr:rowOff>
        </xdr:from>
        <xdr:to>
          <xdr:col>17</xdr:col>
          <xdr:colOff>0</xdr:colOff>
          <xdr:row>111</xdr:row>
          <xdr:rowOff>0</xdr:rowOff>
        </xdr:to>
        <xdr:sp macro="" textlink="">
          <xdr:nvSpPr>
            <xdr:cNvPr id="9597" name="Drop Down 381" hidden="1">
              <a:extLst>
                <a:ext uri="{63B3BB69-23CF-44E3-9099-C40C66FF867C}">
                  <a14:compatExt spid="_x0000_s9597"/>
                </a:ext>
                <a:ext uri="{FF2B5EF4-FFF2-40B4-BE49-F238E27FC236}">
                  <a16:creationId xmlns:a16="http://schemas.microsoft.com/office/drawing/2014/main" id="{00000000-0008-0000-0B00-00007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111</xdr:row>
          <xdr:rowOff>0</xdr:rowOff>
        </xdr:from>
        <xdr:to>
          <xdr:col>17</xdr:col>
          <xdr:colOff>0</xdr:colOff>
          <xdr:row>112</xdr:row>
          <xdr:rowOff>0</xdr:rowOff>
        </xdr:to>
        <xdr:sp macro="" textlink="">
          <xdr:nvSpPr>
            <xdr:cNvPr id="9598" name="Drop Down 382" hidden="1">
              <a:extLst>
                <a:ext uri="{63B3BB69-23CF-44E3-9099-C40C66FF867C}">
                  <a14:compatExt spid="_x0000_s9598"/>
                </a:ext>
                <a:ext uri="{FF2B5EF4-FFF2-40B4-BE49-F238E27FC236}">
                  <a16:creationId xmlns:a16="http://schemas.microsoft.com/office/drawing/2014/main" id="{00000000-0008-0000-0B00-00007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112</xdr:row>
          <xdr:rowOff>0</xdr:rowOff>
        </xdr:from>
        <xdr:to>
          <xdr:col>17</xdr:col>
          <xdr:colOff>0</xdr:colOff>
          <xdr:row>113</xdr:row>
          <xdr:rowOff>0</xdr:rowOff>
        </xdr:to>
        <xdr:sp macro="" textlink="">
          <xdr:nvSpPr>
            <xdr:cNvPr id="9599" name="Drop Down 383" hidden="1">
              <a:extLst>
                <a:ext uri="{63B3BB69-23CF-44E3-9099-C40C66FF867C}">
                  <a14:compatExt spid="_x0000_s9599"/>
                </a:ext>
                <a:ext uri="{FF2B5EF4-FFF2-40B4-BE49-F238E27FC236}">
                  <a16:creationId xmlns:a16="http://schemas.microsoft.com/office/drawing/2014/main" id="{00000000-0008-0000-0B00-00007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113</xdr:row>
          <xdr:rowOff>0</xdr:rowOff>
        </xdr:from>
        <xdr:to>
          <xdr:col>17</xdr:col>
          <xdr:colOff>0</xdr:colOff>
          <xdr:row>114</xdr:row>
          <xdr:rowOff>0</xdr:rowOff>
        </xdr:to>
        <xdr:sp macro="" textlink="">
          <xdr:nvSpPr>
            <xdr:cNvPr id="9600" name="Drop Down 384" hidden="1">
              <a:extLst>
                <a:ext uri="{63B3BB69-23CF-44E3-9099-C40C66FF867C}">
                  <a14:compatExt spid="_x0000_s9600"/>
                </a:ext>
                <a:ext uri="{FF2B5EF4-FFF2-40B4-BE49-F238E27FC236}">
                  <a16:creationId xmlns:a16="http://schemas.microsoft.com/office/drawing/2014/main" id="{00000000-0008-0000-0B00-00008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114</xdr:row>
          <xdr:rowOff>0</xdr:rowOff>
        </xdr:from>
        <xdr:to>
          <xdr:col>17</xdr:col>
          <xdr:colOff>0</xdr:colOff>
          <xdr:row>115</xdr:row>
          <xdr:rowOff>0</xdr:rowOff>
        </xdr:to>
        <xdr:sp macro="" textlink="">
          <xdr:nvSpPr>
            <xdr:cNvPr id="9601" name="Drop Down 385" hidden="1">
              <a:extLst>
                <a:ext uri="{63B3BB69-23CF-44E3-9099-C40C66FF867C}">
                  <a14:compatExt spid="_x0000_s9601"/>
                </a:ext>
                <a:ext uri="{FF2B5EF4-FFF2-40B4-BE49-F238E27FC236}">
                  <a16:creationId xmlns:a16="http://schemas.microsoft.com/office/drawing/2014/main" id="{00000000-0008-0000-0B00-000081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115</xdr:row>
          <xdr:rowOff>0</xdr:rowOff>
        </xdr:from>
        <xdr:to>
          <xdr:col>17</xdr:col>
          <xdr:colOff>0</xdr:colOff>
          <xdr:row>116</xdr:row>
          <xdr:rowOff>0</xdr:rowOff>
        </xdr:to>
        <xdr:sp macro="" textlink="">
          <xdr:nvSpPr>
            <xdr:cNvPr id="9602" name="Drop Down 386" hidden="1">
              <a:extLst>
                <a:ext uri="{63B3BB69-23CF-44E3-9099-C40C66FF867C}">
                  <a14:compatExt spid="_x0000_s9602"/>
                </a:ext>
                <a:ext uri="{FF2B5EF4-FFF2-40B4-BE49-F238E27FC236}">
                  <a16:creationId xmlns:a16="http://schemas.microsoft.com/office/drawing/2014/main" id="{00000000-0008-0000-0B00-00008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116</xdr:row>
          <xdr:rowOff>0</xdr:rowOff>
        </xdr:from>
        <xdr:to>
          <xdr:col>17</xdr:col>
          <xdr:colOff>0</xdr:colOff>
          <xdr:row>117</xdr:row>
          <xdr:rowOff>0</xdr:rowOff>
        </xdr:to>
        <xdr:sp macro="" textlink="">
          <xdr:nvSpPr>
            <xdr:cNvPr id="9603" name="Drop Down 387" hidden="1">
              <a:extLst>
                <a:ext uri="{63B3BB69-23CF-44E3-9099-C40C66FF867C}">
                  <a14:compatExt spid="_x0000_s9603"/>
                </a:ext>
                <a:ext uri="{FF2B5EF4-FFF2-40B4-BE49-F238E27FC236}">
                  <a16:creationId xmlns:a16="http://schemas.microsoft.com/office/drawing/2014/main" id="{00000000-0008-0000-0B00-00008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117</xdr:row>
          <xdr:rowOff>0</xdr:rowOff>
        </xdr:from>
        <xdr:to>
          <xdr:col>17</xdr:col>
          <xdr:colOff>0</xdr:colOff>
          <xdr:row>118</xdr:row>
          <xdr:rowOff>0</xdr:rowOff>
        </xdr:to>
        <xdr:sp macro="" textlink="">
          <xdr:nvSpPr>
            <xdr:cNvPr id="9604" name="Drop Down 388" hidden="1">
              <a:extLst>
                <a:ext uri="{63B3BB69-23CF-44E3-9099-C40C66FF867C}">
                  <a14:compatExt spid="_x0000_s9604"/>
                </a:ext>
                <a:ext uri="{FF2B5EF4-FFF2-40B4-BE49-F238E27FC236}">
                  <a16:creationId xmlns:a16="http://schemas.microsoft.com/office/drawing/2014/main" id="{00000000-0008-0000-0B00-00008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118</xdr:row>
          <xdr:rowOff>0</xdr:rowOff>
        </xdr:from>
        <xdr:to>
          <xdr:col>17</xdr:col>
          <xdr:colOff>0</xdr:colOff>
          <xdr:row>119</xdr:row>
          <xdr:rowOff>0</xdr:rowOff>
        </xdr:to>
        <xdr:sp macro="" textlink="">
          <xdr:nvSpPr>
            <xdr:cNvPr id="9605" name="Drop Down 389" hidden="1">
              <a:extLst>
                <a:ext uri="{63B3BB69-23CF-44E3-9099-C40C66FF867C}">
                  <a14:compatExt spid="_x0000_s9605"/>
                </a:ext>
                <a:ext uri="{FF2B5EF4-FFF2-40B4-BE49-F238E27FC236}">
                  <a16:creationId xmlns:a16="http://schemas.microsoft.com/office/drawing/2014/main" id="{00000000-0008-0000-0B00-000085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119</xdr:row>
          <xdr:rowOff>0</xdr:rowOff>
        </xdr:from>
        <xdr:to>
          <xdr:col>17</xdr:col>
          <xdr:colOff>0</xdr:colOff>
          <xdr:row>120</xdr:row>
          <xdr:rowOff>0</xdr:rowOff>
        </xdr:to>
        <xdr:sp macro="" textlink="">
          <xdr:nvSpPr>
            <xdr:cNvPr id="9606" name="Drop Down 390" hidden="1">
              <a:extLst>
                <a:ext uri="{63B3BB69-23CF-44E3-9099-C40C66FF867C}">
                  <a14:compatExt spid="_x0000_s9606"/>
                </a:ext>
                <a:ext uri="{FF2B5EF4-FFF2-40B4-BE49-F238E27FC236}">
                  <a16:creationId xmlns:a16="http://schemas.microsoft.com/office/drawing/2014/main" id="{00000000-0008-0000-0B00-00008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120</xdr:row>
          <xdr:rowOff>0</xdr:rowOff>
        </xdr:from>
        <xdr:to>
          <xdr:col>17</xdr:col>
          <xdr:colOff>0</xdr:colOff>
          <xdr:row>121</xdr:row>
          <xdr:rowOff>0</xdr:rowOff>
        </xdr:to>
        <xdr:sp macro="" textlink="">
          <xdr:nvSpPr>
            <xdr:cNvPr id="9607" name="Drop Down 391" hidden="1">
              <a:extLst>
                <a:ext uri="{63B3BB69-23CF-44E3-9099-C40C66FF867C}">
                  <a14:compatExt spid="_x0000_s9607"/>
                </a:ext>
                <a:ext uri="{FF2B5EF4-FFF2-40B4-BE49-F238E27FC236}">
                  <a16:creationId xmlns:a16="http://schemas.microsoft.com/office/drawing/2014/main" id="{00000000-0008-0000-0B00-00008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121</xdr:row>
          <xdr:rowOff>0</xdr:rowOff>
        </xdr:from>
        <xdr:to>
          <xdr:col>17</xdr:col>
          <xdr:colOff>0</xdr:colOff>
          <xdr:row>122</xdr:row>
          <xdr:rowOff>0</xdr:rowOff>
        </xdr:to>
        <xdr:sp macro="" textlink="">
          <xdr:nvSpPr>
            <xdr:cNvPr id="9608" name="Drop Down 392" hidden="1">
              <a:extLst>
                <a:ext uri="{63B3BB69-23CF-44E3-9099-C40C66FF867C}">
                  <a14:compatExt spid="_x0000_s9608"/>
                </a:ext>
                <a:ext uri="{FF2B5EF4-FFF2-40B4-BE49-F238E27FC236}">
                  <a16:creationId xmlns:a16="http://schemas.microsoft.com/office/drawing/2014/main" id="{00000000-0008-0000-0B00-00008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122</xdr:row>
          <xdr:rowOff>0</xdr:rowOff>
        </xdr:from>
        <xdr:to>
          <xdr:col>17</xdr:col>
          <xdr:colOff>0</xdr:colOff>
          <xdr:row>123</xdr:row>
          <xdr:rowOff>0</xdr:rowOff>
        </xdr:to>
        <xdr:sp macro="" textlink="">
          <xdr:nvSpPr>
            <xdr:cNvPr id="9609" name="Drop Down 393" hidden="1">
              <a:extLst>
                <a:ext uri="{63B3BB69-23CF-44E3-9099-C40C66FF867C}">
                  <a14:compatExt spid="_x0000_s9609"/>
                </a:ext>
                <a:ext uri="{FF2B5EF4-FFF2-40B4-BE49-F238E27FC236}">
                  <a16:creationId xmlns:a16="http://schemas.microsoft.com/office/drawing/2014/main" id="{00000000-0008-0000-0B00-00008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123</xdr:row>
          <xdr:rowOff>0</xdr:rowOff>
        </xdr:from>
        <xdr:to>
          <xdr:col>17</xdr:col>
          <xdr:colOff>0</xdr:colOff>
          <xdr:row>124</xdr:row>
          <xdr:rowOff>0</xdr:rowOff>
        </xdr:to>
        <xdr:sp macro="" textlink="">
          <xdr:nvSpPr>
            <xdr:cNvPr id="9610" name="Drop Down 394" hidden="1">
              <a:extLst>
                <a:ext uri="{63B3BB69-23CF-44E3-9099-C40C66FF867C}">
                  <a14:compatExt spid="_x0000_s9610"/>
                </a:ext>
                <a:ext uri="{FF2B5EF4-FFF2-40B4-BE49-F238E27FC236}">
                  <a16:creationId xmlns:a16="http://schemas.microsoft.com/office/drawing/2014/main" id="{00000000-0008-0000-0B00-00008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133</xdr:row>
          <xdr:rowOff>0</xdr:rowOff>
        </xdr:from>
        <xdr:to>
          <xdr:col>17</xdr:col>
          <xdr:colOff>0</xdr:colOff>
          <xdr:row>134</xdr:row>
          <xdr:rowOff>0</xdr:rowOff>
        </xdr:to>
        <xdr:sp macro="" textlink="">
          <xdr:nvSpPr>
            <xdr:cNvPr id="9611" name="Drop Down 395" hidden="1">
              <a:extLst>
                <a:ext uri="{63B3BB69-23CF-44E3-9099-C40C66FF867C}">
                  <a14:compatExt spid="_x0000_s9611"/>
                </a:ext>
                <a:ext uri="{FF2B5EF4-FFF2-40B4-BE49-F238E27FC236}">
                  <a16:creationId xmlns:a16="http://schemas.microsoft.com/office/drawing/2014/main" id="{00000000-0008-0000-0B00-00008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134</xdr:row>
          <xdr:rowOff>0</xdr:rowOff>
        </xdr:from>
        <xdr:to>
          <xdr:col>17</xdr:col>
          <xdr:colOff>0</xdr:colOff>
          <xdr:row>135</xdr:row>
          <xdr:rowOff>0</xdr:rowOff>
        </xdr:to>
        <xdr:sp macro="" textlink="">
          <xdr:nvSpPr>
            <xdr:cNvPr id="9612" name="Drop Down 396" hidden="1">
              <a:extLst>
                <a:ext uri="{63B3BB69-23CF-44E3-9099-C40C66FF867C}">
                  <a14:compatExt spid="_x0000_s9612"/>
                </a:ext>
                <a:ext uri="{FF2B5EF4-FFF2-40B4-BE49-F238E27FC236}">
                  <a16:creationId xmlns:a16="http://schemas.microsoft.com/office/drawing/2014/main" id="{00000000-0008-0000-0B00-00008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135</xdr:row>
          <xdr:rowOff>0</xdr:rowOff>
        </xdr:from>
        <xdr:to>
          <xdr:col>17</xdr:col>
          <xdr:colOff>0</xdr:colOff>
          <xdr:row>136</xdr:row>
          <xdr:rowOff>0</xdr:rowOff>
        </xdr:to>
        <xdr:sp macro="" textlink="">
          <xdr:nvSpPr>
            <xdr:cNvPr id="9613" name="Drop Down 397" hidden="1">
              <a:extLst>
                <a:ext uri="{63B3BB69-23CF-44E3-9099-C40C66FF867C}">
                  <a14:compatExt spid="_x0000_s9613"/>
                </a:ext>
                <a:ext uri="{FF2B5EF4-FFF2-40B4-BE49-F238E27FC236}">
                  <a16:creationId xmlns:a16="http://schemas.microsoft.com/office/drawing/2014/main" id="{00000000-0008-0000-0B00-00008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136</xdr:row>
          <xdr:rowOff>0</xdr:rowOff>
        </xdr:from>
        <xdr:to>
          <xdr:col>17</xdr:col>
          <xdr:colOff>0</xdr:colOff>
          <xdr:row>137</xdr:row>
          <xdr:rowOff>0</xdr:rowOff>
        </xdr:to>
        <xdr:sp macro="" textlink="">
          <xdr:nvSpPr>
            <xdr:cNvPr id="9614" name="Drop Down 398" hidden="1">
              <a:extLst>
                <a:ext uri="{63B3BB69-23CF-44E3-9099-C40C66FF867C}">
                  <a14:compatExt spid="_x0000_s9614"/>
                </a:ext>
                <a:ext uri="{FF2B5EF4-FFF2-40B4-BE49-F238E27FC236}">
                  <a16:creationId xmlns:a16="http://schemas.microsoft.com/office/drawing/2014/main" id="{00000000-0008-0000-0B00-00008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137</xdr:row>
          <xdr:rowOff>0</xdr:rowOff>
        </xdr:from>
        <xdr:to>
          <xdr:col>17</xdr:col>
          <xdr:colOff>0</xdr:colOff>
          <xdr:row>138</xdr:row>
          <xdr:rowOff>0</xdr:rowOff>
        </xdr:to>
        <xdr:sp macro="" textlink="">
          <xdr:nvSpPr>
            <xdr:cNvPr id="9615" name="Drop Down 399" hidden="1">
              <a:extLst>
                <a:ext uri="{63B3BB69-23CF-44E3-9099-C40C66FF867C}">
                  <a14:compatExt spid="_x0000_s9615"/>
                </a:ext>
                <a:ext uri="{FF2B5EF4-FFF2-40B4-BE49-F238E27FC236}">
                  <a16:creationId xmlns:a16="http://schemas.microsoft.com/office/drawing/2014/main" id="{00000000-0008-0000-0B00-00008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138</xdr:row>
          <xdr:rowOff>0</xdr:rowOff>
        </xdr:from>
        <xdr:to>
          <xdr:col>17</xdr:col>
          <xdr:colOff>0</xdr:colOff>
          <xdr:row>139</xdr:row>
          <xdr:rowOff>0</xdr:rowOff>
        </xdr:to>
        <xdr:sp macro="" textlink="">
          <xdr:nvSpPr>
            <xdr:cNvPr id="9616" name="Drop Down 400" hidden="1">
              <a:extLst>
                <a:ext uri="{63B3BB69-23CF-44E3-9099-C40C66FF867C}">
                  <a14:compatExt spid="_x0000_s9616"/>
                </a:ext>
                <a:ext uri="{FF2B5EF4-FFF2-40B4-BE49-F238E27FC236}">
                  <a16:creationId xmlns:a16="http://schemas.microsoft.com/office/drawing/2014/main" id="{00000000-0008-0000-0B00-00009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139</xdr:row>
          <xdr:rowOff>0</xdr:rowOff>
        </xdr:from>
        <xdr:to>
          <xdr:col>17</xdr:col>
          <xdr:colOff>0</xdr:colOff>
          <xdr:row>140</xdr:row>
          <xdr:rowOff>0</xdr:rowOff>
        </xdr:to>
        <xdr:sp macro="" textlink="">
          <xdr:nvSpPr>
            <xdr:cNvPr id="9617" name="Drop Down 401" hidden="1">
              <a:extLst>
                <a:ext uri="{63B3BB69-23CF-44E3-9099-C40C66FF867C}">
                  <a14:compatExt spid="_x0000_s9617"/>
                </a:ext>
                <a:ext uri="{FF2B5EF4-FFF2-40B4-BE49-F238E27FC236}">
                  <a16:creationId xmlns:a16="http://schemas.microsoft.com/office/drawing/2014/main" id="{00000000-0008-0000-0B00-000091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140</xdr:row>
          <xdr:rowOff>0</xdr:rowOff>
        </xdr:from>
        <xdr:to>
          <xdr:col>17</xdr:col>
          <xdr:colOff>0</xdr:colOff>
          <xdr:row>141</xdr:row>
          <xdr:rowOff>0</xdr:rowOff>
        </xdr:to>
        <xdr:sp macro="" textlink="">
          <xdr:nvSpPr>
            <xdr:cNvPr id="9618" name="Drop Down 402" hidden="1">
              <a:extLst>
                <a:ext uri="{63B3BB69-23CF-44E3-9099-C40C66FF867C}">
                  <a14:compatExt spid="_x0000_s9618"/>
                </a:ext>
                <a:ext uri="{FF2B5EF4-FFF2-40B4-BE49-F238E27FC236}">
                  <a16:creationId xmlns:a16="http://schemas.microsoft.com/office/drawing/2014/main" id="{00000000-0008-0000-0B00-00009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141</xdr:row>
          <xdr:rowOff>0</xdr:rowOff>
        </xdr:from>
        <xdr:to>
          <xdr:col>17</xdr:col>
          <xdr:colOff>0</xdr:colOff>
          <xdr:row>142</xdr:row>
          <xdr:rowOff>0</xdr:rowOff>
        </xdr:to>
        <xdr:sp macro="" textlink="">
          <xdr:nvSpPr>
            <xdr:cNvPr id="9619" name="Drop Down 403" hidden="1">
              <a:extLst>
                <a:ext uri="{63B3BB69-23CF-44E3-9099-C40C66FF867C}">
                  <a14:compatExt spid="_x0000_s9619"/>
                </a:ext>
                <a:ext uri="{FF2B5EF4-FFF2-40B4-BE49-F238E27FC236}">
                  <a16:creationId xmlns:a16="http://schemas.microsoft.com/office/drawing/2014/main" id="{00000000-0008-0000-0B00-00009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142</xdr:row>
          <xdr:rowOff>0</xdr:rowOff>
        </xdr:from>
        <xdr:to>
          <xdr:col>17</xdr:col>
          <xdr:colOff>0</xdr:colOff>
          <xdr:row>143</xdr:row>
          <xdr:rowOff>0</xdr:rowOff>
        </xdr:to>
        <xdr:sp macro="" textlink="">
          <xdr:nvSpPr>
            <xdr:cNvPr id="9620" name="Drop Down 404" hidden="1">
              <a:extLst>
                <a:ext uri="{63B3BB69-23CF-44E3-9099-C40C66FF867C}">
                  <a14:compatExt spid="_x0000_s9620"/>
                </a:ext>
                <a:ext uri="{FF2B5EF4-FFF2-40B4-BE49-F238E27FC236}">
                  <a16:creationId xmlns:a16="http://schemas.microsoft.com/office/drawing/2014/main" id="{00000000-0008-0000-0B00-00009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143</xdr:row>
          <xdr:rowOff>0</xdr:rowOff>
        </xdr:from>
        <xdr:to>
          <xdr:col>17</xdr:col>
          <xdr:colOff>0</xdr:colOff>
          <xdr:row>144</xdr:row>
          <xdr:rowOff>0</xdr:rowOff>
        </xdr:to>
        <xdr:sp macro="" textlink="">
          <xdr:nvSpPr>
            <xdr:cNvPr id="9622" name="Drop Down 406" hidden="1">
              <a:extLst>
                <a:ext uri="{63B3BB69-23CF-44E3-9099-C40C66FF867C}">
                  <a14:compatExt spid="_x0000_s9622"/>
                </a:ext>
                <a:ext uri="{FF2B5EF4-FFF2-40B4-BE49-F238E27FC236}">
                  <a16:creationId xmlns:a16="http://schemas.microsoft.com/office/drawing/2014/main" id="{00000000-0008-0000-0B00-00009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144</xdr:row>
          <xdr:rowOff>0</xdr:rowOff>
        </xdr:from>
        <xdr:to>
          <xdr:col>17</xdr:col>
          <xdr:colOff>0</xdr:colOff>
          <xdr:row>145</xdr:row>
          <xdr:rowOff>0</xdr:rowOff>
        </xdr:to>
        <xdr:sp macro="" textlink="">
          <xdr:nvSpPr>
            <xdr:cNvPr id="9623" name="Drop Down 407" hidden="1">
              <a:extLst>
                <a:ext uri="{63B3BB69-23CF-44E3-9099-C40C66FF867C}">
                  <a14:compatExt spid="_x0000_s9623"/>
                </a:ext>
                <a:ext uri="{FF2B5EF4-FFF2-40B4-BE49-F238E27FC236}">
                  <a16:creationId xmlns:a16="http://schemas.microsoft.com/office/drawing/2014/main" id="{00000000-0008-0000-0B00-00009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145</xdr:row>
          <xdr:rowOff>0</xdr:rowOff>
        </xdr:from>
        <xdr:to>
          <xdr:col>17</xdr:col>
          <xdr:colOff>0</xdr:colOff>
          <xdr:row>146</xdr:row>
          <xdr:rowOff>0</xdr:rowOff>
        </xdr:to>
        <xdr:sp macro="" textlink="">
          <xdr:nvSpPr>
            <xdr:cNvPr id="9624" name="Drop Down 408" hidden="1">
              <a:extLst>
                <a:ext uri="{63B3BB69-23CF-44E3-9099-C40C66FF867C}">
                  <a14:compatExt spid="_x0000_s9624"/>
                </a:ext>
                <a:ext uri="{FF2B5EF4-FFF2-40B4-BE49-F238E27FC236}">
                  <a16:creationId xmlns:a16="http://schemas.microsoft.com/office/drawing/2014/main" id="{00000000-0008-0000-0B00-00009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149</xdr:row>
          <xdr:rowOff>0</xdr:rowOff>
        </xdr:from>
        <xdr:to>
          <xdr:col>17</xdr:col>
          <xdr:colOff>0</xdr:colOff>
          <xdr:row>150</xdr:row>
          <xdr:rowOff>0</xdr:rowOff>
        </xdr:to>
        <xdr:sp macro="" textlink="">
          <xdr:nvSpPr>
            <xdr:cNvPr id="9625" name="Drop Down 409" hidden="1">
              <a:extLst>
                <a:ext uri="{63B3BB69-23CF-44E3-9099-C40C66FF867C}">
                  <a14:compatExt spid="_x0000_s9625"/>
                </a:ext>
                <a:ext uri="{FF2B5EF4-FFF2-40B4-BE49-F238E27FC236}">
                  <a16:creationId xmlns:a16="http://schemas.microsoft.com/office/drawing/2014/main" id="{00000000-0008-0000-0B00-00009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150</xdr:row>
          <xdr:rowOff>0</xdr:rowOff>
        </xdr:from>
        <xdr:to>
          <xdr:col>17</xdr:col>
          <xdr:colOff>0</xdr:colOff>
          <xdr:row>151</xdr:row>
          <xdr:rowOff>0</xdr:rowOff>
        </xdr:to>
        <xdr:sp macro="" textlink="">
          <xdr:nvSpPr>
            <xdr:cNvPr id="9626" name="Drop Down 410" hidden="1">
              <a:extLst>
                <a:ext uri="{63B3BB69-23CF-44E3-9099-C40C66FF867C}">
                  <a14:compatExt spid="_x0000_s9626"/>
                </a:ext>
                <a:ext uri="{FF2B5EF4-FFF2-40B4-BE49-F238E27FC236}">
                  <a16:creationId xmlns:a16="http://schemas.microsoft.com/office/drawing/2014/main" id="{00000000-0008-0000-0B00-00009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151</xdr:row>
          <xdr:rowOff>0</xdr:rowOff>
        </xdr:from>
        <xdr:to>
          <xdr:col>17</xdr:col>
          <xdr:colOff>0</xdr:colOff>
          <xdr:row>152</xdr:row>
          <xdr:rowOff>0</xdr:rowOff>
        </xdr:to>
        <xdr:sp macro="" textlink="">
          <xdr:nvSpPr>
            <xdr:cNvPr id="9627" name="Drop Down 411" hidden="1">
              <a:extLst>
                <a:ext uri="{63B3BB69-23CF-44E3-9099-C40C66FF867C}">
                  <a14:compatExt spid="_x0000_s9627"/>
                </a:ext>
                <a:ext uri="{FF2B5EF4-FFF2-40B4-BE49-F238E27FC236}">
                  <a16:creationId xmlns:a16="http://schemas.microsoft.com/office/drawing/2014/main" id="{00000000-0008-0000-0B00-00009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152</xdr:row>
          <xdr:rowOff>0</xdr:rowOff>
        </xdr:from>
        <xdr:to>
          <xdr:col>17</xdr:col>
          <xdr:colOff>0</xdr:colOff>
          <xdr:row>153</xdr:row>
          <xdr:rowOff>0</xdr:rowOff>
        </xdr:to>
        <xdr:sp macro="" textlink="">
          <xdr:nvSpPr>
            <xdr:cNvPr id="9628" name="Drop Down 412" hidden="1">
              <a:extLst>
                <a:ext uri="{63B3BB69-23CF-44E3-9099-C40C66FF867C}">
                  <a14:compatExt spid="_x0000_s9628"/>
                </a:ext>
                <a:ext uri="{FF2B5EF4-FFF2-40B4-BE49-F238E27FC236}">
                  <a16:creationId xmlns:a16="http://schemas.microsoft.com/office/drawing/2014/main" id="{00000000-0008-0000-0B00-00009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153</xdr:row>
          <xdr:rowOff>0</xdr:rowOff>
        </xdr:from>
        <xdr:to>
          <xdr:col>17</xdr:col>
          <xdr:colOff>0</xdr:colOff>
          <xdr:row>154</xdr:row>
          <xdr:rowOff>0</xdr:rowOff>
        </xdr:to>
        <xdr:sp macro="" textlink="">
          <xdr:nvSpPr>
            <xdr:cNvPr id="9629" name="Drop Down 413" hidden="1">
              <a:extLst>
                <a:ext uri="{63B3BB69-23CF-44E3-9099-C40C66FF867C}">
                  <a14:compatExt spid="_x0000_s9629"/>
                </a:ext>
                <a:ext uri="{FF2B5EF4-FFF2-40B4-BE49-F238E27FC236}">
                  <a16:creationId xmlns:a16="http://schemas.microsoft.com/office/drawing/2014/main" id="{00000000-0008-0000-0B00-00009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154</xdr:row>
          <xdr:rowOff>0</xdr:rowOff>
        </xdr:from>
        <xdr:to>
          <xdr:col>17</xdr:col>
          <xdr:colOff>0</xdr:colOff>
          <xdr:row>155</xdr:row>
          <xdr:rowOff>0</xdr:rowOff>
        </xdr:to>
        <xdr:sp macro="" textlink="">
          <xdr:nvSpPr>
            <xdr:cNvPr id="9630" name="Drop Down 414" hidden="1">
              <a:extLst>
                <a:ext uri="{63B3BB69-23CF-44E3-9099-C40C66FF867C}">
                  <a14:compatExt spid="_x0000_s9630"/>
                </a:ext>
                <a:ext uri="{FF2B5EF4-FFF2-40B4-BE49-F238E27FC236}">
                  <a16:creationId xmlns:a16="http://schemas.microsoft.com/office/drawing/2014/main" id="{00000000-0008-0000-0B00-00009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155</xdr:row>
          <xdr:rowOff>0</xdr:rowOff>
        </xdr:from>
        <xdr:to>
          <xdr:col>17</xdr:col>
          <xdr:colOff>0</xdr:colOff>
          <xdr:row>156</xdr:row>
          <xdr:rowOff>0</xdr:rowOff>
        </xdr:to>
        <xdr:sp macro="" textlink="">
          <xdr:nvSpPr>
            <xdr:cNvPr id="9631" name="Drop Down 415" hidden="1">
              <a:extLst>
                <a:ext uri="{63B3BB69-23CF-44E3-9099-C40C66FF867C}">
                  <a14:compatExt spid="_x0000_s9631"/>
                </a:ext>
                <a:ext uri="{FF2B5EF4-FFF2-40B4-BE49-F238E27FC236}">
                  <a16:creationId xmlns:a16="http://schemas.microsoft.com/office/drawing/2014/main" id="{00000000-0008-0000-0B00-00009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156</xdr:row>
          <xdr:rowOff>0</xdr:rowOff>
        </xdr:from>
        <xdr:to>
          <xdr:col>17</xdr:col>
          <xdr:colOff>0</xdr:colOff>
          <xdr:row>157</xdr:row>
          <xdr:rowOff>0</xdr:rowOff>
        </xdr:to>
        <xdr:sp macro="" textlink="">
          <xdr:nvSpPr>
            <xdr:cNvPr id="9632" name="Drop Down 416" hidden="1">
              <a:extLst>
                <a:ext uri="{63B3BB69-23CF-44E3-9099-C40C66FF867C}">
                  <a14:compatExt spid="_x0000_s9632"/>
                </a:ext>
                <a:ext uri="{FF2B5EF4-FFF2-40B4-BE49-F238E27FC236}">
                  <a16:creationId xmlns:a16="http://schemas.microsoft.com/office/drawing/2014/main" id="{00000000-0008-0000-0B00-0000A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157</xdr:row>
          <xdr:rowOff>0</xdr:rowOff>
        </xdr:from>
        <xdr:to>
          <xdr:col>17</xdr:col>
          <xdr:colOff>0</xdr:colOff>
          <xdr:row>158</xdr:row>
          <xdr:rowOff>0</xdr:rowOff>
        </xdr:to>
        <xdr:sp macro="" textlink="">
          <xdr:nvSpPr>
            <xdr:cNvPr id="9633" name="Drop Down 417" hidden="1">
              <a:extLst>
                <a:ext uri="{63B3BB69-23CF-44E3-9099-C40C66FF867C}">
                  <a14:compatExt spid="_x0000_s9633"/>
                </a:ext>
                <a:ext uri="{FF2B5EF4-FFF2-40B4-BE49-F238E27FC236}">
                  <a16:creationId xmlns:a16="http://schemas.microsoft.com/office/drawing/2014/main" id="{00000000-0008-0000-0B00-0000A1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158</xdr:row>
          <xdr:rowOff>0</xdr:rowOff>
        </xdr:from>
        <xdr:to>
          <xdr:col>17</xdr:col>
          <xdr:colOff>0</xdr:colOff>
          <xdr:row>159</xdr:row>
          <xdr:rowOff>0</xdr:rowOff>
        </xdr:to>
        <xdr:sp macro="" textlink="">
          <xdr:nvSpPr>
            <xdr:cNvPr id="9634" name="Drop Down 418" hidden="1">
              <a:extLst>
                <a:ext uri="{63B3BB69-23CF-44E3-9099-C40C66FF867C}">
                  <a14:compatExt spid="_x0000_s9634"/>
                </a:ext>
                <a:ext uri="{FF2B5EF4-FFF2-40B4-BE49-F238E27FC236}">
                  <a16:creationId xmlns:a16="http://schemas.microsoft.com/office/drawing/2014/main" id="{00000000-0008-0000-0B00-0000A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159</xdr:row>
          <xdr:rowOff>0</xdr:rowOff>
        </xdr:from>
        <xdr:to>
          <xdr:col>17</xdr:col>
          <xdr:colOff>0</xdr:colOff>
          <xdr:row>160</xdr:row>
          <xdr:rowOff>0</xdr:rowOff>
        </xdr:to>
        <xdr:sp macro="" textlink="">
          <xdr:nvSpPr>
            <xdr:cNvPr id="9635" name="Drop Down 419" hidden="1">
              <a:extLst>
                <a:ext uri="{63B3BB69-23CF-44E3-9099-C40C66FF867C}">
                  <a14:compatExt spid="_x0000_s9635"/>
                </a:ext>
                <a:ext uri="{FF2B5EF4-FFF2-40B4-BE49-F238E27FC236}">
                  <a16:creationId xmlns:a16="http://schemas.microsoft.com/office/drawing/2014/main" id="{00000000-0008-0000-0B00-0000A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160</xdr:row>
          <xdr:rowOff>0</xdr:rowOff>
        </xdr:from>
        <xdr:to>
          <xdr:col>17</xdr:col>
          <xdr:colOff>0</xdr:colOff>
          <xdr:row>161</xdr:row>
          <xdr:rowOff>0</xdr:rowOff>
        </xdr:to>
        <xdr:sp macro="" textlink="">
          <xdr:nvSpPr>
            <xdr:cNvPr id="9636" name="Drop Down 420" hidden="1">
              <a:extLst>
                <a:ext uri="{63B3BB69-23CF-44E3-9099-C40C66FF867C}">
                  <a14:compatExt spid="_x0000_s9636"/>
                </a:ext>
                <a:ext uri="{FF2B5EF4-FFF2-40B4-BE49-F238E27FC236}">
                  <a16:creationId xmlns:a16="http://schemas.microsoft.com/office/drawing/2014/main" id="{00000000-0008-0000-0B00-0000A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161</xdr:row>
          <xdr:rowOff>0</xdr:rowOff>
        </xdr:from>
        <xdr:to>
          <xdr:col>17</xdr:col>
          <xdr:colOff>0</xdr:colOff>
          <xdr:row>162</xdr:row>
          <xdr:rowOff>0</xdr:rowOff>
        </xdr:to>
        <xdr:sp macro="" textlink="">
          <xdr:nvSpPr>
            <xdr:cNvPr id="9637" name="Drop Down 421" hidden="1">
              <a:extLst>
                <a:ext uri="{63B3BB69-23CF-44E3-9099-C40C66FF867C}">
                  <a14:compatExt spid="_x0000_s9637"/>
                </a:ext>
                <a:ext uri="{FF2B5EF4-FFF2-40B4-BE49-F238E27FC236}">
                  <a16:creationId xmlns:a16="http://schemas.microsoft.com/office/drawing/2014/main" id="{00000000-0008-0000-0B00-0000A5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162</xdr:row>
          <xdr:rowOff>0</xdr:rowOff>
        </xdr:from>
        <xdr:to>
          <xdr:col>17</xdr:col>
          <xdr:colOff>0</xdr:colOff>
          <xdr:row>163</xdr:row>
          <xdr:rowOff>0</xdr:rowOff>
        </xdr:to>
        <xdr:sp macro="" textlink="">
          <xdr:nvSpPr>
            <xdr:cNvPr id="9638" name="Drop Down 422" hidden="1">
              <a:extLst>
                <a:ext uri="{63B3BB69-23CF-44E3-9099-C40C66FF867C}">
                  <a14:compatExt spid="_x0000_s9638"/>
                </a:ext>
                <a:ext uri="{FF2B5EF4-FFF2-40B4-BE49-F238E27FC236}">
                  <a16:creationId xmlns:a16="http://schemas.microsoft.com/office/drawing/2014/main" id="{00000000-0008-0000-0B00-0000A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163</xdr:row>
          <xdr:rowOff>0</xdr:rowOff>
        </xdr:from>
        <xdr:to>
          <xdr:col>17</xdr:col>
          <xdr:colOff>0</xdr:colOff>
          <xdr:row>164</xdr:row>
          <xdr:rowOff>0</xdr:rowOff>
        </xdr:to>
        <xdr:sp macro="" textlink="">
          <xdr:nvSpPr>
            <xdr:cNvPr id="9639" name="Drop Down 423" hidden="1">
              <a:extLst>
                <a:ext uri="{63B3BB69-23CF-44E3-9099-C40C66FF867C}">
                  <a14:compatExt spid="_x0000_s9639"/>
                </a:ext>
                <a:ext uri="{FF2B5EF4-FFF2-40B4-BE49-F238E27FC236}">
                  <a16:creationId xmlns:a16="http://schemas.microsoft.com/office/drawing/2014/main" id="{00000000-0008-0000-0B00-0000A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164</xdr:row>
          <xdr:rowOff>0</xdr:rowOff>
        </xdr:from>
        <xdr:to>
          <xdr:col>17</xdr:col>
          <xdr:colOff>0</xdr:colOff>
          <xdr:row>165</xdr:row>
          <xdr:rowOff>0</xdr:rowOff>
        </xdr:to>
        <xdr:sp macro="" textlink="">
          <xdr:nvSpPr>
            <xdr:cNvPr id="9640" name="Drop Down 424" hidden="1">
              <a:extLst>
                <a:ext uri="{63B3BB69-23CF-44E3-9099-C40C66FF867C}">
                  <a14:compatExt spid="_x0000_s9640"/>
                </a:ext>
                <a:ext uri="{FF2B5EF4-FFF2-40B4-BE49-F238E27FC236}">
                  <a16:creationId xmlns:a16="http://schemas.microsoft.com/office/drawing/2014/main" id="{00000000-0008-0000-0B00-0000A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165</xdr:row>
          <xdr:rowOff>0</xdr:rowOff>
        </xdr:from>
        <xdr:to>
          <xdr:col>17</xdr:col>
          <xdr:colOff>0</xdr:colOff>
          <xdr:row>166</xdr:row>
          <xdr:rowOff>0</xdr:rowOff>
        </xdr:to>
        <xdr:sp macro="" textlink="">
          <xdr:nvSpPr>
            <xdr:cNvPr id="9641" name="Drop Down 425" hidden="1">
              <a:extLst>
                <a:ext uri="{63B3BB69-23CF-44E3-9099-C40C66FF867C}">
                  <a14:compatExt spid="_x0000_s9641"/>
                </a:ext>
                <a:ext uri="{FF2B5EF4-FFF2-40B4-BE49-F238E27FC236}">
                  <a16:creationId xmlns:a16="http://schemas.microsoft.com/office/drawing/2014/main" id="{00000000-0008-0000-0B00-0000A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175</xdr:row>
          <xdr:rowOff>0</xdr:rowOff>
        </xdr:from>
        <xdr:to>
          <xdr:col>17</xdr:col>
          <xdr:colOff>0</xdr:colOff>
          <xdr:row>176</xdr:row>
          <xdr:rowOff>0</xdr:rowOff>
        </xdr:to>
        <xdr:sp macro="" textlink="">
          <xdr:nvSpPr>
            <xdr:cNvPr id="9642" name="Drop Down 426" hidden="1">
              <a:extLst>
                <a:ext uri="{63B3BB69-23CF-44E3-9099-C40C66FF867C}">
                  <a14:compatExt spid="_x0000_s9642"/>
                </a:ext>
                <a:ext uri="{FF2B5EF4-FFF2-40B4-BE49-F238E27FC236}">
                  <a16:creationId xmlns:a16="http://schemas.microsoft.com/office/drawing/2014/main" id="{00000000-0008-0000-0B00-0000A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176</xdr:row>
          <xdr:rowOff>0</xdr:rowOff>
        </xdr:from>
        <xdr:to>
          <xdr:col>17</xdr:col>
          <xdr:colOff>0</xdr:colOff>
          <xdr:row>177</xdr:row>
          <xdr:rowOff>0</xdr:rowOff>
        </xdr:to>
        <xdr:sp macro="" textlink="">
          <xdr:nvSpPr>
            <xdr:cNvPr id="9643" name="Drop Down 427" hidden="1">
              <a:extLst>
                <a:ext uri="{63B3BB69-23CF-44E3-9099-C40C66FF867C}">
                  <a14:compatExt spid="_x0000_s9643"/>
                </a:ext>
                <a:ext uri="{FF2B5EF4-FFF2-40B4-BE49-F238E27FC236}">
                  <a16:creationId xmlns:a16="http://schemas.microsoft.com/office/drawing/2014/main" id="{00000000-0008-0000-0B00-0000A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177</xdr:row>
          <xdr:rowOff>0</xdr:rowOff>
        </xdr:from>
        <xdr:to>
          <xdr:col>17</xdr:col>
          <xdr:colOff>0</xdr:colOff>
          <xdr:row>178</xdr:row>
          <xdr:rowOff>0</xdr:rowOff>
        </xdr:to>
        <xdr:sp macro="" textlink="">
          <xdr:nvSpPr>
            <xdr:cNvPr id="9644" name="Drop Down 428" hidden="1">
              <a:extLst>
                <a:ext uri="{63B3BB69-23CF-44E3-9099-C40C66FF867C}">
                  <a14:compatExt spid="_x0000_s9644"/>
                </a:ext>
                <a:ext uri="{FF2B5EF4-FFF2-40B4-BE49-F238E27FC236}">
                  <a16:creationId xmlns:a16="http://schemas.microsoft.com/office/drawing/2014/main" id="{00000000-0008-0000-0B00-0000A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178</xdr:row>
          <xdr:rowOff>0</xdr:rowOff>
        </xdr:from>
        <xdr:to>
          <xdr:col>17</xdr:col>
          <xdr:colOff>0</xdr:colOff>
          <xdr:row>179</xdr:row>
          <xdr:rowOff>0</xdr:rowOff>
        </xdr:to>
        <xdr:sp macro="" textlink="">
          <xdr:nvSpPr>
            <xdr:cNvPr id="9645" name="Drop Down 429" hidden="1">
              <a:extLst>
                <a:ext uri="{63B3BB69-23CF-44E3-9099-C40C66FF867C}">
                  <a14:compatExt spid="_x0000_s9645"/>
                </a:ext>
                <a:ext uri="{FF2B5EF4-FFF2-40B4-BE49-F238E27FC236}">
                  <a16:creationId xmlns:a16="http://schemas.microsoft.com/office/drawing/2014/main" id="{00000000-0008-0000-0B00-0000A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179</xdr:row>
          <xdr:rowOff>0</xdr:rowOff>
        </xdr:from>
        <xdr:to>
          <xdr:col>17</xdr:col>
          <xdr:colOff>0</xdr:colOff>
          <xdr:row>180</xdr:row>
          <xdr:rowOff>0</xdr:rowOff>
        </xdr:to>
        <xdr:sp macro="" textlink="">
          <xdr:nvSpPr>
            <xdr:cNvPr id="9646" name="Drop Down 430" hidden="1">
              <a:extLst>
                <a:ext uri="{63B3BB69-23CF-44E3-9099-C40C66FF867C}">
                  <a14:compatExt spid="_x0000_s9646"/>
                </a:ext>
                <a:ext uri="{FF2B5EF4-FFF2-40B4-BE49-F238E27FC236}">
                  <a16:creationId xmlns:a16="http://schemas.microsoft.com/office/drawing/2014/main" id="{00000000-0008-0000-0B00-0000A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180</xdr:row>
          <xdr:rowOff>0</xdr:rowOff>
        </xdr:from>
        <xdr:to>
          <xdr:col>17</xdr:col>
          <xdr:colOff>0</xdr:colOff>
          <xdr:row>181</xdr:row>
          <xdr:rowOff>0</xdr:rowOff>
        </xdr:to>
        <xdr:sp macro="" textlink="">
          <xdr:nvSpPr>
            <xdr:cNvPr id="9647" name="Drop Down 431" hidden="1">
              <a:extLst>
                <a:ext uri="{63B3BB69-23CF-44E3-9099-C40C66FF867C}">
                  <a14:compatExt spid="_x0000_s9647"/>
                </a:ext>
                <a:ext uri="{FF2B5EF4-FFF2-40B4-BE49-F238E27FC236}">
                  <a16:creationId xmlns:a16="http://schemas.microsoft.com/office/drawing/2014/main" id="{00000000-0008-0000-0B00-0000A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181</xdr:row>
          <xdr:rowOff>0</xdr:rowOff>
        </xdr:from>
        <xdr:to>
          <xdr:col>17</xdr:col>
          <xdr:colOff>0</xdr:colOff>
          <xdr:row>182</xdr:row>
          <xdr:rowOff>0</xdr:rowOff>
        </xdr:to>
        <xdr:sp macro="" textlink="">
          <xdr:nvSpPr>
            <xdr:cNvPr id="9648" name="Drop Down 432" hidden="1">
              <a:extLst>
                <a:ext uri="{63B3BB69-23CF-44E3-9099-C40C66FF867C}">
                  <a14:compatExt spid="_x0000_s9648"/>
                </a:ext>
                <a:ext uri="{FF2B5EF4-FFF2-40B4-BE49-F238E27FC236}">
                  <a16:creationId xmlns:a16="http://schemas.microsoft.com/office/drawing/2014/main" id="{00000000-0008-0000-0B00-0000B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182</xdr:row>
          <xdr:rowOff>0</xdr:rowOff>
        </xdr:from>
        <xdr:to>
          <xdr:col>17</xdr:col>
          <xdr:colOff>0</xdr:colOff>
          <xdr:row>183</xdr:row>
          <xdr:rowOff>0</xdr:rowOff>
        </xdr:to>
        <xdr:sp macro="" textlink="">
          <xdr:nvSpPr>
            <xdr:cNvPr id="9649" name="Drop Down 433" hidden="1">
              <a:extLst>
                <a:ext uri="{63B3BB69-23CF-44E3-9099-C40C66FF867C}">
                  <a14:compatExt spid="_x0000_s9649"/>
                </a:ext>
                <a:ext uri="{FF2B5EF4-FFF2-40B4-BE49-F238E27FC236}">
                  <a16:creationId xmlns:a16="http://schemas.microsoft.com/office/drawing/2014/main" id="{00000000-0008-0000-0B00-0000B1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183</xdr:row>
          <xdr:rowOff>0</xdr:rowOff>
        </xdr:from>
        <xdr:to>
          <xdr:col>17</xdr:col>
          <xdr:colOff>0</xdr:colOff>
          <xdr:row>184</xdr:row>
          <xdr:rowOff>0</xdr:rowOff>
        </xdr:to>
        <xdr:sp macro="" textlink="">
          <xdr:nvSpPr>
            <xdr:cNvPr id="9650" name="Drop Down 434" hidden="1">
              <a:extLst>
                <a:ext uri="{63B3BB69-23CF-44E3-9099-C40C66FF867C}">
                  <a14:compatExt spid="_x0000_s9650"/>
                </a:ext>
                <a:ext uri="{FF2B5EF4-FFF2-40B4-BE49-F238E27FC236}">
                  <a16:creationId xmlns:a16="http://schemas.microsoft.com/office/drawing/2014/main" id="{00000000-0008-0000-0B00-0000B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184</xdr:row>
          <xdr:rowOff>0</xdr:rowOff>
        </xdr:from>
        <xdr:to>
          <xdr:col>17</xdr:col>
          <xdr:colOff>0</xdr:colOff>
          <xdr:row>185</xdr:row>
          <xdr:rowOff>0</xdr:rowOff>
        </xdr:to>
        <xdr:sp macro="" textlink="">
          <xdr:nvSpPr>
            <xdr:cNvPr id="9651" name="Drop Down 435" hidden="1">
              <a:extLst>
                <a:ext uri="{63B3BB69-23CF-44E3-9099-C40C66FF867C}">
                  <a14:compatExt spid="_x0000_s9651"/>
                </a:ext>
                <a:ext uri="{FF2B5EF4-FFF2-40B4-BE49-F238E27FC236}">
                  <a16:creationId xmlns:a16="http://schemas.microsoft.com/office/drawing/2014/main" id="{00000000-0008-0000-0B00-0000B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185</xdr:row>
          <xdr:rowOff>0</xdr:rowOff>
        </xdr:from>
        <xdr:to>
          <xdr:col>17</xdr:col>
          <xdr:colOff>0</xdr:colOff>
          <xdr:row>186</xdr:row>
          <xdr:rowOff>0</xdr:rowOff>
        </xdr:to>
        <xdr:sp macro="" textlink="">
          <xdr:nvSpPr>
            <xdr:cNvPr id="9652" name="Drop Down 436" hidden="1">
              <a:extLst>
                <a:ext uri="{63B3BB69-23CF-44E3-9099-C40C66FF867C}">
                  <a14:compatExt spid="_x0000_s9652"/>
                </a:ext>
                <a:ext uri="{FF2B5EF4-FFF2-40B4-BE49-F238E27FC236}">
                  <a16:creationId xmlns:a16="http://schemas.microsoft.com/office/drawing/2014/main" id="{00000000-0008-0000-0B00-0000B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186</xdr:row>
          <xdr:rowOff>0</xdr:rowOff>
        </xdr:from>
        <xdr:to>
          <xdr:col>17</xdr:col>
          <xdr:colOff>0</xdr:colOff>
          <xdr:row>187</xdr:row>
          <xdr:rowOff>0</xdr:rowOff>
        </xdr:to>
        <xdr:sp macro="" textlink="">
          <xdr:nvSpPr>
            <xdr:cNvPr id="9653" name="Drop Down 437" hidden="1">
              <a:extLst>
                <a:ext uri="{63B3BB69-23CF-44E3-9099-C40C66FF867C}">
                  <a14:compatExt spid="_x0000_s9653"/>
                </a:ext>
                <a:ext uri="{FF2B5EF4-FFF2-40B4-BE49-F238E27FC236}">
                  <a16:creationId xmlns:a16="http://schemas.microsoft.com/office/drawing/2014/main" id="{00000000-0008-0000-0B00-0000B5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187</xdr:row>
          <xdr:rowOff>0</xdr:rowOff>
        </xdr:from>
        <xdr:to>
          <xdr:col>17</xdr:col>
          <xdr:colOff>0</xdr:colOff>
          <xdr:row>188</xdr:row>
          <xdr:rowOff>0</xdr:rowOff>
        </xdr:to>
        <xdr:sp macro="" textlink="">
          <xdr:nvSpPr>
            <xdr:cNvPr id="9654" name="Drop Down 438" hidden="1">
              <a:extLst>
                <a:ext uri="{63B3BB69-23CF-44E3-9099-C40C66FF867C}">
                  <a14:compatExt spid="_x0000_s9654"/>
                </a:ext>
                <a:ext uri="{FF2B5EF4-FFF2-40B4-BE49-F238E27FC236}">
                  <a16:creationId xmlns:a16="http://schemas.microsoft.com/office/drawing/2014/main" id="{00000000-0008-0000-0B00-0000B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188</xdr:row>
          <xdr:rowOff>0</xdr:rowOff>
        </xdr:from>
        <xdr:to>
          <xdr:col>17</xdr:col>
          <xdr:colOff>0</xdr:colOff>
          <xdr:row>189</xdr:row>
          <xdr:rowOff>0</xdr:rowOff>
        </xdr:to>
        <xdr:sp macro="" textlink="">
          <xdr:nvSpPr>
            <xdr:cNvPr id="9655" name="Drop Down 439" hidden="1">
              <a:extLst>
                <a:ext uri="{63B3BB69-23CF-44E3-9099-C40C66FF867C}">
                  <a14:compatExt spid="_x0000_s9655"/>
                </a:ext>
                <a:ext uri="{FF2B5EF4-FFF2-40B4-BE49-F238E27FC236}">
                  <a16:creationId xmlns:a16="http://schemas.microsoft.com/office/drawing/2014/main" id="{00000000-0008-0000-0B00-0000B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191</xdr:row>
          <xdr:rowOff>0</xdr:rowOff>
        </xdr:from>
        <xdr:to>
          <xdr:col>17</xdr:col>
          <xdr:colOff>0</xdr:colOff>
          <xdr:row>192</xdr:row>
          <xdr:rowOff>0</xdr:rowOff>
        </xdr:to>
        <xdr:sp macro="" textlink="">
          <xdr:nvSpPr>
            <xdr:cNvPr id="9656" name="Drop Down 440" hidden="1">
              <a:extLst>
                <a:ext uri="{63B3BB69-23CF-44E3-9099-C40C66FF867C}">
                  <a14:compatExt spid="_x0000_s9656"/>
                </a:ext>
                <a:ext uri="{FF2B5EF4-FFF2-40B4-BE49-F238E27FC236}">
                  <a16:creationId xmlns:a16="http://schemas.microsoft.com/office/drawing/2014/main" id="{00000000-0008-0000-0B00-0000B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192</xdr:row>
          <xdr:rowOff>0</xdr:rowOff>
        </xdr:from>
        <xdr:to>
          <xdr:col>17</xdr:col>
          <xdr:colOff>0</xdr:colOff>
          <xdr:row>193</xdr:row>
          <xdr:rowOff>0</xdr:rowOff>
        </xdr:to>
        <xdr:sp macro="" textlink="">
          <xdr:nvSpPr>
            <xdr:cNvPr id="9657" name="Drop Down 441" hidden="1">
              <a:extLst>
                <a:ext uri="{63B3BB69-23CF-44E3-9099-C40C66FF867C}">
                  <a14:compatExt spid="_x0000_s9657"/>
                </a:ext>
                <a:ext uri="{FF2B5EF4-FFF2-40B4-BE49-F238E27FC236}">
                  <a16:creationId xmlns:a16="http://schemas.microsoft.com/office/drawing/2014/main" id="{00000000-0008-0000-0B00-0000B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193</xdr:row>
          <xdr:rowOff>0</xdr:rowOff>
        </xdr:from>
        <xdr:to>
          <xdr:col>17</xdr:col>
          <xdr:colOff>0</xdr:colOff>
          <xdr:row>194</xdr:row>
          <xdr:rowOff>0</xdr:rowOff>
        </xdr:to>
        <xdr:sp macro="" textlink="">
          <xdr:nvSpPr>
            <xdr:cNvPr id="9658" name="Drop Down 442" hidden="1">
              <a:extLst>
                <a:ext uri="{63B3BB69-23CF-44E3-9099-C40C66FF867C}">
                  <a14:compatExt spid="_x0000_s9658"/>
                </a:ext>
                <a:ext uri="{FF2B5EF4-FFF2-40B4-BE49-F238E27FC236}">
                  <a16:creationId xmlns:a16="http://schemas.microsoft.com/office/drawing/2014/main" id="{00000000-0008-0000-0B00-0000B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194</xdr:row>
          <xdr:rowOff>0</xdr:rowOff>
        </xdr:from>
        <xdr:to>
          <xdr:col>17</xdr:col>
          <xdr:colOff>0</xdr:colOff>
          <xdr:row>195</xdr:row>
          <xdr:rowOff>0</xdr:rowOff>
        </xdr:to>
        <xdr:sp macro="" textlink="">
          <xdr:nvSpPr>
            <xdr:cNvPr id="9659" name="Drop Down 443" hidden="1">
              <a:extLst>
                <a:ext uri="{63B3BB69-23CF-44E3-9099-C40C66FF867C}">
                  <a14:compatExt spid="_x0000_s9659"/>
                </a:ext>
                <a:ext uri="{FF2B5EF4-FFF2-40B4-BE49-F238E27FC236}">
                  <a16:creationId xmlns:a16="http://schemas.microsoft.com/office/drawing/2014/main" id="{00000000-0008-0000-0B00-0000B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195</xdr:row>
          <xdr:rowOff>0</xdr:rowOff>
        </xdr:from>
        <xdr:to>
          <xdr:col>17</xdr:col>
          <xdr:colOff>0</xdr:colOff>
          <xdr:row>196</xdr:row>
          <xdr:rowOff>0</xdr:rowOff>
        </xdr:to>
        <xdr:sp macro="" textlink="">
          <xdr:nvSpPr>
            <xdr:cNvPr id="9660" name="Drop Down 444" hidden="1">
              <a:extLst>
                <a:ext uri="{63B3BB69-23CF-44E3-9099-C40C66FF867C}">
                  <a14:compatExt spid="_x0000_s9660"/>
                </a:ext>
                <a:ext uri="{FF2B5EF4-FFF2-40B4-BE49-F238E27FC236}">
                  <a16:creationId xmlns:a16="http://schemas.microsoft.com/office/drawing/2014/main" id="{00000000-0008-0000-0B00-0000B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196</xdr:row>
          <xdr:rowOff>0</xdr:rowOff>
        </xdr:from>
        <xdr:to>
          <xdr:col>17</xdr:col>
          <xdr:colOff>0</xdr:colOff>
          <xdr:row>197</xdr:row>
          <xdr:rowOff>0</xdr:rowOff>
        </xdr:to>
        <xdr:sp macro="" textlink="">
          <xdr:nvSpPr>
            <xdr:cNvPr id="9661" name="Drop Down 445" hidden="1">
              <a:extLst>
                <a:ext uri="{63B3BB69-23CF-44E3-9099-C40C66FF867C}">
                  <a14:compatExt spid="_x0000_s9661"/>
                </a:ext>
                <a:ext uri="{FF2B5EF4-FFF2-40B4-BE49-F238E27FC236}">
                  <a16:creationId xmlns:a16="http://schemas.microsoft.com/office/drawing/2014/main" id="{00000000-0008-0000-0B00-0000B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197</xdr:row>
          <xdr:rowOff>0</xdr:rowOff>
        </xdr:from>
        <xdr:to>
          <xdr:col>17</xdr:col>
          <xdr:colOff>0</xdr:colOff>
          <xdr:row>198</xdr:row>
          <xdr:rowOff>0</xdr:rowOff>
        </xdr:to>
        <xdr:sp macro="" textlink="">
          <xdr:nvSpPr>
            <xdr:cNvPr id="9662" name="Drop Down 446" hidden="1">
              <a:extLst>
                <a:ext uri="{63B3BB69-23CF-44E3-9099-C40C66FF867C}">
                  <a14:compatExt spid="_x0000_s9662"/>
                </a:ext>
                <a:ext uri="{FF2B5EF4-FFF2-40B4-BE49-F238E27FC236}">
                  <a16:creationId xmlns:a16="http://schemas.microsoft.com/office/drawing/2014/main" id="{00000000-0008-0000-0B00-0000B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198</xdr:row>
          <xdr:rowOff>0</xdr:rowOff>
        </xdr:from>
        <xdr:to>
          <xdr:col>17</xdr:col>
          <xdr:colOff>0</xdr:colOff>
          <xdr:row>199</xdr:row>
          <xdr:rowOff>0</xdr:rowOff>
        </xdr:to>
        <xdr:sp macro="" textlink="">
          <xdr:nvSpPr>
            <xdr:cNvPr id="9663" name="Drop Down 447" hidden="1">
              <a:extLst>
                <a:ext uri="{63B3BB69-23CF-44E3-9099-C40C66FF867C}">
                  <a14:compatExt spid="_x0000_s9663"/>
                </a:ext>
                <a:ext uri="{FF2B5EF4-FFF2-40B4-BE49-F238E27FC236}">
                  <a16:creationId xmlns:a16="http://schemas.microsoft.com/office/drawing/2014/main" id="{00000000-0008-0000-0B00-0000B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199</xdr:row>
          <xdr:rowOff>0</xdr:rowOff>
        </xdr:from>
        <xdr:to>
          <xdr:col>17</xdr:col>
          <xdr:colOff>0</xdr:colOff>
          <xdr:row>200</xdr:row>
          <xdr:rowOff>0</xdr:rowOff>
        </xdr:to>
        <xdr:sp macro="" textlink="">
          <xdr:nvSpPr>
            <xdr:cNvPr id="9664" name="Drop Down 448" hidden="1">
              <a:extLst>
                <a:ext uri="{63B3BB69-23CF-44E3-9099-C40C66FF867C}">
                  <a14:compatExt spid="_x0000_s9664"/>
                </a:ext>
                <a:ext uri="{FF2B5EF4-FFF2-40B4-BE49-F238E27FC236}">
                  <a16:creationId xmlns:a16="http://schemas.microsoft.com/office/drawing/2014/main" id="{00000000-0008-0000-0B00-0000C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200</xdr:row>
          <xdr:rowOff>0</xdr:rowOff>
        </xdr:from>
        <xdr:to>
          <xdr:col>17</xdr:col>
          <xdr:colOff>0</xdr:colOff>
          <xdr:row>201</xdr:row>
          <xdr:rowOff>0</xdr:rowOff>
        </xdr:to>
        <xdr:sp macro="" textlink="">
          <xdr:nvSpPr>
            <xdr:cNvPr id="9665" name="Drop Down 449" hidden="1">
              <a:extLst>
                <a:ext uri="{63B3BB69-23CF-44E3-9099-C40C66FF867C}">
                  <a14:compatExt spid="_x0000_s9665"/>
                </a:ext>
                <a:ext uri="{FF2B5EF4-FFF2-40B4-BE49-F238E27FC236}">
                  <a16:creationId xmlns:a16="http://schemas.microsoft.com/office/drawing/2014/main" id="{00000000-0008-0000-0B00-0000C1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201</xdr:row>
          <xdr:rowOff>0</xdr:rowOff>
        </xdr:from>
        <xdr:to>
          <xdr:col>17</xdr:col>
          <xdr:colOff>0</xdr:colOff>
          <xdr:row>202</xdr:row>
          <xdr:rowOff>0</xdr:rowOff>
        </xdr:to>
        <xdr:sp macro="" textlink="">
          <xdr:nvSpPr>
            <xdr:cNvPr id="9666" name="Drop Down 450" hidden="1">
              <a:extLst>
                <a:ext uri="{63B3BB69-23CF-44E3-9099-C40C66FF867C}">
                  <a14:compatExt spid="_x0000_s9666"/>
                </a:ext>
                <a:ext uri="{FF2B5EF4-FFF2-40B4-BE49-F238E27FC236}">
                  <a16:creationId xmlns:a16="http://schemas.microsoft.com/office/drawing/2014/main" id="{00000000-0008-0000-0B00-0000C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202</xdr:row>
          <xdr:rowOff>0</xdr:rowOff>
        </xdr:from>
        <xdr:to>
          <xdr:col>17</xdr:col>
          <xdr:colOff>0</xdr:colOff>
          <xdr:row>203</xdr:row>
          <xdr:rowOff>0</xdr:rowOff>
        </xdr:to>
        <xdr:sp macro="" textlink="">
          <xdr:nvSpPr>
            <xdr:cNvPr id="9667" name="Drop Down 451" hidden="1">
              <a:extLst>
                <a:ext uri="{63B3BB69-23CF-44E3-9099-C40C66FF867C}">
                  <a14:compatExt spid="_x0000_s9667"/>
                </a:ext>
                <a:ext uri="{FF2B5EF4-FFF2-40B4-BE49-F238E27FC236}">
                  <a16:creationId xmlns:a16="http://schemas.microsoft.com/office/drawing/2014/main" id="{00000000-0008-0000-0B00-0000C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203</xdr:row>
          <xdr:rowOff>0</xdr:rowOff>
        </xdr:from>
        <xdr:to>
          <xdr:col>17</xdr:col>
          <xdr:colOff>0</xdr:colOff>
          <xdr:row>203</xdr:row>
          <xdr:rowOff>107950</xdr:rowOff>
        </xdr:to>
        <xdr:sp macro="" textlink="">
          <xdr:nvSpPr>
            <xdr:cNvPr id="9668" name="Drop Down 452" hidden="1">
              <a:extLst>
                <a:ext uri="{63B3BB69-23CF-44E3-9099-C40C66FF867C}">
                  <a14:compatExt spid="_x0000_s9668"/>
                </a:ext>
                <a:ext uri="{FF2B5EF4-FFF2-40B4-BE49-F238E27FC236}">
                  <a16:creationId xmlns:a16="http://schemas.microsoft.com/office/drawing/2014/main" id="{00000000-0008-0000-0B00-0000C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204</xdr:row>
          <xdr:rowOff>0</xdr:rowOff>
        </xdr:from>
        <xdr:to>
          <xdr:col>17</xdr:col>
          <xdr:colOff>0</xdr:colOff>
          <xdr:row>204</xdr:row>
          <xdr:rowOff>107950</xdr:rowOff>
        </xdr:to>
        <xdr:sp macro="" textlink="">
          <xdr:nvSpPr>
            <xdr:cNvPr id="9669" name="Drop Down 453" hidden="1">
              <a:extLst>
                <a:ext uri="{63B3BB69-23CF-44E3-9099-C40C66FF867C}">
                  <a14:compatExt spid="_x0000_s9669"/>
                </a:ext>
                <a:ext uri="{FF2B5EF4-FFF2-40B4-BE49-F238E27FC236}">
                  <a16:creationId xmlns:a16="http://schemas.microsoft.com/office/drawing/2014/main" id="{00000000-0008-0000-0B00-0000C5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205</xdr:row>
          <xdr:rowOff>0</xdr:rowOff>
        </xdr:from>
        <xdr:to>
          <xdr:col>17</xdr:col>
          <xdr:colOff>0</xdr:colOff>
          <xdr:row>205</xdr:row>
          <xdr:rowOff>107950</xdr:rowOff>
        </xdr:to>
        <xdr:sp macro="" textlink="">
          <xdr:nvSpPr>
            <xdr:cNvPr id="9670" name="Drop Down 454" hidden="1">
              <a:extLst>
                <a:ext uri="{63B3BB69-23CF-44E3-9099-C40C66FF867C}">
                  <a14:compatExt spid="_x0000_s9670"/>
                </a:ext>
                <a:ext uri="{FF2B5EF4-FFF2-40B4-BE49-F238E27FC236}">
                  <a16:creationId xmlns:a16="http://schemas.microsoft.com/office/drawing/2014/main" id="{00000000-0008-0000-0B00-0000C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206</xdr:row>
          <xdr:rowOff>0</xdr:rowOff>
        </xdr:from>
        <xdr:to>
          <xdr:col>17</xdr:col>
          <xdr:colOff>0</xdr:colOff>
          <xdr:row>206</xdr:row>
          <xdr:rowOff>107950</xdr:rowOff>
        </xdr:to>
        <xdr:sp macro="" textlink="">
          <xdr:nvSpPr>
            <xdr:cNvPr id="9671" name="Drop Down 455" hidden="1">
              <a:extLst>
                <a:ext uri="{63B3BB69-23CF-44E3-9099-C40C66FF867C}">
                  <a14:compatExt spid="_x0000_s9671"/>
                </a:ext>
                <a:ext uri="{FF2B5EF4-FFF2-40B4-BE49-F238E27FC236}">
                  <a16:creationId xmlns:a16="http://schemas.microsoft.com/office/drawing/2014/main" id="{00000000-0008-0000-0B00-0000C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207</xdr:row>
          <xdr:rowOff>0</xdr:rowOff>
        </xdr:from>
        <xdr:to>
          <xdr:col>17</xdr:col>
          <xdr:colOff>0</xdr:colOff>
          <xdr:row>207</xdr:row>
          <xdr:rowOff>107950</xdr:rowOff>
        </xdr:to>
        <xdr:sp macro="" textlink="">
          <xdr:nvSpPr>
            <xdr:cNvPr id="9672" name="Drop Down 456" hidden="1">
              <a:extLst>
                <a:ext uri="{63B3BB69-23CF-44E3-9099-C40C66FF867C}">
                  <a14:compatExt spid="_x0000_s9672"/>
                </a:ext>
                <a:ext uri="{FF2B5EF4-FFF2-40B4-BE49-F238E27FC236}">
                  <a16:creationId xmlns:a16="http://schemas.microsoft.com/office/drawing/2014/main" id="{00000000-0008-0000-0B00-0000C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62</xdr:row>
          <xdr:rowOff>0</xdr:rowOff>
        </xdr:from>
        <xdr:to>
          <xdr:col>17</xdr:col>
          <xdr:colOff>0</xdr:colOff>
          <xdr:row>63</xdr:row>
          <xdr:rowOff>0</xdr:rowOff>
        </xdr:to>
        <xdr:sp macro="" textlink="">
          <xdr:nvSpPr>
            <xdr:cNvPr id="9678" name="Drop Down 462" hidden="1">
              <a:extLst>
                <a:ext uri="{63B3BB69-23CF-44E3-9099-C40C66FF867C}">
                  <a14:compatExt spid="_x0000_s9678"/>
                </a:ext>
                <a:ext uri="{FF2B5EF4-FFF2-40B4-BE49-F238E27FC236}">
                  <a16:creationId xmlns:a16="http://schemas.microsoft.com/office/drawing/2014/main" id="{00000000-0008-0000-0B00-0000CE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63</xdr:row>
          <xdr:rowOff>0</xdr:rowOff>
        </xdr:from>
        <xdr:to>
          <xdr:col>17</xdr:col>
          <xdr:colOff>0</xdr:colOff>
          <xdr:row>64</xdr:row>
          <xdr:rowOff>0</xdr:rowOff>
        </xdr:to>
        <xdr:sp macro="" textlink="">
          <xdr:nvSpPr>
            <xdr:cNvPr id="9679" name="Drop Down 463" hidden="1">
              <a:extLst>
                <a:ext uri="{63B3BB69-23CF-44E3-9099-C40C66FF867C}">
                  <a14:compatExt spid="_x0000_s9679"/>
                </a:ext>
                <a:ext uri="{FF2B5EF4-FFF2-40B4-BE49-F238E27FC236}">
                  <a16:creationId xmlns:a16="http://schemas.microsoft.com/office/drawing/2014/main" id="{00000000-0008-0000-0B00-0000CF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64</xdr:row>
          <xdr:rowOff>0</xdr:rowOff>
        </xdr:from>
        <xdr:to>
          <xdr:col>17</xdr:col>
          <xdr:colOff>0</xdr:colOff>
          <xdr:row>65</xdr:row>
          <xdr:rowOff>0</xdr:rowOff>
        </xdr:to>
        <xdr:sp macro="" textlink="">
          <xdr:nvSpPr>
            <xdr:cNvPr id="9680" name="Drop Down 464" hidden="1">
              <a:extLst>
                <a:ext uri="{63B3BB69-23CF-44E3-9099-C40C66FF867C}">
                  <a14:compatExt spid="_x0000_s9680"/>
                </a:ext>
                <a:ext uri="{FF2B5EF4-FFF2-40B4-BE49-F238E27FC236}">
                  <a16:creationId xmlns:a16="http://schemas.microsoft.com/office/drawing/2014/main" id="{00000000-0008-0000-0B00-0000D0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20</xdr:row>
          <xdr:rowOff>0</xdr:rowOff>
        </xdr:from>
        <xdr:to>
          <xdr:col>17</xdr:col>
          <xdr:colOff>0</xdr:colOff>
          <xdr:row>21</xdr:row>
          <xdr:rowOff>0</xdr:rowOff>
        </xdr:to>
        <xdr:sp macro="" textlink="">
          <xdr:nvSpPr>
            <xdr:cNvPr id="9682" name="Drop Down 466" hidden="1">
              <a:extLst>
                <a:ext uri="{63B3BB69-23CF-44E3-9099-C40C66FF867C}">
                  <a14:compatExt spid="_x0000_s9682"/>
                </a:ext>
                <a:ext uri="{FF2B5EF4-FFF2-40B4-BE49-F238E27FC236}">
                  <a16:creationId xmlns:a16="http://schemas.microsoft.com/office/drawing/2014/main" id="{00000000-0008-0000-0B00-0000D2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21</xdr:row>
          <xdr:rowOff>0</xdr:rowOff>
        </xdr:from>
        <xdr:to>
          <xdr:col>17</xdr:col>
          <xdr:colOff>0</xdr:colOff>
          <xdr:row>22</xdr:row>
          <xdr:rowOff>0</xdr:rowOff>
        </xdr:to>
        <xdr:sp macro="" textlink="">
          <xdr:nvSpPr>
            <xdr:cNvPr id="9683" name="Drop Down 467" hidden="1">
              <a:extLst>
                <a:ext uri="{63B3BB69-23CF-44E3-9099-C40C66FF867C}">
                  <a14:compatExt spid="_x0000_s9683"/>
                </a:ext>
                <a:ext uri="{FF2B5EF4-FFF2-40B4-BE49-F238E27FC236}">
                  <a16:creationId xmlns:a16="http://schemas.microsoft.com/office/drawing/2014/main" id="{00000000-0008-0000-0B00-0000D3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22</xdr:row>
          <xdr:rowOff>0</xdr:rowOff>
        </xdr:from>
        <xdr:to>
          <xdr:col>17</xdr:col>
          <xdr:colOff>0</xdr:colOff>
          <xdr:row>23</xdr:row>
          <xdr:rowOff>0</xdr:rowOff>
        </xdr:to>
        <xdr:sp macro="" textlink="">
          <xdr:nvSpPr>
            <xdr:cNvPr id="9684" name="Drop Down 468" hidden="1">
              <a:extLst>
                <a:ext uri="{63B3BB69-23CF-44E3-9099-C40C66FF867C}">
                  <a14:compatExt spid="_x0000_s9684"/>
                </a:ext>
                <a:ext uri="{FF2B5EF4-FFF2-40B4-BE49-F238E27FC236}">
                  <a16:creationId xmlns:a16="http://schemas.microsoft.com/office/drawing/2014/main" id="{00000000-0008-0000-0B00-0000D4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146</xdr:row>
          <xdr:rowOff>0</xdr:rowOff>
        </xdr:from>
        <xdr:to>
          <xdr:col>17</xdr:col>
          <xdr:colOff>0</xdr:colOff>
          <xdr:row>147</xdr:row>
          <xdr:rowOff>0</xdr:rowOff>
        </xdr:to>
        <xdr:sp macro="" textlink="">
          <xdr:nvSpPr>
            <xdr:cNvPr id="9685" name="Drop Down 469" hidden="1">
              <a:extLst>
                <a:ext uri="{63B3BB69-23CF-44E3-9099-C40C66FF867C}">
                  <a14:compatExt spid="_x0000_s9685"/>
                </a:ext>
                <a:ext uri="{FF2B5EF4-FFF2-40B4-BE49-F238E27FC236}">
                  <a16:creationId xmlns:a16="http://schemas.microsoft.com/office/drawing/2014/main" id="{00000000-0008-0000-0B00-0000D5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147</xdr:row>
          <xdr:rowOff>0</xdr:rowOff>
        </xdr:from>
        <xdr:to>
          <xdr:col>17</xdr:col>
          <xdr:colOff>0</xdr:colOff>
          <xdr:row>148</xdr:row>
          <xdr:rowOff>0</xdr:rowOff>
        </xdr:to>
        <xdr:sp macro="" textlink="">
          <xdr:nvSpPr>
            <xdr:cNvPr id="9686" name="Drop Down 470" hidden="1">
              <a:extLst>
                <a:ext uri="{63B3BB69-23CF-44E3-9099-C40C66FF867C}">
                  <a14:compatExt spid="_x0000_s9686"/>
                </a:ext>
                <a:ext uri="{FF2B5EF4-FFF2-40B4-BE49-F238E27FC236}">
                  <a16:creationId xmlns:a16="http://schemas.microsoft.com/office/drawing/2014/main" id="{00000000-0008-0000-0B00-0000D6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148</xdr:row>
          <xdr:rowOff>0</xdr:rowOff>
        </xdr:from>
        <xdr:to>
          <xdr:col>17</xdr:col>
          <xdr:colOff>0</xdr:colOff>
          <xdr:row>149</xdr:row>
          <xdr:rowOff>0</xdr:rowOff>
        </xdr:to>
        <xdr:sp macro="" textlink="">
          <xdr:nvSpPr>
            <xdr:cNvPr id="9687" name="Drop Down 471" hidden="1">
              <a:extLst>
                <a:ext uri="{63B3BB69-23CF-44E3-9099-C40C66FF867C}">
                  <a14:compatExt spid="_x0000_s9687"/>
                </a:ext>
                <a:ext uri="{FF2B5EF4-FFF2-40B4-BE49-F238E27FC236}">
                  <a16:creationId xmlns:a16="http://schemas.microsoft.com/office/drawing/2014/main" id="{00000000-0008-0000-0B00-0000D7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188</xdr:row>
          <xdr:rowOff>0</xdr:rowOff>
        </xdr:from>
        <xdr:to>
          <xdr:col>17</xdr:col>
          <xdr:colOff>0</xdr:colOff>
          <xdr:row>189</xdr:row>
          <xdr:rowOff>0</xdr:rowOff>
        </xdr:to>
        <xdr:sp macro="" textlink="">
          <xdr:nvSpPr>
            <xdr:cNvPr id="9688" name="Drop Down 472" hidden="1">
              <a:extLst>
                <a:ext uri="{63B3BB69-23CF-44E3-9099-C40C66FF867C}">
                  <a14:compatExt spid="_x0000_s9688"/>
                </a:ext>
                <a:ext uri="{FF2B5EF4-FFF2-40B4-BE49-F238E27FC236}">
                  <a16:creationId xmlns:a16="http://schemas.microsoft.com/office/drawing/2014/main" id="{00000000-0008-0000-0B00-0000D8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189</xdr:row>
          <xdr:rowOff>0</xdr:rowOff>
        </xdr:from>
        <xdr:to>
          <xdr:col>17</xdr:col>
          <xdr:colOff>0</xdr:colOff>
          <xdr:row>190</xdr:row>
          <xdr:rowOff>0</xdr:rowOff>
        </xdr:to>
        <xdr:sp macro="" textlink="">
          <xdr:nvSpPr>
            <xdr:cNvPr id="9689" name="Drop Down 473" hidden="1">
              <a:extLst>
                <a:ext uri="{63B3BB69-23CF-44E3-9099-C40C66FF867C}">
                  <a14:compatExt spid="_x0000_s9689"/>
                </a:ext>
                <a:ext uri="{FF2B5EF4-FFF2-40B4-BE49-F238E27FC236}">
                  <a16:creationId xmlns:a16="http://schemas.microsoft.com/office/drawing/2014/main" id="{00000000-0008-0000-0B00-0000D9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190</xdr:row>
          <xdr:rowOff>0</xdr:rowOff>
        </xdr:from>
        <xdr:to>
          <xdr:col>17</xdr:col>
          <xdr:colOff>0</xdr:colOff>
          <xdr:row>191</xdr:row>
          <xdr:rowOff>0</xdr:rowOff>
        </xdr:to>
        <xdr:sp macro="" textlink="">
          <xdr:nvSpPr>
            <xdr:cNvPr id="9690" name="Drop Down 474" hidden="1">
              <a:extLst>
                <a:ext uri="{63B3BB69-23CF-44E3-9099-C40C66FF867C}">
                  <a14:compatExt spid="_x0000_s9690"/>
                </a:ext>
                <a:ext uri="{FF2B5EF4-FFF2-40B4-BE49-F238E27FC236}">
                  <a16:creationId xmlns:a16="http://schemas.microsoft.com/office/drawing/2014/main" id="{00000000-0008-0000-0B00-0000DA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104</xdr:row>
          <xdr:rowOff>0</xdr:rowOff>
        </xdr:from>
        <xdr:to>
          <xdr:col>17</xdr:col>
          <xdr:colOff>0</xdr:colOff>
          <xdr:row>105</xdr:row>
          <xdr:rowOff>0</xdr:rowOff>
        </xdr:to>
        <xdr:sp macro="" textlink="">
          <xdr:nvSpPr>
            <xdr:cNvPr id="9691" name="Drop Down 475" hidden="1">
              <a:extLst>
                <a:ext uri="{63B3BB69-23CF-44E3-9099-C40C66FF867C}">
                  <a14:compatExt spid="_x0000_s9691"/>
                </a:ext>
                <a:ext uri="{FF2B5EF4-FFF2-40B4-BE49-F238E27FC236}">
                  <a16:creationId xmlns:a16="http://schemas.microsoft.com/office/drawing/2014/main" id="{00000000-0008-0000-0B00-0000DB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105</xdr:row>
          <xdr:rowOff>0</xdr:rowOff>
        </xdr:from>
        <xdr:to>
          <xdr:col>17</xdr:col>
          <xdr:colOff>0</xdr:colOff>
          <xdr:row>106</xdr:row>
          <xdr:rowOff>0</xdr:rowOff>
        </xdr:to>
        <xdr:sp macro="" textlink="">
          <xdr:nvSpPr>
            <xdr:cNvPr id="9692" name="Drop Down 476" hidden="1">
              <a:extLst>
                <a:ext uri="{63B3BB69-23CF-44E3-9099-C40C66FF867C}">
                  <a14:compatExt spid="_x0000_s9692"/>
                </a:ext>
                <a:ext uri="{FF2B5EF4-FFF2-40B4-BE49-F238E27FC236}">
                  <a16:creationId xmlns:a16="http://schemas.microsoft.com/office/drawing/2014/main" id="{00000000-0008-0000-0B00-0000DC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106</xdr:row>
          <xdr:rowOff>0</xdr:rowOff>
        </xdr:from>
        <xdr:to>
          <xdr:col>17</xdr:col>
          <xdr:colOff>0</xdr:colOff>
          <xdr:row>107</xdr:row>
          <xdr:rowOff>0</xdr:rowOff>
        </xdr:to>
        <xdr:sp macro="" textlink="">
          <xdr:nvSpPr>
            <xdr:cNvPr id="9693" name="Drop Down 477" hidden="1">
              <a:extLst>
                <a:ext uri="{63B3BB69-23CF-44E3-9099-C40C66FF867C}">
                  <a14:compatExt spid="_x0000_s9693"/>
                </a:ext>
                <a:ext uri="{FF2B5EF4-FFF2-40B4-BE49-F238E27FC236}">
                  <a16:creationId xmlns:a16="http://schemas.microsoft.com/office/drawing/2014/main" id="{00000000-0008-0000-0B00-0000DD2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2</xdr:col>
      <xdr:colOff>0</xdr:colOff>
      <xdr:row>365</xdr:row>
      <xdr:rowOff>0</xdr:rowOff>
    </xdr:from>
    <xdr:to>
      <xdr:col>3</xdr:col>
      <xdr:colOff>9526</xdr:colOff>
      <xdr:row>366</xdr:row>
      <xdr:rowOff>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4150" y="29860875"/>
          <a:ext cx="2324101" cy="438150"/>
        </a:xfrm>
        <a:prstGeom prst="rect">
          <a:avLst/>
        </a:prstGeom>
      </xdr:spPr>
    </xdr:pic>
    <xdr:clientData/>
  </xdr:twoCellAnchor>
  <xdr:twoCellAnchor editAs="oneCell">
    <xdr:from>
      <xdr:col>2</xdr:col>
      <xdr:colOff>0</xdr:colOff>
      <xdr:row>366</xdr:row>
      <xdr:rowOff>0</xdr:rowOff>
    </xdr:from>
    <xdr:to>
      <xdr:col>3</xdr:col>
      <xdr:colOff>9525</xdr:colOff>
      <xdr:row>367</xdr:row>
      <xdr:rowOff>0</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24150" y="30299025"/>
          <a:ext cx="2324100" cy="438150"/>
        </a:xfrm>
        <a:prstGeom prst="rect">
          <a:avLst/>
        </a:prstGeom>
      </xdr:spPr>
    </xdr:pic>
    <xdr:clientData/>
  </xdr:twoCellAnchor>
  <xdr:twoCellAnchor editAs="oneCell">
    <xdr:from>
      <xdr:col>2</xdr:col>
      <xdr:colOff>9526</xdr:colOff>
      <xdr:row>364</xdr:row>
      <xdr:rowOff>0</xdr:rowOff>
    </xdr:from>
    <xdr:to>
      <xdr:col>3</xdr:col>
      <xdr:colOff>9525</xdr:colOff>
      <xdr:row>365</xdr:row>
      <xdr:rowOff>0</xdr:rowOff>
    </xdr:to>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71726" y="29041725"/>
          <a:ext cx="2314574" cy="4381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4</xdr:row>
      <xdr:rowOff>133350</xdr:rowOff>
    </xdr:from>
    <xdr:to>
      <xdr:col>9</xdr:col>
      <xdr:colOff>194848</xdr:colOff>
      <xdr:row>12</xdr:row>
      <xdr:rowOff>38100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95350"/>
          <a:ext cx="7338598" cy="15811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8</xdr:col>
          <xdr:colOff>38100</xdr:colOff>
          <xdr:row>38</xdr:row>
          <xdr:rowOff>50800</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1100-0000014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47</xdr:row>
          <xdr:rowOff>76200</xdr:rowOff>
        </xdr:from>
        <xdr:to>
          <xdr:col>8</xdr:col>
          <xdr:colOff>38100</xdr:colOff>
          <xdr:row>51</xdr:row>
          <xdr:rowOff>19050</xdr:rowOff>
        </xdr:to>
        <xdr:sp macro="" textlink="">
          <xdr:nvSpPr>
            <xdr:cNvPr id="19458" name="Object 2" hidden="1">
              <a:extLst>
                <a:ext uri="{63B3BB69-23CF-44E3-9099-C40C66FF867C}">
                  <a14:compatExt spid="_x0000_s19458"/>
                </a:ext>
                <a:ext uri="{FF2B5EF4-FFF2-40B4-BE49-F238E27FC236}">
                  <a16:creationId xmlns:a16="http://schemas.microsoft.com/office/drawing/2014/main" id="{00000000-0008-0000-1100-0000024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28574</xdr:colOff>
          <xdr:row>1</xdr:row>
          <xdr:rowOff>19050</xdr:rowOff>
        </xdr:from>
        <xdr:to>
          <xdr:col>2</xdr:col>
          <xdr:colOff>0</xdr:colOff>
          <xdr:row>2</xdr:row>
          <xdr:rowOff>1525</xdr:rowOff>
        </xdr:to>
        <xdr:pic>
          <xdr:nvPicPr>
            <xdr:cNvPr id="2" name="Picture 1">
              <a:extLst>
                <a:ext uri="{FF2B5EF4-FFF2-40B4-BE49-F238E27FC236}">
                  <a16:creationId xmlns:a16="http://schemas.microsoft.com/office/drawing/2014/main" id="{00000000-0008-0000-0100-000002000000}"/>
                </a:ext>
              </a:extLst>
            </xdr:cNvPr>
            <xdr:cNvPicPr>
              <a:picLocks noChangeAspect="1"/>
              <a:extLst>
                <a:ext uri="{84589F7E-364E-4C9E-8A38-B11213B215E9}">
                  <a14:cameraTool cellRange="Flags" spid="_x0000_s116618"/>
                </a:ext>
              </a:extLst>
            </xdr:cNvPicPr>
          </xdr:nvPicPr>
          <xdr:blipFill>
            <a:blip xmlns:r="http://schemas.openxmlformats.org/officeDocument/2006/relationships" r:embed="rId1"/>
            <a:stretch>
              <a:fillRect/>
            </a:stretch>
          </xdr:blipFill>
          <xdr:spPr>
            <a:xfrm>
              <a:off x="2409824" y="523875"/>
              <a:ext cx="685801" cy="420625"/>
            </a:xfrm>
            <a:prstGeom prst="rect">
              <a:avLst/>
            </a:prstGeom>
          </xdr:spPr>
        </xdr:pic>
        <xdr:clientData/>
      </xdr:twoCellAnchor>
    </mc:Choice>
    <mc:Fallback/>
  </mc:AlternateContent>
  <xdr:twoCellAnchor>
    <xdr:from>
      <xdr:col>3</xdr:col>
      <xdr:colOff>342898</xdr:colOff>
      <xdr:row>0</xdr:row>
      <xdr:rowOff>171449</xdr:rowOff>
    </xdr:from>
    <xdr:to>
      <xdr:col>6</xdr:col>
      <xdr:colOff>57149</xdr:colOff>
      <xdr:row>1</xdr:row>
      <xdr:rowOff>304800</xdr:rowOff>
    </xdr:to>
    <xdr:sp macro="" textlink="'Translation Table'!$H$35">
      <xdr:nvSpPr>
        <xdr:cNvPr id="4" name="Arrow: Right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6515098" y="171449"/>
          <a:ext cx="1543051" cy="638176"/>
        </a:xfrm>
        <a:prstGeom prst="rightArrow">
          <a:avLst/>
        </a:prstGeom>
        <a:solidFill>
          <a:srgbClr val="00A9B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190500</xdr:colOff>
      <xdr:row>6</xdr:row>
      <xdr:rowOff>15240</xdr:rowOff>
    </xdr:from>
    <xdr:to>
      <xdr:col>5</xdr:col>
      <xdr:colOff>586740</xdr:colOff>
      <xdr:row>7</xdr:row>
      <xdr:rowOff>0</xdr:rowOff>
    </xdr:to>
    <xdr:sp macro="" textlink="'Translation Table'!$H$34">
      <xdr:nvSpPr>
        <xdr:cNvPr id="3" name="Arrow: Right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5200650" y="1377315"/>
          <a:ext cx="1005840" cy="394335"/>
        </a:xfrm>
        <a:prstGeom prst="rightArrow">
          <a:avLst/>
        </a:prstGeom>
        <a:solidFill>
          <a:srgbClr val="00A9B5"/>
        </a:solidFill>
        <a:ln>
          <a:no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B46F0112-3B6D-4AB2-AB8B-620D3112D5E9}" type="TxLink">
            <a:rPr lang="en-US" altLang="ja-JP" sz="1100" b="0" i="0" u="none" strike="noStrike">
              <a:solidFill>
                <a:srgbClr val="000000"/>
              </a:solidFill>
              <a:latin typeface="Calibri"/>
              <a:cs typeface="Calibri"/>
            </a:rPr>
            <a:pPr algn="l"/>
            <a:t>Go To Sheet</a:t>
          </a:fld>
          <a:endParaRPr lang="sr-Cyrl-RS" sz="1100">
            <a:solidFill>
              <a:sysClr val="windowText" lastClr="000000"/>
            </a:solidFill>
            <a:latin typeface="Arial Narrow" panose="020B0606020202030204" pitchFamily="34" charset="0"/>
            <a:cs typeface="Calibri" panose="020F0502020204030204" pitchFamily="34" charset="0"/>
          </a:endParaRPr>
        </a:p>
      </xdr:txBody>
    </xdr:sp>
    <xdr:clientData/>
  </xdr:twoCellAnchor>
  <xdr:twoCellAnchor>
    <xdr:from>
      <xdr:col>4</xdr:col>
      <xdr:colOff>198120</xdr:colOff>
      <xdr:row>9</xdr:row>
      <xdr:rowOff>198120</xdr:rowOff>
    </xdr:from>
    <xdr:to>
      <xdr:col>5</xdr:col>
      <xdr:colOff>594360</xdr:colOff>
      <xdr:row>9</xdr:row>
      <xdr:rowOff>586740</xdr:rowOff>
    </xdr:to>
    <xdr:sp macro="" textlink="'Translation Table'!$H$34">
      <xdr:nvSpPr>
        <xdr:cNvPr id="4" name="Arrow: Right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5208270" y="3512820"/>
          <a:ext cx="1005840" cy="388620"/>
        </a:xfrm>
        <a:prstGeom prst="rightArrow">
          <a:avLst/>
        </a:prstGeom>
        <a:solidFill>
          <a:srgbClr val="0070C0"/>
        </a:solidFill>
        <a:ln>
          <a:no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B46F0112-3B6D-4AB2-AB8B-620D3112D5E9}" type="TxLink">
            <a:rPr lang="en-US" altLang="ja-JP" sz="1100" b="0" i="0" u="none" strike="noStrike">
              <a:solidFill>
                <a:srgbClr val="000000"/>
              </a:solidFill>
              <a:latin typeface="Calibri"/>
              <a:cs typeface="Calibri"/>
            </a:rPr>
            <a:pPr algn="l"/>
            <a:t>Go To Sheet</a:t>
          </a:fld>
          <a:endParaRPr lang="sr-Cyrl-RS" sz="1100">
            <a:solidFill>
              <a:sysClr val="windowText" lastClr="000000"/>
            </a:solidFill>
            <a:latin typeface="Arial Narrow" panose="020B0606020202030204" pitchFamily="34" charset="0"/>
            <a:cs typeface="Calibri" panose="020F0502020204030204" pitchFamily="34" charset="0"/>
          </a:endParaRPr>
        </a:p>
      </xdr:txBody>
    </xdr:sp>
    <xdr:clientData/>
  </xdr:twoCellAnchor>
  <xdr:twoCellAnchor>
    <xdr:from>
      <xdr:col>4</xdr:col>
      <xdr:colOff>190500</xdr:colOff>
      <xdr:row>7</xdr:row>
      <xdr:rowOff>0</xdr:rowOff>
    </xdr:from>
    <xdr:to>
      <xdr:col>5</xdr:col>
      <xdr:colOff>586740</xdr:colOff>
      <xdr:row>8</xdr:row>
      <xdr:rowOff>0</xdr:rowOff>
    </xdr:to>
    <xdr:sp macro="" textlink="'Translation Table'!$H$34">
      <xdr:nvSpPr>
        <xdr:cNvPr id="6" name="Arrow: Right 5">
          <a:hlinkClick xmlns:r="http://schemas.openxmlformats.org/officeDocument/2006/relationships" r:id="rId3"/>
          <a:extLst>
            <a:ext uri="{FF2B5EF4-FFF2-40B4-BE49-F238E27FC236}">
              <a16:creationId xmlns:a16="http://schemas.microsoft.com/office/drawing/2014/main" id="{00000000-0008-0000-0200-000006000000}"/>
            </a:ext>
          </a:extLst>
        </xdr:cNvPr>
        <xdr:cNvSpPr/>
      </xdr:nvSpPr>
      <xdr:spPr>
        <a:xfrm>
          <a:off x="5200650" y="1771650"/>
          <a:ext cx="1005840" cy="388620"/>
        </a:xfrm>
        <a:prstGeom prst="rightArrow">
          <a:avLst/>
        </a:prstGeom>
        <a:solidFill>
          <a:srgbClr val="00C698"/>
        </a:solidFill>
        <a:ln>
          <a:no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B46F0112-3B6D-4AB2-AB8B-620D3112D5E9}" type="TxLink">
            <a:rPr lang="en-US" altLang="ja-JP" sz="1100" b="0" i="0" u="none" strike="noStrike">
              <a:solidFill>
                <a:srgbClr val="000000"/>
              </a:solidFill>
              <a:latin typeface="Calibri"/>
              <a:cs typeface="Calibri"/>
            </a:rPr>
            <a:pPr algn="l"/>
            <a:t>Go To Sheet</a:t>
          </a:fld>
          <a:endParaRPr lang="sr-Cyrl-RS" sz="1100">
            <a:solidFill>
              <a:sysClr val="windowText" lastClr="000000"/>
            </a:solidFill>
            <a:latin typeface="Arial Narrow" panose="020B0606020202030204" pitchFamily="34" charset="0"/>
            <a:cs typeface="Calibri" panose="020F0502020204030204" pitchFamily="34" charset="0"/>
          </a:endParaRPr>
        </a:p>
      </xdr:txBody>
    </xdr:sp>
    <xdr:clientData/>
  </xdr:twoCellAnchor>
  <xdr:twoCellAnchor>
    <xdr:from>
      <xdr:col>4</xdr:col>
      <xdr:colOff>205740</xdr:colOff>
      <xdr:row>8</xdr:row>
      <xdr:rowOff>0</xdr:rowOff>
    </xdr:from>
    <xdr:to>
      <xdr:col>5</xdr:col>
      <xdr:colOff>601980</xdr:colOff>
      <xdr:row>8</xdr:row>
      <xdr:rowOff>388620</xdr:rowOff>
    </xdr:to>
    <xdr:sp macro="" textlink="'Translation Table'!$H$34">
      <xdr:nvSpPr>
        <xdr:cNvPr id="8" name="Arrow: Right 7">
          <a:hlinkClick xmlns:r="http://schemas.openxmlformats.org/officeDocument/2006/relationships" r:id="rId4"/>
          <a:extLst>
            <a:ext uri="{FF2B5EF4-FFF2-40B4-BE49-F238E27FC236}">
              <a16:creationId xmlns:a16="http://schemas.microsoft.com/office/drawing/2014/main" id="{00000000-0008-0000-0200-000008000000}"/>
            </a:ext>
          </a:extLst>
        </xdr:cNvPr>
        <xdr:cNvSpPr/>
      </xdr:nvSpPr>
      <xdr:spPr>
        <a:xfrm>
          <a:off x="5215890" y="2533650"/>
          <a:ext cx="1005840" cy="388620"/>
        </a:xfrm>
        <a:prstGeom prst="rightArrow">
          <a:avLst/>
        </a:prstGeom>
        <a:solidFill>
          <a:srgbClr val="00C698"/>
        </a:solidFill>
        <a:ln>
          <a:no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B46F0112-3B6D-4AB2-AB8B-620D3112D5E9}" type="TxLink">
            <a:rPr lang="en-US" altLang="ja-JP" sz="1100" b="0" i="0" u="none" strike="noStrike">
              <a:solidFill>
                <a:srgbClr val="000000"/>
              </a:solidFill>
              <a:latin typeface="Calibri"/>
              <a:cs typeface="Calibri"/>
            </a:rPr>
            <a:pPr algn="l"/>
            <a:t>Go To Sheet</a:t>
          </a:fld>
          <a:endParaRPr lang="sr-Cyrl-RS" sz="1100">
            <a:solidFill>
              <a:sysClr val="windowText" lastClr="000000"/>
            </a:solidFill>
            <a:latin typeface="Arial Narrow" panose="020B0606020202030204" pitchFamily="34" charset="0"/>
            <a:cs typeface="Calibri" panose="020F0502020204030204" pitchFamily="34" charset="0"/>
          </a:endParaRPr>
        </a:p>
      </xdr:txBody>
    </xdr:sp>
    <xdr:clientData/>
  </xdr:twoCellAnchor>
  <xdr:twoCellAnchor>
    <xdr:from>
      <xdr:col>4</xdr:col>
      <xdr:colOff>158115</xdr:colOff>
      <xdr:row>10</xdr:row>
      <xdr:rowOff>1809750</xdr:rowOff>
    </xdr:from>
    <xdr:to>
      <xdr:col>5</xdr:col>
      <xdr:colOff>554355</xdr:colOff>
      <xdr:row>10</xdr:row>
      <xdr:rowOff>2198370</xdr:rowOff>
    </xdr:to>
    <xdr:sp macro="" textlink="'Translation Table'!$H$34">
      <xdr:nvSpPr>
        <xdr:cNvPr id="2" name="Arrow: Right 1">
          <a:hlinkClick xmlns:r="http://schemas.openxmlformats.org/officeDocument/2006/relationships" r:id="rId5"/>
          <a:extLst>
            <a:ext uri="{FF2B5EF4-FFF2-40B4-BE49-F238E27FC236}">
              <a16:creationId xmlns:a16="http://schemas.microsoft.com/office/drawing/2014/main" id="{00000000-0008-0000-0200-000002000000}"/>
            </a:ext>
          </a:extLst>
        </xdr:cNvPr>
        <xdr:cNvSpPr/>
      </xdr:nvSpPr>
      <xdr:spPr>
        <a:xfrm>
          <a:off x="5168265" y="5162550"/>
          <a:ext cx="1005840" cy="388620"/>
        </a:xfrm>
        <a:prstGeom prst="rightArrow">
          <a:avLst/>
        </a:prstGeom>
        <a:solidFill>
          <a:srgbClr val="00C698"/>
        </a:solidFill>
        <a:ln>
          <a:no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B46F0112-3B6D-4AB2-AB8B-620D3112D5E9}" type="TxLink">
            <a:rPr lang="en-US" altLang="ja-JP" sz="1100" b="0" i="0" u="none" strike="noStrike">
              <a:solidFill>
                <a:srgbClr val="000000"/>
              </a:solidFill>
              <a:latin typeface="Calibri"/>
              <a:cs typeface="Calibri"/>
            </a:rPr>
            <a:pPr algn="l"/>
            <a:t>Go To Sheet</a:t>
          </a:fld>
          <a:endParaRPr lang="sr-Cyrl-RS" sz="1100">
            <a:solidFill>
              <a:sysClr val="windowText" lastClr="000000"/>
            </a:solidFill>
            <a:latin typeface="Arial Narrow" panose="020B0606020202030204" pitchFamily="34" charset="0"/>
            <a:cs typeface="Calibri" panose="020F0502020204030204" pitchFamily="34" charset="0"/>
          </a:endParaRPr>
        </a:p>
      </xdr:txBody>
    </xdr:sp>
    <xdr:clientData/>
  </xdr:twoCellAnchor>
  <xdr:twoCellAnchor>
    <xdr:from>
      <xdr:col>4</xdr:col>
      <xdr:colOff>158115</xdr:colOff>
      <xdr:row>11</xdr:row>
      <xdr:rowOff>638175</xdr:rowOff>
    </xdr:from>
    <xdr:to>
      <xdr:col>5</xdr:col>
      <xdr:colOff>554355</xdr:colOff>
      <xdr:row>11</xdr:row>
      <xdr:rowOff>1026795</xdr:rowOff>
    </xdr:to>
    <xdr:sp macro="" textlink="'Translation Table'!$H$34">
      <xdr:nvSpPr>
        <xdr:cNvPr id="5" name="Arrow: Right 4">
          <a:hlinkClick xmlns:r="http://schemas.openxmlformats.org/officeDocument/2006/relationships" r:id="rId6"/>
          <a:extLst>
            <a:ext uri="{FF2B5EF4-FFF2-40B4-BE49-F238E27FC236}">
              <a16:creationId xmlns:a16="http://schemas.microsoft.com/office/drawing/2014/main" id="{00000000-0008-0000-0200-000005000000}"/>
            </a:ext>
          </a:extLst>
        </xdr:cNvPr>
        <xdr:cNvSpPr/>
      </xdr:nvSpPr>
      <xdr:spPr>
        <a:xfrm>
          <a:off x="5168265" y="7991475"/>
          <a:ext cx="1005840" cy="388620"/>
        </a:xfrm>
        <a:prstGeom prst="rightArrow">
          <a:avLst/>
        </a:prstGeom>
        <a:solidFill>
          <a:srgbClr val="00C698"/>
        </a:solidFill>
        <a:ln>
          <a:no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B46F0112-3B6D-4AB2-AB8B-620D3112D5E9}" type="TxLink">
            <a:rPr lang="en-US" altLang="ja-JP" sz="1100" b="0" i="0" u="none" strike="noStrike">
              <a:solidFill>
                <a:srgbClr val="000000"/>
              </a:solidFill>
              <a:latin typeface="Calibri"/>
              <a:cs typeface="Calibri"/>
            </a:rPr>
            <a:pPr algn="l"/>
            <a:t>Go To Sheet</a:t>
          </a:fld>
          <a:endParaRPr lang="sr-Cyrl-RS" sz="1100">
            <a:solidFill>
              <a:sysClr val="windowText" lastClr="000000"/>
            </a:solidFill>
            <a:latin typeface="Arial Narrow" panose="020B0606020202030204" pitchFamily="34" charset="0"/>
            <a:cs typeface="Calibri" panose="020F050202020403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15</xdr:row>
      <xdr:rowOff>0</xdr:rowOff>
    </xdr:from>
    <xdr:to>
      <xdr:col>16</xdr:col>
      <xdr:colOff>0</xdr:colOff>
      <xdr:row>42</xdr:row>
      <xdr:rowOff>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266700</xdr:colOff>
      <xdr:row>1</xdr:row>
      <xdr:rowOff>152400</xdr:rowOff>
    </xdr:from>
    <xdr:to>
      <xdr:col>15</xdr:col>
      <xdr:colOff>523876</xdr:colOff>
      <xdr:row>3</xdr:row>
      <xdr:rowOff>180975</xdr:rowOff>
    </xdr:to>
    <xdr:sp macro="" textlink="'Translation Table'!$H$35">
      <xdr:nvSpPr>
        <xdr:cNvPr id="7" name="Arrow: Right 6">
          <a:hlinkClick xmlns:r="http://schemas.openxmlformats.org/officeDocument/2006/relationships" r:id="rId2"/>
          <a:extLst>
            <a:ext uri="{FF2B5EF4-FFF2-40B4-BE49-F238E27FC236}">
              <a16:creationId xmlns:a16="http://schemas.microsoft.com/office/drawing/2014/main" id="{00000000-0008-0000-0300-000007000000}"/>
            </a:ext>
          </a:extLst>
        </xdr:cNvPr>
        <xdr:cNvSpPr/>
      </xdr:nvSpPr>
      <xdr:spPr>
        <a:xfrm>
          <a:off x="7572375" y="504825"/>
          <a:ext cx="1381126" cy="428625"/>
        </a:xfrm>
        <a:prstGeom prst="rightArrow">
          <a:avLst/>
        </a:prstGeom>
        <a:solidFill>
          <a:srgbClr val="00A9B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0</xdr:col>
          <xdr:colOff>190500</xdr:colOff>
          <xdr:row>12</xdr:row>
          <xdr:rowOff>165100</xdr:rowOff>
        </xdr:to>
        <xdr:sp macro="" textlink="">
          <xdr:nvSpPr>
            <xdr:cNvPr id="67585" name="Option Button 1" hidden="1">
              <a:extLst>
                <a:ext uri="{63B3BB69-23CF-44E3-9099-C40C66FF867C}">
                  <a14:compatExt spid="_x0000_s67585"/>
                </a:ext>
                <a:ext uri="{FF2B5EF4-FFF2-40B4-BE49-F238E27FC236}">
                  <a16:creationId xmlns:a16="http://schemas.microsoft.com/office/drawing/2014/main" id="{00000000-0008-0000-0300-00000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2</xdr:col>
          <xdr:colOff>190500</xdr:colOff>
          <xdr:row>12</xdr:row>
          <xdr:rowOff>165100</xdr:rowOff>
        </xdr:to>
        <xdr:sp macro="" textlink="">
          <xdr:nvSpPr>
            <xdr:cNvPr id="67586" name="Option Button 2" hidden="1">
              <a:extLst>
                <a:ext uri="{63B3BB69-23CF-44E3-9099-C40C66FF867C}">
                  <a14:compatExt spid="_x0000_s67586"/>
                </a:ext>
                <a:ext uri="{FF2B5EF4-FFF2-40B4-BE49-F238E27FC236}">
                  <a16:creationId xmlns:a16="http://schemas.microsoft.com/office/drawing/2014/main" id="{00000000-0008-0000-0300-00000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4</xdr:col>
          <xdr:colOff>190500</xdr:colOff>
          <xdr:row>12</xdr:row>
          <xdr:rowOff>165100</xdr:rowOff>
        </xdr:to>
        <xdr:sp macro="" textlink="">
          <xdr:nvSpPr>
            <xdr:cNvPr id="67587" name="Option Button 3" hidden="1">
              <a:extLst>
                <a:ext uri="{63B3BB69-23CF-44E3-9099-C40C66FF867C}">
                  <a14:compatExt spid="_x0000_s67587"/>
                </a:ext>
                <a:ext uri="{FF2B5EF4-FFF2-40B4-BE49-F238E27FC236}">
                  <a16:creationId xmlns:a16="http://schemas.microsoft.com/office/drawing/2014/main" id="{00000000-0008-0000-0300-00000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xdr:row>
          <xdr:rowOff>0</xdr:rowOff>
        </xdr:from>
        <xdr:to>
          <xdr:col>6</xdr:col>
          <xdr:colOff>190500</xdr:colOff>
          <xdr:row>12</xdr:row>
          <xdr:rowOff>165100</xdr:rowOff>
        </xdr:to>
        <xdr:sp macro="" textlink="">
          <xdr:nvSpPr>
            <xdr:cNvPr id="67588" name="Option Button 4" hidden="1">
              <a:extLst>
                <a:ext uri="{63B3BB69-23CF-44E3-9099-C40C66FF867C}">
                  <a14:compatExt spid="_x0000_s67588"/>
                </a:ext>
                <a:ext uri="{FF2B5EF4-FFF2-40B4-BE49-F238E27FC236}">
                  <a16:creationId xmlns:a16="http://schemas.microsoft.com/office/drawing/2014/main" id="{00000000-0008-0000-0300-00000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8</xdr:col>
          <xdr:colOff>190500</xdr:colOff>
          <xdr:row>12</xdr:row>
          <xdr:rowOff>165100</xdr:rowOff>
        </xdr:to>
        <xdr:sp macro="" textlink="">
          <xdr:nvSpPr>
            <xdr:cNvPr id="67589" name="Option Button 5" hidden="1">
              <a:extLst>
                <a:ext uri="{63B3BB69-23CF-44E3-9099-C40C66FF867C}">
                  <a14:compatExt spid="_x0000_s67589"/>
                </a:ext>
                <a:ext uri="{FF2B5EF4-FFF2-40B4-BE49-F238E27FC236}">
                  <a16:creationId xmlns:a16="http://schemas.microsoft.com/office/drawing/2014/main" id="{00000000-0008-0000-0300-00000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10</xdr:col>
          <xdr:colOff>190500</xdr:colOff>
          <xdr:row>12</xdr:row>
          <xdr:rowOff>165100</xdr:rowOff>
        </xdr:to>
        <xdr:sp macro="" textlink="">
          <xdr:nvSpPr>
            <xdr:cNvPr id="67590" name="Option Button 6" hidden="1">
              <a:extLst>
                <a:ext uri="{63B3BB69-23CF-44E3-9099-C40C66FF867C}">
                  <a14:compatExt spid="_x0000_s67590"/>
                </a:ext>
                <a:ext uri="{FF2B5EF4-FFF2-40B4-BE49-F238E27FC236}">
                  <a16:creationId xmlns:a16="http://schemas.microsoft.com/office/drawing/2014/main" id="{00000000-0008-0000-0300-00000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12</xdr:col>
          <xdr:colOff>190500</xdr:colOff>
          <xdr:row>12</xdr:row>
          <xdr:rowOff>165100</xdr:rowOff>
        </xdr:to>
        <xdr:sp macro="" textlink="">
          <xdr:nvSpPr>
            <xdr:cNvPr id="67591" name="Option Button 7" hidden="1">
              <a:extLst>
                <a:ext uri="{63B3BB69-23CF-44E3-9099-C40C66FF867C}">
                  <a14:compatExt spid="_x0000_s67591"/>
                </a:ext>
                <a:ext uri="{FF2B5EF4-FFF2-40B4-BE49-F238E27FC236}">
                  <a16:creationId xmlns:a16="http://schemas.microsoft.com/office/drawing/2014/main" id="{00000000-0008-0000-0300-00000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xdr:row>
          <xdr:rowOff>0</xdr:rowOff>
        </xdr:from>
        <xdr:to>
          <xdr:col>14</xdr:col>
          <xdr:colOff>190500</xdr:colOff>
          <xdr:row>12</xdr:row>
          <xdr:rowOff>165100</xdr:rowOff>
        </xdr:to>
        <xdr:sp macro="" textlink="">
          <xdr:nvSpPr>
            <xdr:cNvPr id="67592" name="Option Button 8" hidden="1">
              <a:extLst>
                <a:ext uri="{63B3BB69-23CF-44E3-9099-C40C66FF867C}">
                  <a14:compatExt spid="_x0000_s67592"/>
                </a:ext>
                <a:ext uri="{FF2B5EF4-FFF2-40B4-BE49-F238E27FC236}">
                  <a16:creationId xmlns:a16="http://schemas.microsoft.com/office/drawing/2014/main" id="{00000000-0008-0000-0300-000008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19050</xdr:colOff>
      <xdr:row>10</xdr:row>
      <xdr:rowOff>28575</xdr:rowOff>
    </xdr:from>
    <xdr:to>
      <xdr:col>18</xdr:col>
      <xdr:colOff>1666875</xdr:colOff>
      <xdr:row>11</xdr:row>
      <xdr:rowOff>19050</xdr:rowOff>
    </xdr:to>
    <xdr:sp macro="" textlink="">
      <xdr:nvSpPr>
        <xdr:cNvPr id="2" name="Rectangle 1">
          <a:hlinkClick xmlns:r="http://schemas.openxmlformats.org/officeDocument/2006/relationships" r:id="rId3"/>
          <a:extLst>
            <a:ext uri="{FF2B5EF4-FFF2-40B4-BE49-F238E27FC236}">
              <a16:creationId xmlns:a16="http://schemas.microsoft.com/office/drawing/2014/main" id="{00000000-0008-0000-0300-000002000000}"/>
            </a:ext>
          </a:extLst>
        </xdr:cNvPr>
        <xdr:cNvSpPr/>
      </xdr:nvSpPr>
      <xdr:spPr>
        <a:xfrm>
          <a:off x="12039600" y="381000"/>
          <a:ext cx="1647825" cy="190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18</xdr:col>
      <xdr:colOff>19050</xdr:colOff>
      <xdr:row>11</xdr:row>
      <xdr:rowOff>9525</xdr:rowOff>
    </xdr:from>
    <xdr:to>
      <xdr:col>18</xdr:col>
      <xdr:colOff>2228850</xdr:colOff>
      <xdr:row>11</xdr:row>
      <xdr:rowOff>180975</xdr:rowOff>
    </xdr:to>
    <xdr:sp macro="" textlink="">
      <xdr:nvSpPr>
        <xdr:cNvPr id="4" name="Rectangle 3">
          <a:hlinkClick xmlns:r="http://schemas.openxmlformats.org/officeDocument/2006/relationships" r:id="rId4"/>
          <a:extLst>
            <a:ext uri="{FF2B5EF4-FFF2-40B4-BE49-F238E27FC236}">
              <a16:creationId xmlns:a16="http://schemas.microsoft.com/office/drawing/2014/main" id="{00000000-0008-0000-0300-000004000000}"/>
            </a:ext>
          </a:extLst>
        </xdr:cNvPr>
        <xdr:cNvSpPr/>
      </xdr:nvSpPr>
      <xdr:spPr>
        <a:xfrm>
          <a:off x="12039600" y="561975"/>
          <a:ext cx="220980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390525</xdr:colOff>
      <xdr:row>20</xdr:row>
      <xdr:rowOff>123825</xdr:rowOff>
    </xdr:from>
    <xdr:to>
      <xdr:col>12</xdr:col>
      <xdr:colOff>323850</xdr:colOff>
      <xdr:row>21</xdr:row>
      <xdr:rowOff>123825</xdr:rowOff>
    </xdr:to>
    <xdr:sp macro="" textlink="">
      <xdr:nvSpPr>
        <xdr:cNvPr id="5" name="Rectangle 4">
          <a:hlinkClick xmlns:r="http://schemas.openxmlformats.org/officeDocument/2006/relationships" r:id="rId5"/>
          <a:extLst>
            <a:ext uri="{FF2B5EF4-FFF2-40B4-BE49-F238E27FC236}">
              <a16:creationId xmlns:a16="http://schemas.microsoft.com/office/drawing/2014/main" id="{00000000-0008-0000-0300-000005000000}"/>
            </a:ext>
          </a:extLst>
        </xdr:cNvPr>
        <xdr:cNvSpPr/>
      </xdr:nvSpPr>
      <xdr:spPr>
        <a:xfrm>
          <a:off x="6619875" y="2514600"/>
          <a:ext cx="1057275" cy="2095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371475</xdr:colOff>
      <xdr:row>22</xdr:row>
      <xdr:rowOff>104775</xdr:rowOff>
    </xdr:from>
    <xdr:to>
      <xdr:col>12</xdr:col>
      <xdr:colOff>371475</xdr:colOff>
      <xdr:row>23</xdr:row>
      <xdr:rowOff>133350</xdr:rowOff>
    </xdr:to>
    <xdr:sp macro="" textlink="">
      <xdr:nvSpPr>
        <xdr:cNvPr id="6" name="Rectangle 5">
          <a:hlinkClick xmlns:r="http://schemas.openxmlformats.org/officeDocument/2006/relationships" r:id="rId6"/>
          <a:extLst>
            <a:ext uri="{FF2B5EF4-FFF2-40B4-BE49-F238E27FC236}">
              <a16:creationId xmlns:a16="http://schemas.microsoft.com/office/drawing/2014/main" id="{00000000-0008-0000-0300-000006000000}"/>
            </a:ext>
          </a:extLst>
        </xdr:cNvPr>
        <xdr:cNvSpPr/>
      </xdr:nvSpPr>
      <xdr:spPr>
        <a:xfrm>
          <a:off x="6600825" y="2914650"/>
          <a:ext cx="1123950" cy="2381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371475</xdr:colOff>
      <xdr:row>25</xdr:row>
      <xdr:rowOff>76200</xdr:rowOff>
    </xdr:from>
    <xdr:to>
      <xdr:col>14</xdr:col>
      <xdr:colOff>123825</xdr:colOff>
      <xdr:row>26</xdr:row>
      <xdr:rowOff>85725</xdr:rowOff>
    </xdr:to>
    <xdr:sp macro="" textlink="">
      <xdr:nvSpPr>
        <xdr:cNvPr id="8" name="Rectangle 7">
          <a:hlinkClick xmlns:r="http://schemas.openxmlformats.org/officeDocument/2006/relationships" r:id="rId7"/>
          <a:extLst>
            <a:ext uri="{FF2B5EF4-FFF2-40B4-BE49-F238E27FC236}">
              <a16:creationId xmlns:a16="http://schemas.microsoft.com/office/drawing/2014/main" id="{00000000-0008-0000-0300-000008000000}"/>
            </a:ext>
          </a:extLst>
        </xdr:cNvPr>
        <xdr:cNvSpPr/>
      </xdr:nvSpPr>
      <xdr:spPr>
        <a:xfrm>
          <a:off x="6600825" y="3305175"/>
          <a:ext cx="2000250" cy="2190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371475</xdr:colOff>
      <xdr:row>27</xdr:row>
      <xdr:rowOff>38100</xdr:rowOff>
    </xdr:from>
    <xdr:to>
      <xdr:col>13</xdr:col>
      <xdr:colOff>257175</xdr:colOff>
      <xdr:row>28</xdr:row>
      <xdr:rowOff>95250</xdr:rowOff>
    </xdr:to>
    <xdr:sp macro="" textlink="">
      <xdr:nvSpPr>
        <xdr:cNvPr id="9" name="Rectangle 8">
          <a:hlinkClick xmlns:r="http://schemas.openxmlformats.org/officeDocument/2006/relationships" r:id="rId8"/>
          <a:extLst>
            <a:ext uri="{FF2B5EF4-FFF2-40B4-BE49-F238E27FC236}">
              <a16:creationId xmlns:a16="http://schemas.microsoft.com/office/drawing/2014/main" id="{00000000-0008-0000-0300-000009000000}"/>
            </a:ext>
          </a:extLst>
        </xdr:cNvPr>
        <xdr:cNvSpPr/>
      </xdr:nvSpPr>
      <xdr:spPr>
        <a:xfrm>
          <a:off x="6600825" y="3686175"/>
          <a:ext cx="1571625" cy="2667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371475</xdr:colOff>
      <xdr:row>29</xdr:row>
      <xdr:rowOff>28575</xdr:rowOff>
    </xdr:from>
    <xdr:to>
      <xdr:col>12</xdr:col>
      <xdr:colOff>428625</xdr:colOff>
      <xdr:row>30</xdr:row>
      <xdr:rowOff>38100</xdr:rowOff>
    </xdr:to>
    <xdr:sp macro="" textlink="">
      <xdr:nvSpPr>
        <xdr:cNvPr id="10" name="Rectangle 9">
          <a:hlinkClick xmlns:r="http://schemas.openxmlformats.org/officeDocument/2006/relationships" r:id="rId9"/>
          <a:extLst>
            <a:ext uri="{FF2B5EF4-FFF2-40B4-BE49-F238E27FC236}">
              <a16:creationId xmlns:a16="http://schemas.microsoft.com/office/drawing/2014/main" id="{00000000-0008-0000-0300-00000A000000}"/>
            </a:ext>
          </a:extLst>
        </xdr:cNvPr>
        <xdr:cNvSpPr/>
      </xdr:nvSpPr>
      <xdr:spPr>
        <a:xfrm>
          <a:off x="5991225" y="6096000"/>
          <a:ext cx="1181100" cy="2190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409575</xdr:colOff>
      <xdr:row>31</xdr:row>
      <xdr:rowOff>9525</xdr:rowOff>
    </xdr:from>
    <xdr:to>
      <xdr:col>12</xdr:col>
      <xdr:colOff>457200</xdr:colOff>
      <xdr:row>32</xdr:row>
      <xdr:rowOff>28575</xdr:rowOff>
    </xdr:to>
    <xdr:sp macro="" textlink="">
      <xdr:nvSpPr>
        <xdr:cNvPr id="11" name="Rectangle 10">
          <a:hlinkClick xmlns:r="http://schemas.openxmlformats.org/officeDocument/2006/relationships" r:id="rId10"/>
          <a:extLst>
            <a:ext uri="{FF2B5EF4-FFF2-40B4-BE49-F238E27FC236}">
              <a16:creationId xmlns:a16="http://schemas.microsoft.com/office/drawing/2014/main" id="{00000000-0008-0000-0300-00000B000000}"/>
            </a:ext>
          </a:extLst>
        </xdr:cNvPr>
        <xdr:cNvSpPr/>
      </xdr:nvSpPr>
      <xdr:spPr>
        <a:xfrm>
          <a:off x="6638925" y="4495800"/>
          <a:ext cx="1171575" cy="228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428625</xdr:colOff>
      <xdr:row>32</xdr:row>
      <xdr:rowOff>190500</xdr:rowOff>
    </xdr:from>
    <xdr:to>
      <xdr:col>12</xdr:col>
      <xdr:colOff>333375</xdr:colOff>
      <xdr:row>34</xdr:row>
      <xdr:rowOff>9525</xdr:rowOff>
    </xdr:to>
    <xdr:sp macro="" textlink="">
      <xdr:nvSpPr>
        <xdr:cNvPr id="12" name="Rectangle 11">
          <a:hlinkClick xmlns:r="http://schemas.openxmlformats.org/officeDocument/2006/relationships" r:id="rId11"/>
          <a:extLst>
            <a:ext uri="{FF2B5EF4-FFF2-40B4-BE49-F238E27FC236}">
              <a16:creationId xmlns:a16="http://schemas.microsoft.com/office/drawing/2014/main" id="{00000000-0008-0000-0300-00000C000000}"/>
            </a:ext>
          </a:extLst>
        </xdr:cNvPr>
        <xdr:cNvSpPr/>
      </xdr:nvSpPr>
      <xdr:spPr>
        <a:xfrm>
          <a:off x="6657975" y="4886325"/>
          <a:ext cx="1028700" cy="2381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419100</xdr:colOff>
      <xdr:row>34</xdr:row>
      <xdr:rowOff>161925</xdr:rowOff>
    </xdr:from>
    <xdr:to>
      <xdr:col>14</xdr:col>
      <xdr:colOff>57150</xdr:colOff>
      <xdr:row>35</xdr:row>
      <xdr:rowOff>200025</xdr:rowOff>
    </xdr:to>
    <xdr:sp macro="" textlink="">
      <xdr:nvSpPr>
        <xdr:cNvPr id="13" name="Rectangle 12">
          <a:hlinkClick xmlns:r="http://schemas.openxmlformats.org/officeDocument/2006/relationships" r:id="rId12"/>
          <a:extLst>
            <a:ext uri="{FF2B5EF4-FFF2-40B4-BE49-F238E27FC236}">
              <a16:creationId xmlns:a16="http://schemas.microsoft.com/office/drawing/2014/main" id="{00000000-0008-0000-0300-00000D000000}"/>
            </a:ext>
          </a:extLst>
        </xdr:cNvPr>
        <xdr:cNvSpPr/>
      </xdr:nvSpPr>
      <xdr:spPr>
        <a:xfrm>
          <a:off x="6648450" y="5276850"/>
          <a:ext cx="1885950"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409575</xdr:colOff>
      <xdr:row>36</xdr:row>
      <xdr:rowOff>133350</xdr:rowOff>
    </xdr:from>
    <xdr:to>
      <xdr:col>11</xdr:col>
      <xdr:colOff>533400</xdr:colOff>
      <xdr:row>37</xdr:row>
      <xdr:rowOff>133350</xdr:rowOff>
    </xdr:to>
    <xdr:sp macro="" textlink="">
      <xdr:nvSpPr>
        <xdr:cNvPr id="14" name="Rectangle 13">
          <a:hlinkClick xmlns:r="http://schemas.openxmlformats.org/officeDocument/2006/relationships" r:id="rId13"/>
          <a:extLst>
            <a:ext uri="{FF2B5EF4-FFF2-40B4-BE49-F238E27FC236}">
              <a16:creationId xmlns:a16="http://schemas.microsoft.com/office/drawing/2014/main" id="{00000000-0008-0000-0300-00000E000000}"/>
            </a:ext>
          </a:extLst>
        </xdr:cNvPr>
        <xdr:cNvSpPr/>
      </xdr:nvSpPr>
      <xdr:spPr>
        <a:xfrm>
          <a:off x="6638925" y="5667375"/>
          <a:ext cx="685800" cy="2095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409575</xdr:colOff>
      <xdr:row>38</xdr:row>
      <xdr:rowOff>114300</xdr:rowOff>
    </xdr:from>
    <xdr:to>
      <xdr:col>15</xdr:col>
      <xdr:colOff>114300</xdr:colOff>
      <xdr:row>39</xdr:row>
      <xdr:rowOff>142875</xdr:rowOff>
    </xdr:to>
    <xdr:sp macro="" textlink="">
      <xdr:nvSpPr>
        <xdr:cNvPr id="15" name="Rectangle 14">
          <a:hlinkClick xmlns:r="http://schemas.openxmlformats.org/officeDocument/2006/relationships" r:id="rId14"/>
          <a:extLst>
            <a:ext uri="{FF2B5EF4-FFF2-40B4-BE49-F238E27FC236}">
              <a16:creationId xmlns:a16="http://schemas.microsoft.com/office/drawing/2014/main" id="{00000000-0008-0000-0300-00000F000000}"/>
            </a:ext>
          </a:extLst>
        </xdr:cNvPr>
        <xdr:cNvSpPr/>
      </xdr:nvSpPr>
      <xdr:spPr>
        <a:xfrm>
          <a:off x="6638925" y="6067425"/>
          <a:ext cx="2514600" cy="2381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352425</xdr:colOff>
      <xdr:row>0</xdr:row>
      <xdr:rowOff>0</xdr:rowOff>
    </xdr:from>
    <xdr:to>
      <xdr:col>4</xdr:col>
      <xdr:colOff>161925</xdr:colOff>
      <xdr:row>2</xdr:row>
      <xdr:rowOff>85725</xdr:rowOff>
    </xdr:to>
    <xdr:sp macro="" textlink="'Translation Table'!$H$35">
      <xdr:nvSpPr>
        <xdr:cNvPr id="2" name="Arrow: Right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238875" y="0"/>
          <a:ext cx="1504950" cy="590550"/>
        </a:xfrm>
        <a:prstGeom prst="rightArrow">
          <a:avLst/>
        </a:prstGeom>
        <a:solidFill>
          <a:srgbClr val="00A9B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xdr:twoCellAnchor>
    <xdr:from>
      <xdr:col>10</xdr:col>
      <xdr:colOff>19050</xdr:colOff>
      <xdr:row>19</xdr:row>
      <xdr:rowOff>9525</xdr:rowOff>
    </xdr:from>
    <xdr:to>
      <xdr:col>10</xdr:col>
      <xdr:colOff>1666875</xdr:colOff>
      <xdr:row>19</xdr:row>
      <xdr:rowOff>200025</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400-000004000000}"/>
            </a:ext>
          </a:extLst>
        </xdr:cNvPr>
        <xdr:cNvSpPr/>
      </xdr:nvSpPr>
      <xdr:spPr>
        <a:xfrm>
          <a:off x="15525750" y="4162425"/>
          <a:ext cx="1647825" cy="190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9525</xdr:colOff>
      <xdr:row>19</xdr:row>
      <xdr:rowOff>209550</xdr:rowOff>
    </xdr:from>
    <xdr:to>
      <xdr:col>10</xdr:col>
      <xdr:colOff>2219325</xdr:colOff>
      <xdr:row>19</xdr:row>
      <xdr:rowOff>381000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400-000005000000}"/>
            </a:ext>
          </a:extLst>
        </xdr:cNvPr>
        <xdr:cNvSpPr/>
      </xdr:nvSpPr>
      <xdr:spPr>
        <a:xfrm>
          <a:off x="15516225" y="4362450"/>
          <a:ext cx="220980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20</xdr:row>
      <xdr:rowOff>9525</xdr:rowOff>
    </xdr:from>
    <xdr:to>
      <xdr:col>10</xdr:col>
      <xdr:colOff>1666875</xdr:colOff>
      <xdr:row>20</xdr:row>
      <xdr:rowOff>200025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5525750" y="4162425"/>
          <a:ext cx="1647825" cy="190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9525</xdr:colOff>
      <xdr:row>20</xdr:row>
      <xdr:rowOff>209550</xdr:rowOff>
    </xdr:from>
    <xdr:to>
      <xdr:col>10</xdr:col>
      <xdr:colOff>2219325</xdr:colOff>
      <xdr:row>20</xdr:row>
      <xdr:rowOff>381000</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00000000-0008-0000-0400-000006000000}"/>
            </a:ext>
          </a:extLst>
        </xdr:cNvPr>
        <xdr:cNvSpPr/>
      </xdr:nvSpPr>
      <xdr:spPr>
        <a:xfrm>
          <a:off x="15516225" y="4362450"/>
          <a:ext cx="220980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19</xdr:row>
      <xdr:rowOff>9525</xdr:rowOff>
    </xdr:from>
    <xdr:to>
      <xdr:col>10</xdr:col>
      <xdr:colOff>1666875</xdr:colOff>
      <xdr:row>19</xdr:row>
      <xdr:rowOff>200025</xdr:rowOff>
    </xdr:to>
    <xdr:sp macro="" textlink="">
      <xdr:nvSpPr>
        <xdr:cNvPr id="7" name="Rectangle 6">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15525750" y="4162425"/>
          <a:ext cx="1647825" cy="190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9525</xdr:colOff>
      <xdr:row>19</xdr:row>
      <xdr:rowOff>209550</xdr:rowOff>
    </xdr:from>
    <xdr:to>
      <xdr:col>10</xdr:col>
      <xdr:colOff>2219325</xdr:colOff>
      <xdr:row>19</xdr:row>
      <xdr:rowOff>381000</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15516225" y="4362450"/>
          <a:ext cx="220980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20</xdr:row>
      <xdr:rowOff>9525</xdr:rowOff>
    </xdr:from>
    <xdr:to>
      <xdr:col>10</xdr:col>
      <xdr:colOff>1666875</xdr:colOff>
      <xdr:row>20</xdr:row>
      <xdr:rowOff>200025</xdr:rowOff>
    </xdr:to>
    <xdr:sp macro="" textlink="">
      <xdr:nvSpPr>
        <xdr:cNvPr id="9" name="Rectangle 8">
          <a:hlinkClick xmlns:r="http://schemas.openxmlformats.org/officeDocument/2006/relationships" r:id="rId2"/>
          <a:extLst>
            <a:ext uri="{FF2B5EF4-FFF2-40B4-BE49-F238E27FC236}">
              <a16:creationId xmlns:a16="http://schemas.microsoft.com/office/drawing/2014/main" id="{00000000-0008-0000-0400-000009000000}"/>
            </a:ext>
          </a:extLst>
        </xdr:cNvPr>
        <xdr:cNvSpPr/>
      </xdr:nvSpPr>
      <xdr:spPr>
        <a:xfrm>
          <a:off x="15525750" y="4562475"/>
          <a:ext cx="1647825" cy="190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9525</xdr:colOff>
      <xdr:row>20</xdr:row>
      <xdr:rowOff>209550</xdr:rowOff>
    </xdr:from>
    <xdr:to>
      <xdr:col>10</xdr:col>
      <xdr:colOff>2219325</xdr:colOff>
      <xdr:row>20</xdr:row>
      <xdr:rowOff>381000</xdr:rowOff>
    </xdr:to>
    <xdr:sp macro="" textlink="">
      <xdr:nvSpPr>
        <xdr:cNvPr id="10" name="Rectangle 9">
          <a:hlinkClick xmlns:r="http://schemas.openxmlformats.org/officeDocument/2006/relationships" r:id="rId3"/>
          <a:extLst>
            <a:ext uri="{FF2B5EF4-FFF2-40B4-BE49-F238E27FC236}">
              <a16:creationId xmlns:a16="http://schemas.microsoft.com/office/drawing/2014/main" id="{00000000-0008-0000-0400-00000A000000}"/>
            </a:ext>
          </a:extLst>
        </xdr:cNvPr>
        <xdr:cNvSpPr/>
      </xdr:nvSpPr>
      <xdr:spPr>
        <a:xfrm>
          <a:off x="15516225" y="4762500"/>
          <a:ext cx="220980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28575</xdr:colOff>
      <xdr:row>24</xdr:row>
      <xdr:rowOff>66675</xdr:rowOff>
    </xdr:from>
    <xdr:to>
      <xdr:col>10</xdr:col>
      <xdr:colOff>1628775</xdr:colOff>
      <xdr:row>24</xdr:row>
      <xdr:rowOff>238125</xdr:rowOff>
    </xdr:to>
    <xdr:sp macro="" textlink="">
      <xdr:nvSpPr>
        <xdr:cNvPr id="11" name="Rectangle 10">
          <a:hlinkClick xmlns:r="http://schemas.openxmlformats.org/officeDocument/2006/relationships" r:id="rId4"/>
          <a:extLst>
            <a:ext uri="{FF2B5EF4-FFF2-40B4-BE49-F238E27FC236}">
              <a16:creationId xmlns:a16="http://schemas.microsoft.com/office/drawing/2014/main" id="{00000000-0008-0000-0400-00000B000000}"/>
            </a:ext>
          </a:extLst>
        </xdr:cNvPr>
        <xdr:cNvSpPr/>
      </xdr:nvSpPr>
      <xdr:spPr>
        <a:xfrm>
          <a:off x="15535275" y="5648325"/>
          <a:ext cx="160020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9525</xdr:colOff>
      <xdr:row>24</xdr:row>
      <xdr:rowOff>257175</xdr:rowOff>
    </xdr:from>
    <xdr:to>
      <xdr:col>10</xdr:col>
      <xdr:colOff>2333625</xdr:colOff>
      <xdr:row>24</xdr:row>
      <xdr:rowOff>438150</xdr:rowOff>
    </xdr:to>
    <xdr:sp macro="" textlink="">
      <xdr:nvSpPr>
        <xdr:cNvPr id="12" name="Rectangle 11">
          <a:hlinkClick xmlns:r="http://schemas.openxmlformats.org/officeDocument/2006/relationships" r:id="rId5"/>
          <a:extLst>
            <a:ext uri="{FF2B5EF4-FFF2-40B4-BE49-F238E27FC236}">
              <a16:creationId xmlns:a16="http://schemas.microsoft.com/office/drawing/2014/main" id="{00000000-0008-0000-0400-00000C000000}"/>
            </a:ext>
          </a:extLst>
        </xdr:cNvPr>
        <xdr:cNvSpPr/>
      </xdr:nvSpPr>
      <xdr:spPr>
        <a:xfrm>
          <a:off x="15516225" y="5838825"/>
          <a:ext cx="2324100" cy="1809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9525</xdr:colOff>
      <xdr:row>24</xdr:row>
      <xdr:rowOff>438150</xdr:rowOff>
    </xdr:from>
    <xdr:to>
      <xdr:col>10</xdr:col>
      <xdr:colOff>2038350</xdr:colOff>
      <xdr:row>24</xdr:row>
      <xdr:rowOff>619125</xdr:rowOff>
    </xdr:to>
    <xdr:sp macro="" textlink="">
      <xdr:nvSpPr>
        <xdr:cNvPr id="13" name="Rectangle 12">
          <a:hlinkClick xmlns:r="http://schemas.openxmlformats.org/officeDocument/2006/relationships" r:id="rId6"/>
          <a:extLst>
            <a:ext uri="{FF2B5EF4-FFF2-40B4-BE49-F238E27FC236}">
              <a16:creationId xmlns:a16="http://schemas.microsoft.com/office/drawing/2014/main" id="{00000000-0008-0000-0400-00000D000000}"/>
            </a:ext>
          </a:extLst>
        </xdr:cNvPr>
        <xdr:cNvSpPr/>
      </xdr:nvSpPr>
      <xdr:spPr>
        <a:xfrm>
          <a:off x="15516225" y="6019800"/>
          <a:ext cx="2028825" cy="1809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0</xdr:colOff>
      <xdr:row>24</xdr:row>
      <xdr:rowOff>638175</xdr:rowOff>
    </xdr:from>
    <xdr:to>
      <xdr:col>10</xdr:col>
      <xdr:colOff>2200275</xdr:colOff>
      <xdr:row>24</xdr:row>
      <xdr:rowOff>800100</xdr:rowOff>
    </xdr:to>
    <xdr:sp macro="" textlink="">
      <xdr:nvSpPr>
        <xdr:cNvPr id="14" name="Rectangle 13">
          <a:hlinkClick xmlns:r="http://schemas.openxmlformats.org/officeDocument/2006/relationships" r:id="rId7"/>
          <a:extLst>
            <a:ext uri="{FF2B5EF4-FFF2-40B4-BE49-F238E27FC236}">
              <a16:creationId xmlns:a16="http://schemas.microsoft.com/office/drawing/2014/main" id="{00000000-0008-0000-0400-00000E000000}"/>
            </a:ext>
          </a:extLst>
        </xdr:cNvPr>
        <xdr:cNvSpPr/>
      </xdr:nvSpPr>
      <xdr:spPr>
        <a:xfrm>
          <a:off x="15506700" y="6219825"/>
          <a:ext cx="2200275" cy="952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28</xdr:row>
      <xdr:rowOff>38100</xdr:rowOff>
    </xdr:from>
    <xdr:to>
      <xdr:col>10</xdr:col>
      <xdr:colOff>2581275</xdr:colOff>
      <xdr:row>28</xdr:row>
      <xdr:rowOff>228600</xdr:rowOff>
    </xdr:to>
    <xdr:sp macro="" textlink="">
      <xdr:nvSpPr>
        <xdr:cNvPr id="15" name="Rectangle 14">
          <a:hlinkClick xmlns:r="http://schemas.openxmlformats.org/officeDocument/2006/relationships" r:id="rId8"/>
          <a:extLst>
            <a:ext uri="{FF2B5EF4-FFF2-40B4-BE49-F238E27FC236}">
              <a16:creationId xmlns:a16="http://schemas.microsoft.com/office/drawing/2014/main" id="{00000000-0008-0000-0400-00000F000000}"/>
            </a:ext>
          </a:extLst>
        </xdr:cNvPr>
        <xdr:cNvSpPr/>
      </xdr:nvSpPr>
      <xdr:spPr>
        <a:xfrm>
          <a:off x="15525750" y="6772275"/>
          <a:ext cx="2562225" cy="190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28</xdr:row>
      <xdr:rowOff>238125</xdr:rowOff>
    </xdr:from>
    <xdr:to>
      <xdr:col>10</xdr:col>
      <xdr:colOff>3648075</xdr:colOff>
      <xdr:row>28</xdr:row>
      <xdr:rowOff>419100</xdr:rowOff>
    </xdr:to>
    <xdr:sp macro="" textlink="">
      <xdr:nvSpPr>
        <xdr:cNvPr id="16" name="Rectangle 15">
          <a:hlinkClick xmlns:r="http://schemas.openxmlformats.org/officeDocument/2006/relationships" r:id="rId9"/>
          <a:extLst>
            <a:ext uri="{FF2B5EF4-FFF2-40B4-BE49-F238E27FC236}">
              <a16:creationId xmlns:a16="http://schemas.microsoft.com/office/drawing/2014/main" id="{00000000-0008-0000-0400-000010000000}"/>
            </a:ext>
          </a:extLst>
        </xdr:cNvPr>
        <xdr:cNvSpPr/>
      </xdr:nvSpPr>
      <xdr:spPr>
        <a:xfrm>
          <a:off x="15525750" y="6972300"/>
          <a:ext cx="3629025" cy="1809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0</xdr:colOff>
      <xdr:row>28</xdr:row>
      <xdr:rowOff>428625</xdr:rowOff>
    </xdr:from>
    <xdr:to>
      <xdr:col>10</xdr:col>
      <xdr:colOff>1685925</xdr:colOff>
      <xdr:row>29</xdr:row>
      <xdr:rowOff>0</xdr:rowOff>
    </xdr:to>
    <xdr:sp macro="" textlink="">
      <xdr:nvSpPr>
        <xdr:cNvPr id="17" name="Rectangle 16">
          <a:hlinkClick xmlns:r="http://schemas.openxmlformats.org/officeDocument/2006/relationships" r:id="rId10"/>
          <a:extLst>
            <a:ext uri="{FF2B5EF4-FFF2-40B4-BE49-F238E27FC236}">
              <a16:creationId xmlns:a16="http://schemas.microsoft.com/office/drawing/2014/main" id="{00000000-0008-0000-0400-000011000000}"/>
            </a:ext>
          </a:extLst>
        </xdr:cNvPr>
        <xdr:cNvSpPr/>
      </xdr:nvSpPr>
      <xdr:spPr>
        <a:xfrm>
          <a:off x="15506700" y="7162800"/>
          <a:ext cx="1685925" cy="1809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30</xdr:row>
      <xdr:rowOff>76200</xdr:rowOff>
    </xdr:from>
    <xdr:to>
      <xdr:col>10</xdr:col>
      <xdr:colOff>1924050</xdr:colOff>
      <xdr:row>30</xdr:row>
      <xdr:rowOff>228600</xdr:rowOff>
    </xdr:to>
    <xdr:sp macro="" textlink="">
      <xdr:nvSpPr>
        <xdr:cNvPr id="18" name="Rectangle 17">
          <a:hlinkClick xmlns:r="http://schemas.openxmlformats.org/officeDocument/2006/relationships" r:id="rId11"/>
          <a:extLst>
            <a:ext uri="{FF2B5EF4-FFF2-40B4-BE49-F238E27FC236}">
              <a16:creationId xmlns:a16="http://schemas.microsoft.com/office/drawing/2014/main" id="{00000000-0008-0000-0400-000012000000}"/>
            </a:ext>
          </a:extLst>
        </xdr:cNvPr>
        <xdr:cNvSpPr/>
      </xdr:nvSpPr>
      <xdr:spPr>
        <a:xfrm>
          <a:off x="15525750" y="7629525"/>
          <a:ext cx="1905000"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9525</xdr:colOff>
      <xdr:row>30</xdr:row>
      <xdr:rowOff>266700</xdr:rowOff>
    </xdr:from>
    <xdr:to>
      <xdr:col>10</xdr:col>
      <xdr:colOff>2133600</xdr:colOff>
      <xdr:row>30</xdr:row>
      <xdr:rowOff>428625</xdr:rowOff>
    </xdr:to>
    <xdr:sp macro="" textlink="">
      <xdr:nvSpPr>
        <xdr:cNvPr id="19" name="Rectangle 18">
          <a:hlinkClick xmlns:r="http://schemas.openxmlformats.org/officeDocument/2006/relationships" r:id="rId12"/>
          <a:extLst>
            <a:ext uri="{FF2B5EF4-FFF2-40B4-BE49-F238E27FC236}">
              <a16:creationId xmlns:a16="http://schemas.microsoft.com/office/drawing/2014/main" id="{00000000-0008-0000-0400-000013000000}"/>
            </a:ext>
          </a:extLst>
        </xdr:cNvPr>
        <xdr:cNvSpPr/>
      </xdr:nvSpPr>
      <xdr:spPr>
        <a:xfrm>
          <a:off x="15516225" y="7820025"/>
          <a:ext cx="2124075" cy="1619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30</xdr:row>
      <xdr:rowOff>438150</xdr:rowOff>
    </xdr:from>
    <xdr:to>
      <xdr:col>10</xdr:col>
      <xdr:colOff>1943100</xdr:colOff>
      <xdr:row>30</xdr:row>
      <xdr:rowOff>600075</xdr:rowOff>
    </xdr:to>
    <xdr:sp macro="" textlink="">
      <xdr:nvSpPr>
        <xdr:cNvPr id="20" name="Rectangle 19">
          <a:hlinkClick xmlns:r="http://schemas.openxmlformats.org/officeDocument/2006/relationships" r:id="rId13"/>
          <a:extLst>
            <a:ext uri="{FF2B5EF4-FFF2-40B4-BE49-F238E27FC236}">
              <a16:creationId xmlns:a16="http://schemas.microsoft.com/office/drawing/2014/main" id="{00000000-0008-0000-0400-000014000000}"/>
            </a:ext>
          </a:extLst>
        </xdr:cNvPr>
        <xdr:cNvSpPr/>
      </xdr:nvSpPr>
      <xdr:spPr>
        <a:xfrm>
          <a:off x="15525750" y="7991475"/>
          <a:ext cx="1924050" cy="1619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32</xdr:row>
      <xdr:rowOff>28575</xdr:rowOff>
    </xdr:from>
    <xdr:to>
      <xdr:col>10</xdr:col>
      <xdr:colOff>1638300</xdr:colOff>
      <xdr:row>32</xdr:row>
      <xdr:rowOff>219075</xdr:rowOff>
    </xdr:to>
    <xdr:sp macro="" textlink="">
      <xdr:nvSpPr>
        <xdr:cNvPr id="21" name="Rectangle 20">
          <a:hlinkClick xmlns:r="http://schemas.openxmlformats.org/officeDocument/2006/relationships" r:id="rId14"/>
          <a:extLst>
            <a:ext uri="{FF2B5EF4-FFF2-40B4-BE49-F238E27FC236}">
              <a16:creationId xmlns:a16="http://schemas.microsoft.com/office/drawing/2014/main" id="{00000000-0008-0000-0400-000015000000}"/>
            </a:ext>
          </a:extLst>
        </xdr:cNvPr>
        <xdr:cNvSpPr/>
      </xdr:nvSpPr>
      <xdr:spPr>
        <a:xfrm>
          <a:off x="15525750" y="8401050"/>
          <a:ext cx="1619250" cy="190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32</xdr:row>
      <xdr:rowOff>219075</xdr:rowOff>
    </xdr:from>
    <xdr:to>
      <xdr:col>10</xdr:col>
      <xdr:colOff>1266825</xdr:colOff>
      <xdr:row>33</xdr:row>
      <xdr:rowOff>0</xdr:rowOff>
    </xdr:to>
    <xdr:sp macro="" textlink="">
      <xdr:nvSpPr>
        <xdr:cNvPr id="22" name="Rectangle 21">
          <a:hlinkClick xmlns:r="http://schemas.openxmlformats.org/officeDocument/2006/relationships" r:id="rId15"/>
          <a:extLst>
            <a:ext uri="{FF2B5EF4-FFF2-40B4-BE49-F238E27FC236}">
              <a16:creationId xmlns:a16="http://schemas.microsoft.com/office/drawing/2014/main" id="{00000000-0008-0000-0400-000016000000}"/>
            </a:ext>
          </a:extLst>
        </xdr:cNvPr>
        <xdr:cNvSpPr/>
      </xdr:nvSpPr>
      <xdr:spPr>
        <a:xfrm>
          <a:off x="15525750" y="8591550"/>
          <a:ext cx="1247775" cy="1809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9525</xdr:colOff>
      <xdr:row>34</xdr:row>
      <xdr:rowOff>85725</xdr:rowOff>
    </xdr:from>
    <xdr:to>
      <xdr:col>10</xdr:col>
      <xdr:colOff>1743075</xdr:colOff>
      <xdr:row>34</xdr:row>
      <xdr:rowOff>276225</xdr:rowOff>
    </xdr:to>
    <xdr:sp macro="" textlink="">
      <xdr:nvSpPr>
        <xdr:cNvPr id="23" name="Rectangle 22">
          <a:hlinkClick xmlns:r="http://schemas.openxmlformats.org/officeDocument/2006/relationships" r:id="rId16"/>
          <a:extLst>
            <a:ext uri="{FF2B5EF4-FFF2-40B4-BE49-F238E27FC236}">
              <a16:creationId xmlns:a16="http://schemas.microsoft.com/office/drawing/2014/main" id="{00000000-0008-0000-0400-000017000000}"/>
            </a:ext>
          </a:extLst>
        </xdr:cNvPr>
        <xdr:cNvSpPr/>
      </xdr:nvSpPr>
      <xdr:spPr>
        <a:xfrm>
          <a:off x="15516225" y="9067800"/>
          <a:ext cx="1733550" cy="190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9525</xdr:colOff>
      <xdr:row>34</xdr:row>
      <xdr:rowOff>304800</xdr:rowOff>
    </xdr:from>
    <xdr:to>
      <xdr:col>10</xdr:col>
      <xdr:colOff>2486025</xdr:colOff>
      <xdr:row>34</xdr:row>
      <xdr:rowOff>476250</xdr:rowOff>
    </xdr:to>
    <xdr:sp macro="" textlink="">
      <xdr:nvSpPr>
        <xdr:cNvPr id="24" name="Rectangle 23">
          <a:hlinkClick xmlns:r="http://schemas.openxmlformats.org/officeDocument/2006/relationships" r:id="rId17"/>
          <a:extLst>
            <a:ext uri="{FF2B5EF4-FFF2-40B4-BE49-F238E27FC236}">
              <a16:creationId xmlns:a16="http://schemas.microsoft.com/office/drawing/2014/main" id="{00000000-0008-0000-0400-000018000000}"/>
            </a:ext>
          </a:extLst>
        </xdr:cNvPr>
        <xdr:cNvSpPr/>
      </xdr:nvSpPr>
      <xdr:spPr>
        <a:xfrm>
          <a:off x="15516225" y="9286875"/>
          <a:ext cx="247650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0</xdr:colOff>
      <xdr:row>34</xdr:row>
      <xdr:rowOff>504825</xdr:rowOff>
    </xdr:from>
    <xdr:to>
      <xdr:col>10</xdr:col>
      <xdr:colOff>1714500</xdr:colOff>
      <xdr:row>34</xdr:row>
      <xdr:rowOff>657225</xdr:rowOff>
    </xdr:to>
    <xdr:sp macro="" textlink="">
      <xdr:nvSpPr>
        <xdr:cNvPr id="25" name="Rectangle 24">
          <a:hlinkClick xmlns:r="http://schemas.openxmlformats.org/officeDocument/2006/relationships" r:id="rId18"/>
          <a:extLst>
            <a:ext uri="{FF2B5EF4-FFF2-40B4-BE49-F238E27FC236}">
              <a16:creationId xmlns:a16="http://schemas.microsoft.com/office/drawing/2014/main" id="{00000000-0008-0000-0400-000019000000}"/>
            </a:ext>
          </a:extLst>
        </xdr:cNvPr>
        <xdr:cNvSpPr/>
      </xdr:nvSpPr>
      <xdr:spPr>
        <a:xfrm>
          <a:off x="15506700" y="9486900"/>
          <a:ext cx="1714500"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0</xdr:colOff>
      <xdr:row>34</xdr:row>
      <xdr:rowOff>685800</xdr:rowOff>
    </xdr:from>
    <xdr:to>
      <xdr:col>10</xdr:col>
      <xdr:colOff>2181225</xdr:colOff>
      <xdr:row>34</xdr:row>
      <xdr:rowOff>847725</xdr:rowOff>
    </xdr:to>
    <xdr:sp macro="" textlink="">
      <xdr:nvSpPr>
        <xdr:cNvPr id="26" name="Rectangle 25">
          <a:hlinkClick xmlns:r="http://schemas.openxmlformats.org/officeDocument/2006/relationships" r:id="rId19"/>
          <a:extLst>
            <a:ext uri="{FF2B5EF4-FFF2-40B4-BE49-F238E27FC236}">
              <a16:creationId xmlns:a16="http://schemas.microsoft.com/office/drawing/2014/main" id="{00000000-0008-0000-0400-00001A000000}"/>
            </a:ext>
          </a:extLst>
        </xdr:cNvPr>
        <xdr:cNvSpPr/>
      </xdr:nvSpPr>
      <xdr:spPr>
        <a:xfrm>
          <a:off x="15506700" y="9667875"/>
          <a:ext cx="2181225" cy="1619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34</xdr:row>
      <xdr:rowOff>885825</xdr:rowOff>
    </xdr:from>
    <xdr:to>
      <xdr:col>10</xdr:col>
      <xdr:colOff>1847850</xdr:colOff>
      <xdr:row>34</xdr:row>
      <xdr:rowOff>1028700</xdr:rowOff>
    </xdr:to>
    <xdr:sp macro="" textlink="">
      <xdr:nvSpPr>
        <xdr:cNvPr id="27" name="Rectangle 26">
          <a:hlinkClick xmlns:r="http://schemas.openxmlformats.org/officeDocument/2006/relationships" r:id="rId20"/>
          <a:extLst>
            <a:ext uri="{FF2B5EF4-FFF2-40B4-BE49-F238E27FC236}">
              <a16:creationId xmlns:a16="http://schemas.microsoft.com/office/drawing/2014/main" id="{00000000-0008-0000-0400-00001B000000}"/>
            </a:ext>
          </a:extLst>
        </xdr:cNvPr>
        <xdr:cNvSpPr/>
      </xdr:nvSpPr>
      <xdr:spPr>
        <a:xfrm>
          <a:off x="15525750" y="9867900"/>
          <a:ext cx="1828800" cy="1428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34</xdr:row>
      <xdr:rowOff>1057275</xdr:rowOff>
    </xdr:from>
    <xdr:to>
      <xdr:col>10</xdr:col>
      <xdr:colOff>1924050</xdr:colOff>
      <xdr:row>34</xdr:row>
      <xdr:rowOff>1219200</xdr:rowOff>
    </xdr:to>
    <xdr:sp macro="" textlink="">
      <xdr:nvSpPr>
        <xdr:cNvPr id="28" name="Rectangle 27">
          <a:hlinkClick xmlns:r="http://schemas.openxmlformats.org/officeDocument/2006/relationships" r:id="rId21"/>
          <a:extLst>
            <a:ext uri="{FF2B5EF4-FFF2-40B4-BE49-F238E27FC236}">
              <a16:creationId xmlns:a16="http://schemas.microsoft.com/office/drawing/2014/main" id="{00000000-0008-0000-0400-00001C000000}"/>
            </a:ext>
          </a:extLst>
        </xdr:cNvPr>
        <xdr:cNvSpPr/>
      </xdr:nvSpPr>
      <xdr:spPr>
        <a:xfrm>
          <a:off x="15525750" y="10039350"/>
          <a:ext cx="1905000" cy="1619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34</xdr:row>
      <xdr:rowOff>1257300</xdr:rowOff>
    </xdr:from>
    <xdr:to>
      <xdr:col>10</xdr:col>
      <xdr:colOff>2286000</xdr:colOff>
      <xdr:row>35</xdr:row>
      <xdr:rowOff>9525</xdr:rowOff>
    </xdr:to>
    <xdr:sp macro="" textlink="">
      <xdr:nvSpPr>
        <xdr:cNvPr id="29" name="Rectangle 28">
          <a:hlinkClick xmlns:r="http://schemas.openxmlformats.org/officeDocument/2006/relationships" r:id="rId22"/>
          <a:extLst>
            <a:ext uri="{FF2B5EF4-FFF2-40B4-BE49-F238E27FC236}">
              <a16:creationId xmlns:a16="http://schemas.microsoft.com/office/drawing/2014/main" id="{00000000-0008-0000-0400-00001D000000}"/>
            </a:ext>
          </a:extLst>
        </xdr:cNvPr>
        <xdr:cNvSpPr/>
      </xdr:nvSpPr>
      <xdr:spPr>
        <a:xfrm>
          <a:off x="15525750" y="10239375"/>
          <a:ext cx="226695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9</xdr:col>
      <xdr:colOff>885825</xdr:colOff>
      <xdr:row>36</xdr:row>
      <xdr:rowOff>66675</xdr:rowOff>
    </xdr:from>
    <xdr:to>
      <xdr:col>10</xdr:col>
      <xdr:colOff>1428750</xdr:colOff>
      <xdr:row>36</xdr:row>
      <xdr:rowOff>238125</xdr:rowOff>
    </xdr:to>
    <xdr:sp macro="" textlink="">
      <xdr:nvSpPr>
        <xdr:cNvPr id="30" name="Rectangle 29">
          <a:hlinkClick xmlns:r="http://schemas.openxmlformats.org/officeDocument/2006/relationships" r:id="rId23"/>
          <a:extLst>
            <a:ext uri="{FF2B5EF4-FFF2-40B4-BE49-F238E27FC236}">
              <a16:creationId xmlns:a16="http://schemas.microsoft.com/office/drawing/2014/main" id="{00000000-0008-0000-0400-00001E000000}"/>
            </a:ext>
          </a:extLst>
        </xdr:cNvPr>
        <xdr:cNvSpPr/>
      </xdr:nvSpPr>
      <xdr:spPr>
        <a:xfrm>
          <a:off x="15497175" y="10677525"/>
          <a:ext cx="1438275"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36</xdr:row>
      <xdr:rowOff>238125</xdr:rowOff>
    </xdr:from>
    <xdr:to>
      <xdr:col>10</xdr:col>
      <xdr:colOff>1876425</xdr:colOff>
      <xdr:row>36</xdr:row>
      <xdr:rowOff>419100</xdr:rowOff>
    </xdr:to>
    <xdr:sp macro="" textlink="">
      <xdr:nvSpPr>
        <xdr:cNvPr id="31" name="Rectangle 30">
          <a:hlinkClick xmlns:r="http://schemas.openxmlformats.org/officeDocument/2006/relationships" r:id="rId24"/>
          <a:extLst>
            <a:ext uri="{FF2B5EF4-FFF2-40B4-BE49-F238E27FC236}">
              <a16:creationId xmlns:a16="http://schemas.microsoft.com/office/drawing/2014/main" id="{00000000-0008-0000-0400-00001F000000}"/>
            </a:ext>
          </a:extLst>
        </xdr:cNvPr>
        <xdr:cNvSpPr/>
      </xdr:nvSpPr>
      <xdr:spPr>
        <a:xfrm>
          <a:off x="15525750" y="10848975"/>
          <a:ext cx="1857375" cy="1809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36</xdr:row>
      <xdr:rowOff>428625</xdr:rowOff>
    </xdr:from>
    <xdr:to>
      <xdr:col>10</xdr:col>
      <xdr:colOff>2066925</xdr:colOff>
      <xdr:row>36</xdr:row>
      <xdr:rowOff>590550</xdr:rowOff>
    </xdr:to>
    <xdr:sp macro="" textlink="">
      <xdr:nvSpPr>
        <xdr:cNvPr id="32" name="Rectangle 31">
          <a:hlinkClick xmlns:r="http://schemas.openxmlformats.org/officeDocument/2006/relationships" r:id="rId25"/>
          <a:extLst>
            <a:ext uri="{FF2B5EF4-FFF2-40B4-BE49-F238E27FC236}">
              <a16:creationId xmlns:a16="http://schemas.microsoft.com/office/drawing/2014/main" id="{00000000-0008-0000-0400-000020000000}"/>
            </a:ext>
          </a:extLst>
        </xdr:cNvPr>
        <xdr:cNvSpPr/>
      </xdr:nvSpPr>
      <xdr:spPr>
        <a:xfrm>
          <a:off x="15525750" y="11039475"/>
          <a:ext cx="2047875" cy="1619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38</xdr:row>
      <xdr:rowOff>76200</xdr:rowOff>
    </xdr:from>
    <xdr:to>
      <xdr:col>10</xdr:col>
      <xdr:colOff>2476500</xdr:colOff>
      <xdr:row>38</xdr:row>
      <xdr:rowOff>247650</xdr:rowOff>
    </xdr:to>
    <xdr:sp macro="" textlink="">
      <xdr:nvSpPr>
        <xdr:cNvPr id="33" name="Rectangle 32">
          <a:hlinkClick xmlns:r="http://schemas.openxmlformats.org/officeDocument/2006/relationships" r:id="rId26"/>
          <a:extLst>
            <a:ext uri="{FF2B5EF4-FFF2-40B4-BE49-F238E27FC236}">
              <a16:creationId xmlns:a16="http://schemas.microsoft.com/office/drawing/2014/main" id="{00000000-0008-0000-0400-000021000000}"/>
            </a:ext>
          </a:extLst>
        </xdr:cNvPr>
        <xdr:cNvSpPr/>
      </xdr:nvSpPr>
      <xdr:spPr>
        <a:xfrm>
          <a:off x="15525750" y="11506200"/>
          <a:ext cx="245745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19050</xdr:colOff>
      <xdr:row>38</xdr:row>
      <xdr:rowOff>276225</xdr:rowOff>
    </xdr:from>
    <xdr:to>
      <xdr:col>10</xdr:col>
      <xdr:colOff>3257550</xdr:colOff>
      <xdr:row>38</xdr:row>
      <xdr:rowOff>419100</xdr:rowOff>
    </xdr:to>
    <xdr:sp macro="" textlink="">
      <xdr:nvSpPr>
        <xdr:cNvPr id="34" name="Rectangle 33">
          <a:hlinkClick xmlns:r="http://schemas.openxmlformats.org/officeDocument/2006/relationships" r:id="rId27"/>
          <a:extLst>
            <a:ext uri="{FF2B5EF4-FFF2-40B4-BE49-F238E27FC236}">
              <a16:creationId xmlns:a16="http://schemas.microsoft.com/office/drawing/2014/main" id="{00000000-0008-0000-0400-000022000000}"/>
            </a:ext>
          </a:extLst>
        </xdr:cNvPr>
        <xdr:cNvSpPr/>
      </xdr:nvSpPr>
      <xdr:spPr>
        <a:xfrm>
          <a:off x="15525750" y="11706225"/>
          <a:ext cx="3238500" cy="1428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28575</xdr:colOff>
      <xdr:row>38</xdr:row>
      <xdr:rowOff>438150</xdr:rowOff>
    </xdr:from>
    <xdr:to>
      <xdr:col>10</xdr:col>
      <xdr:colOff>1609725</xdr:colOff>
      <xdr:row>38</xdr:row>
      <xdr:rowOff>609600</xdr:rowOff>
    </xdr:to>
    <xdr:sp macro="" textlink="">
      <xdr:nvSpPr>
        <xdr:cNvPr id="35" name="Rectangle 34">
          <a:hlinkClick xmlns:r="http://schemas.openxmlformats.org/officeDocument/2006/relationships" r:id="rId28"/>
          <a:extLst>
            <a:ext uri="{FF2B5EF4-FFF2-40B4-BE49-F238E27FC236}">
              <a16:creationId xmlns:a16="http://schemas.microsoft.com/office/drawing/2014/main" id="{00000000-0008-0000-0400-000023000000}"/>
            </a:ext>
          </a:extLst>
        </xdr:cNvPr>
        <xdr:cNvSpPr/>
      </xdr:nvSpPr>
      <xdr:spPr>
        <a:xfrm>
          <a:off x="15535275" y="11868150"/>
          <a:ext cx="158115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9</xdr:col>
      <xdr:colOff>885825</xdr:colOff>
      <xdr:row>38</xdr:row>
      <xdr:rowOff>647700</xdr:rowOff>
    </xdr:from>
    <xdr:to>
      <xdr:col>10</xdr:col>
      <xdr:colOff>2781300</xdr:colOff>
      <xdr:row>39</xdr:row>
      <xdr:rowOff>0</xdr:rowOff>
    </xdr:to>
    <xdr:sp macro="" textlink="">
      <xdr:nvSpPr>
        <xdr:cNvPr id="36" name="Rectangle 35">
          <a:hlinkClick xmlns:r="http://schemas.openxmlformats.org/officeDocument/2006/relationships" r:id="rId29"/>
          <a:extLst>
            <a:ext uri="{FF2B5EF4-FFF2-40B4-BE49-F238E27FC236}">
              <a16:creationId xmlns:a16="http://schemas.microsoft.com/office/drawing/2014/main" id="{00000000-0008-0000-0400-000024000000}"/>
            </a:ext>
          </a:extLst>
        </xdr:cNvPr>
        <xdr:cNvSpPr/>
      </xdr:nvSpPr>
      <xdr:spPr>
        <a:xfrm>
          <a:off x="15497175" y="12077700"/>
          <a:ext cx="2790825" cy="1619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10</xdr:row>
          <xdr:rowOff>0</xdr:rowOff>
        </xdr:from>
        <xdr:to>
          <xdr:col>4</xdr:col>
          <xdr:colOff>0</xdr:colOff>
          <xdr:row>11</xdr:row>
          <xdr:rowOff>0</xdr:rowOff>
        </xdr:to>
        <xdr:sp macro="" textlink="">
          <xdr:nvSpPr>
            <xdr:cNvPr id="20498" name="Drop Down 18" hidden="1">
              <a:extLst>
                <a:ext uri="{63B3BB69-23CF-44E3-9099-C40C66FF867C}">
                  <a14:compatExt spid="_x0000_s20498"/>
                </a:ext>
                <a:ext uri="{FF2B5EF4-FFF2-40B4-BE49-F238E27FC236}">
                  <a16:creationId xmlns:a16="http://schemas.microsoft.com/office/drawing/2014/main" id="{00000000-0008-0000-0500-00001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12</xdr:row>
          <xdr:rowOff>0</xdr:rowOff>
        </xdr:from>
        <xdr:to>
          <xdr:col>4</xdr:col>
          <xdr:colOff>0</xdr:colOff>
          <xdr:row>13</xdr:row>
          <xdr:rowOff>0</xdr:rowOff>
        </xdr:to>
        <xdr:sp macro="" textlink="">
          <xdr:nvSpPr>
            <xdr:cNvPr id="20532" name="Drop Down 52" hidden="1">
              <a:extLst>
                <a:ext uri="{63B3BB69-23CF-44E3-9099-C40C66FF867C}">
                  <a14:compatExt spid="_x0000_s20532"/>
                </a:ext>
                <a:ext uri="{FF2B5EF4-FFF2-40B4-BE49-F238E27FC236}">
                  <a16:creationId xmlns:a16="http://schemas.microsoft.com/office/drawing/2014/main" id="{00000000-0008-0000-0500-00003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11</xdr:row>
          <xdr:rowOff>0</xdr:rowOff>
        </xdr:from>
        <xdr:to>
          <xdr:col>4</xdr:col>
          <xdr:colOff>0</xdr:colOff>
          <xdr:row>12</xdr:row>
          <xdr:rowOff>0</xdr:rowOff>
        </xdr:to>
        <xdr:sp macro="" textlink="">
          <xdr:nvSpPr>
            <xdr:cNvPr id="20501" name="Drop Down 21" hidden="1">
              <a:extLst>
                <a:ext uri="{63B3BB69-23CF-44E3-9099-C40C66FF867C}">
                  <a14:compatExt spid="_x0000_s20501"/>
                </a:ext>
                <a:ext uri="{FF2B5EF4-FFF2-40B4-BE49-F238E27FC236}">
                  <a16:creationId xmlns:a16="http://schemas.microsoft.com/office/drawing/2014/main" id="{00000000-0008-0000-0500-00001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16</xdr:row>
          <xdr:rowOff>0</xdr:rowOff>
        </xdr:from>
        <xdr:to>
          <xdr:col>6</xdr:col>
          <xdr:colOff>0</xdr:colOff>
          <xdr:row>17</xdr:row>
          <xdr:rowOff>0</xdr:rowOff>
        </xdr:to>
        <xdr:sp macro="" textlink="">
          <xdr:nvSpPr>
            <xdr:cNvPr id="20562" name="Drop Down 82" hidden="1">
              <a:extLst>
                <a:ext uri="{63B3BB69-23CF-44E3-9099-C40C66FF867C}">
                  <a14:compatExt spid="_x0000_s20562"/>
                </a:ext>
                <a:ext uri="{FF2B5EF4-FFF2-40B4-BE49-F238E27FC236}">
                  <a16:creationId xmlns:a16="http://schemas.microsoft.com/office/drawing/2014/main" id="{00000000-0008-0000-0500-00005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17</xdr:row>
          <xdr:rowOff>0</xdr:rowOff>
        </xdr:from>
        <xdr:to>
          <xdr:col>6</xdr:col>
          <xdr:colOff>0</xdr:colOff>
          <xdr:row>18</xdr:row>
          <xdr:rowOff>0</xdr:rowOff>
        </xdr:to>
        <xdr:sp macro="" textlink="">
          <xdr:nvSpPr>
            <xdr:cNvPr id="20563" name="Drop Down 83" hidden="1">
              <a:extLst>
                <a:ext uri="{63B3BB69-23CF-44E3-9099-C40C66FF867C}">
                  <a14:compatExt spid="_x0000_s20563"/>
                </a:ext>
                <a:ext uri="{FF2B5EF4-FFF2-40B4-BE49-F238E27FC236}">
                  <a16:creationId xmlns:a16="http://schemas.microsoft.com/office/drawing/2014/main" id="{00000000-0008-0000-0500-000053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18</xdr:row>
          <xdr:rowOff>0</xdr:rowOff>
        </xdr:from>
        <xdr:to>
          <xdr:col>6</xdr:col>
          <xdr:colOff>0</xdr:colOff>
          <xdr:row>19</xdr:row>
          <xdr:rowOff>0</xdr:rowOff>
        </xdr:to>
        <xdr:sp macro="" textlink="">
          <xdr:nvSpPr>
            <xdr:cNvPr id="20564" name="Drop Down 84" hidden="1">
              <a:extLst>
                <a:ext uri="{63B3BB69-23CF-44E3-9099-C40C66FF867C}">
                  <a14:compatExt spid="_x0000_s20564"/>
                </a:ext>
                <a:ext uri="{FF2B5EF4-FFF2-40B4-BE49-F238E27FC236}">
                  <a16:creationId xmlns:a16="http://schemas.microsoft.com/office/drawing/2014/main" id="{00000000-0008-0000-0500-00005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19</xdr:row>
          <xdr:rowOff>0</xdr:rowOff>
        </xdr:from>
        <xdr:to>
          <xdr:col>6</xdr:col>
          <xdr:colOff>0</xdr:colOff>
          <xdr:row>20</xdr:row>
          <xdr:rowOff>0</xdr:rowOff>
        </xdr:to>
        <xdr:sp macro="" textlink="">
          <xdr:nvSpPr>
            <xdr:cNvPr id="20566" name="Drop Down 86" hidden="1">
              <a:extLst>
                <a:ext uri="{63B3BB69-23CF-44E3-9099-C40C66FF867C}">
                  <a14:compatExt spid="_x0000_s20566"/>
                </a:ext>
                <a:ext uri="{FF2B5EF4-FFF2-40B4-BE49-F238E27FC236}">
                  <a16:creationId xmlns:a16="http://schemas.microsoft.com/office/drawing/2014/main" id="{00000000-0008-0000-0500-000056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20</xdr:row>
          <xdr:rowOff>0</xdr:rowOff>
        </xdr:from>
        <xdr:to>
          <xdr:col>6</xdr:col>
          <xdr:colOff>0</xdr:colOff>
          <xdr:row>21</xdr:row>
          <xdr:rowOff>0</xdr:rowOff>
        </xdr:to>
        <xdr:sp macro="" textlink="">
          <xdr:nvSpPr>
            <xdr:cNvPr id="20568" name="Drop Down 88" hidden="1">
              <a:extLst>
                <a:ext uri="{63B3BB69-23CF-44E3-9099-C40C66FF867C}">
                  <a14:compatExt spid="_x0000_s20568"/>
                </a:ext>
                <a:ext uri="{FF2B5EF4-FFF2-40B4-BE49-F238E27FC236}">
                  <a16:creationId xmlns:a16="http://schemas.microsoft.com/office/drawing/2014/main" id="{00000000-0008-0000-0500-000058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21</xdr:row>
          <xdr:rowOff>0</xdr:rowOff>
        </xdr:from>
        <xdr:to>
          <xdr:col>6</xdr:col>
          <xdr:colOff>0</xdr:colOff>
          <xdr:row>22</xdr:row>
          <xdr:rowOff>0</xdr:rowOff>
        </xdr:to>
        <xdr:sp macro="" textlink="">
          <xdr:nvSpPr>
            <xdr:cNvPr id="20570" name="Drop Down 90" hidden="1">
              <a:extLst>
                <a:ext uri="{63B3BB69-23CF-44E3-9099-C40C66FF867C}">
                  <a14:compatExt spid="_x0000_s20570"/>
                </a:ext>
                <a:ext uri="{FF2B5EF4-FFF2-40B4-BE49-F238E27FC236}">
                  <a16:creationId xmlns:a16="http://schemas.microsoft.com/office/drawing/2014/main" id="{00000000-0008-0000-0500-00005A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22</xdr:row>
          <xdr:rowOff>0</xdr:rowOff>
        </xdr:from>
        <xdr:to>
          <xdr:col>6</xdr:col>
          <xdr:colOff>0</xdr:colOff>
          <xdr:row>23</xdr:row>
          <xdr:rowOff>0</xdr:rowOff>
        </xdr:to>
        <xdr:sp macro="" textlink="">
          <xdr:nvSpPr>
            <xdr:cNvPr id="20572" name="Drop Down 92" hidden="1">
              <a:extLst>
                <a:ext uri="{63B3BB69-23CF-44E3-9099-C40C66FF867C}">
                  <a14:compatExt spid="_x0000_s20572"/>
                </a:ext>
                <a:ext uri="{FF2B5EF4-FFF2-40B4-BE49-F238E27FC236}">
                  <a16:creationId xmlns:a16="http://schemas.microsoft.com/office/drawing/2014/main" id="{00000000-0008-0000-0500-00005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24</xdr:row>
          <xdr:rowOff>0</xdr:rowOff>
        </xdr:from>
        <xdr:to>
          <xdr:col>6</xdr:col>
          <xdr:colOff>0</xdr:colOff>
          <xdr:row>25</xdr:row>
          <xdr:rowOff>0</xdr:rowOff>
        </xdr:to>
        <xdr:sp macro="" textlink="">
          <xdr:nvSpPr>
            <xdr:cNvPr id="20588" name="Drop Down 108" hidden="1">
              <a:extLst>
                <a:ext uri="{63B3BB69-23CF-44E3-9099-C40C66FF867C}">
                  <a14:compatExt spid="_x0000_s20588"/>
                </a:ext>
                <a:ext uri="{FF2B5EF4-FFF2-40B4-BE49-F238E27FC236}">
                  <a16:creationId xmlns:a16="http://schemas.microsoft.com/office/drawing/2014/main" id="{00000000-0008-0000-0500-00006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25</xdr:row>
          <xdr:rowOff>0</xdr:rowOff>
        </xdr:from>
        <xdr:to>
          <xdr:col>6</xdr:col>
          <xdr:colOff>0</xdr:colOff>
          <xdr:row>26</xdr:row>
          <xdr:rowOff>0</xdr:rowOff>
        </xdr:to>
        <xdr:sp macro="" textlink="">
          <xdr:nvSpPr>
            <xdr:cNvPr id="20589" name="Drop Down 109" hidden="1">
              <a:extLst>
                <a:ext uri="{63B3BB69-23CF-44E3-9099-C40C66FF867C}">
                  <a14:compatExt spid="_x0000_s20589"/>
                </a:ext>
                <a:ext uri="{FF2B5EF4-FFF2-40B4-BE49-F238E27FC236}">
                  <a16:creationId xmlns:a16="http://schemas.microsoft.com/office/drawing/2014/main" id="{00000000-0008-0000-0500-00006D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26</xdr:row>
          <xdr:rowOff>0</xdr:rowOff>
        </xdr:from>
        <xdr:to>
          <xdr:col>6</xdr:col>
          <xdr:colOff>0</xdr:colOff>
          <xdr:row>27</xdr:row>
          <xdr:rowOff>0</xdr:rowOff>
        </xdr:to>
        <xdr:sp macro="" textlink="">
          <xdr:nvSpPr>
            <xdr:cNvPr id="20590" name="Drop Down 110" hidden="1">
              <a:extLst>
                <a:ext uri="{63B3BB69-23CF-44E3-9099-C40C66FF867C}">
                  <a14:compatExt spid="_x0000_s20590"/>
                </a:ext>
                <a:ext uri="{FF2B5EF4-FFF2-40B4-BE49-F238E27FC236}">
                  <a16:creationId xmlns:a16="http://schemas.microsoft.com/office/drawing/2014/main" id="{00000000-0008-0000-0500-00006E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27</xdr:row>
          <xdr:rowOff>0</xdr:rowOff>
        </xdr:from>
        <xdr:to>
          <xdr:col>6</xdr:col>
          <xdr:colOff>0</xdr:colOff>
          <xdr:row>28</xdr:row>
          <xdr:rowOff>0</xdr:rowOff>
        </xdr:to>
        <xdr:sp macro="" textlink="">
          <xdr:nvSpPr>
            <xdr:cNvPr id="20591" name="Drop Down 111" hidden="1">
              <a:extLst>
                <a:ext uri="{63B3BB69-23CF-44E3-9099-C40C66FF867C}">
                  <a14:compatExt spid="_x0000_s20591"/>
                </a:ext>
                <a:ext uri="{FF2B5EF4-FFF2-40B4-BE49-F238E27FC236}">
                  <a16:creationId xmlns:a16="http://schemas.microsoft.com/office/drawing/2014/main" id="{00000000-0008-0000-0500-00006F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28</xdr:row>
          <xdr:rowOff>0</xdr:rowOff>
        </xdr:from>
        <xdr:to>
          <xdr:col>6</xdr:col>
          <xdr:colOff>0</xdr:colOff>
          <xdr:row>29</xdr:row>
          <xdr:rowOff>0</xdr:rowOff>
        </xdr:to>
        <xdr:sp macro="" textlink="">
          <xdr:nvSpPr>
            <xdr:cNvPr id="20593" name="Drop Down 113" hidden="1">
              <a:extLst>
                <a:ext uri="{63B3BB69-23CF-44E3-9099-C40C66FF867C}">
                  <a14:compatExt spid="_x0000_s20593"/>
                </a:ext>
                <a:ext uri="{FF2B5EF4-FFF2-40B4-BE49-F238E27FC236}">
                  <a16:creationId xmlns:a16="http://schemas.microsoft.com/office/drawing/2014/main" id="{00000000-0008-0000-0500-00007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29</xdr:row>
          <xdr:rowOff>0</xdr:rowOff>
        </xdr:from>
        <xdr:to>
          <xdr:col>6</xdr:col>
          <xdr:colOff>0</xdr:colOff>
          <xdr:row>30</xdr:row>
          <xdr:rowOff>0</xdr:rowOff>
        </xdr:to>
        <xdr:sp macro="" textlink="">
          <xdr:nvSpPr>
            <xdr:cNvPr id="20594" name="Drop Down 114" hidden="1">
              <a:extLst>
                <a:ext uri="{63B3BB69-23CF-44E3-9099-C40C66FF867C}">
                  <a14:compatExt spid="_x0000_s20594"/>
                </a:ext>
                <a:ext uri="{FF2B5EF4-FFF2-40B4-BE49-F238E27FC236}">
                  <a16:creationId xmlns:a16="http://schemas.microsoft.com/office/drawing/2014/main" id="{00000000-0008-0000-0500-00007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73</xdr:row>
          <xdr:rowOff>0</xdr:rowOff>
        </xdr:from>
        <xdr:to>
          <xdr:col>9</xdr:col>
          <xdr:colOff>0</xdr:colOff>
          <xdr:row>74</xdr:row>
          <xdr:rowOff>0</xdr:rowOff>
        </xdr:to>
        <xdr:sp macro="" textlink="">
          <xdr:nvSpPr>
            <xdr:cNvPr id="20596" name="Drop Down 116" hidden="1">
              <a:extLst>
                <a:ext uri="{63B3BB69-23CF-44E3-9099-C40C66FF867C}">
                  <a14:compatExt spid="_x0000_s20596"/>
                </a:ext>
                <a:ext uri="{FF2B5EF4-FFF2-40B4-BE49-F238E27FC236}">
                  <a16:creationId xmlns:a16="http://schemas.microsoft.com/office/drawing/2014/main" id="{00000000-0008-0000-0500-00007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74</xdr:row>
          <xdr:rowOff>0</xdr:rowOff>
        </xdr:from>
        <xdr:to>
          <xdr:col>9</xdr:col>
          <xdr:colOff>0</xdr:colOff>
          <xdr:row>75</xdr:row>
          <xdr:rowOff>0</xdr:rowOff>
        </xdr:to>
        <xdr:sp macro="" textlink="">
          <xdr:nvSpPr>
            <xdr:cNvPr id="20598" name="Drop Down 118" hidden="1">
              <a:extLst>
                <a:ext uri="{63B3BB69-23CF-44E3-9099-C40C66FF867C}">
                  <a14:compatExt spid="_x0000_s20598"/>
                </a:ext>
                <a:ext uri="{FF2B5EF4-FFF2-40B4-BE49-F238E27FC236}">
                  <a16:creationId xmlns:a16="http://schemas.microsoft.com/office/drawing/2014/main" id="{00000000-0008-0000-0500-000076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75</xdr:row>
          <xdr:rowOff>0</xdr:rowOff>
        </xdr:from>
        <xdr:to>
          <xdr:col>9</xdr:col>
          <xdr:colOff>0</xdr:colOff>
          <xdr:row>76</xdr:row>
          <xdr:rowOff>0</xdr:rowOff>
        </xdr:to>
        <xdr:sp macro="" textlink="">
          <xdr:nvSpPr>
            <xdr:cNvPr id="20599" name="Drop Down 119" hidden="1">
              <a:extLst>
                <a:ext uri="{63B3BB69-23CF-44E3-9099-C40C66FF867C}">
                  <a14:compatExt spid="_x0000_s20599"/>
                </a:ext>
                <a:ext uri="{FF2B5EF4-FFF2-40B4-BE49-F238E27FC236}">
                  <a16:creationId xmlns:a16="http://schemas.microsoft.com/office/drawing/2014/main" id="{00000000-0008-0000-0500-000077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76</xdr:row>
          <xdr:rowOff>0</xdr:rowOff>
        </xdr:from>
        <xdr:to>
          <xdr:col>9</xdr:col>
          <xdr:colOff>0</xdr:colOff>
          <xdr:row>77</xdr:row>
          <xdr:rowOff>0</xdr:rowOff>
        </xdr:to>
        <xdr:sp macro="" textlink="">
          <xdr:nvSpPr>
            <xdr:cNvPr id="20600" name="Drop Down 120" hidden="1">
              <a:extLst>
                <a:ext uri="{63B3BB69-23CF-44E3-9099-C40C66FF867C}">
                  <a14:compatExt spid="_x0000_s20600"/>
                </a:ext>
                <a:ext uri="{FF2B5EF4-FFF2-40B4-BE49-F238E27FC236}">
                  <a16:creationId xmlns:a16="http://schemas.microsoft.com/office/drawing/2014/main" id="{00000000-0008-0000-0500-000078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77</xdr:row>
          <xdr:rowOff>0</xdr:rowOff>
        </xdr:from>
        <xdr:to>
          <xdr:col>9</xdr:col>
          <xdr:colOff>0</xdr:colOff>
          <xdr:row>78</xdr:row>
          <xdr:rowOff>0</xdr:rowOff>
        </xdr:to>
        <xdr:sp macro="" textlink="">
          <xdr:nvSpPr>
            <xdr:cNvPr id="20601" name="Drop Down 121" hidden="1">
              <a:extLst>
                <a:ext uri="{63B3BB69-23CF-44E3-9099-C40C66FF867C}">
                  <a14:compatExt spid="_x0000_s20601"/>
                </a:ext>
                <a:ext uri="{FF2B5EF4-FFF2-40B4-BE49-F238E27FC236}">
                  <a16:creationId xmlns:a16="http://schemas.microsoft.com/office/drawing/2014/main" id="{00000000-0008-0000-0500-000079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78</xdr:row>
          <xdr:rowOff>0</xdr:rowOff>
        </xdr:from>
        <xdr:to>
          <xdr:col>9</xdr:col>
          <xdr:colOff>0</xdr:colOff>
          <xdr:row>79</xdr:row>
          <xdr:rowOff>0</xdr:rowOff>
        </xdr:to>
        <xdr:sp macro="" textlink="">
          <xdr:nvSpPr>
            <xdr:cNvPr id="20603" name="Drop Down 123" hidden="1">
              <a:extLst>
                <a:ext uri="{63B3BB69-23CF-44E3-9099-C40C66FF867C}">
                  <a14:compatExt spid="_x0000_s20603"/>
                </a:ext>
                <a:ext uri="{FF2B5EF4-FFF2-40B4-BE49-F238E27FC236}">
                  <a16:creationId xmlns:a16="http://schemas.microsoft.com/office/drawing/2014/main" id="{00000000-0008-0000-0500-00007B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79</xdr:row>
          <xdr:rowOff>0</xdr:rowOff>
        </xdr:from>
        <xdr:to>
          <xdr:col>9</xdr:col>
          <xdr:colOff>0</xdr:colOff>
          <xdr:row>80</xdr:row>
          <xdr:rowOff>0</xdr:rowOff>
        </xdr:to>
        <xdr:sp macro="" textlink="">
          <xdr:nvSpPr>
            <xdr:cNvPr id="20604" name="Drop Down 124" hidden="1">
              <a:extLst>
                <a:ext uri="{63B3BB69-23CF-44E3-9099-C40C66FF867C}">
                  <a14:compatExt spid="_x0000_s20604"/>
                </a:ext>
                <a:ext uri="{FF2B5EF4-FFF2-40B4-BE49-F238E27FC236}">
                  <a16:creationId xmlns:a16="http://schemas.microsoft.com/office/drawing/2014/main" id="{00000000-0008-0000-0500-00007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81</xdr:row>
          <xdr:rowOff>0</xdr:rowOff>
        </xdr:from>
        <xdr:to>
          <xdr:col>9</xdr:col>
          <xdr:colOff>0</xdr:colOff>
          <xdr:row>82</xdr:row>
          <xdr:rowOff>0</xdr:rowOff>
        </xdr:to>
        <xdr:sp macro="" textlink="">
          <xdr:nvSpPr>
            <xdr:cNvPr id="20605" name="Drop Down 125" hidden="1">
              <a:extLst>
                <a:ext uri="{63B3BB69-23CF-44E3-9099-C40C66FF867C}">
                  <a14:compatExt spid="_x0000_s20605"/>
                </a:ext>
                <a:ext uri="{FF2B5EF4-FFF2-40B4-BE49-F238E27FC236}">
                  <a16:creationId xmlns:a16="http://schemas.microsoft.com/office/drawing/2014/main" id="{00000000-0008-0000-0500-00007D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50</xdr:row>
          <xdr:rowOff>0</xdr:rowOff>
        </xdr:from>
        <xdr:to>
          <xdr:col>4</xdr:col>
          <xdr:colOff>0</xdr:colOff>
          <xdr:row>51</xdr:row>
          <xdr:rowOff>0</xdr:rowOff>
        </xdr:to>
        <xdr:sp macro="" textlink="">
          <xdr:nvSpPr>
            <xdr:cNvPr id="20613" name="Drop Down 133" hidden="1">
              <a:extLst>
                <a:ext uri="{63B3BB69-23CF-44E3-9099-C40C66FF867C}">
                  <a14:compatExt spid="_x0000_s20613"/>
                </a:ext>
                <a:ext uri="{FF2B5EF4-FFF2-40B4-BE49-F238E27FC236}">
                  <a16:creationId xmlns:a16="http://schemas.microsoft.com/office/drawing/2014/main" id="{00000000-0008-0000-0500-00008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51</xdr:row>
          <xdr:rowOff>0</xdr:rowOff>
        </xdr:from>
        <xdr:to>
          <xdr:col>4</xdr:col>
          <xdr:colOff>0</xdr:colOff>
          <xdr:row>52</xdr:row>
          <xdr:rowOff>0</xdr:rowOff>
        </xdr:to>
        <xdr:sp macro="" textlink="">
          <xdr:nvSpPr>
            <xdr:cNvPr id="20614" name="Drop Down 134" hidden="1">
              <a:extLst>
                <a:ext uri="{63B3BB69-23CF-44E3-9099-C40C66FF867C}">
                  <a14:compatExt spid="_x0000_s20614"/>
                </a:ext>
                <a:ext uri="{FF2B5EF4-FFF2-40B4-BE49-F238E27FC236}">
                  <a16:creationId xmlns:a16="http://schemas.microsoft.com/office/drawing/2014/main" id="{00000000-0008-0000-0500-000086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52</xdr:row>
          <xdr:rowOff>0</xdr:rowOff>
        </xdr:from>
        <xdr:to>
          <xdr:col>4</xdr:col>
          <xdr:colOff>0</xdr:colOff>
          <xdr:row>53</xdr:row>
          <xdr:rowOff>0</xdr:rowOff>
        </xdr:to>
        <xdr:sp macro="" textlink="">
          <xdr:nvSpPr>
            <xdr:cNvPr id="20615" name="Drop Down 135" hidden="1">
              <a:extLst>
                <a:ext uri="{63B3BB69-23CF-44E3-9099-C40C66FF867C}">
                  <a14:compatExt spid="_x0000_s20615"/>
                </a:ext>
                <a:ext uri="{FF2B5EF4-FFF2-40B4-BE49-F238E27FC236}">
                  <a16:creationId xmlns:a16="http://schemas.microsoft.com/office/drawing/2014/main" id="{00000000-0008-0000-0500-000087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53</xdr:row>
          <xdr:rowOff>0</xdr:rowOff>
        </xdr:from>
        <xdr:to>
          <xdr:col>4</xdr:col>
          <xdr:colOff>0</xdr:colOff>
          <xdr:row>54</xdr:row>
          <xdr:rowOff>0</xdr:rowOff>
        </xdr:to>
        <xdr:sp macro="" textlink="">
          <xdr:nvSpPr>
            <xdr:cNvPr id="20617" name="Drop Down 137" hidden="1">
              <a:extLst>
                <a:ext uri="{63B3BB69-23CF-44E3-9099-C40C66FF867C}">
                  <a14:compatExt spid="_x0000_s20617"/>
                </a:ext>
                <a:ext uri="{FF2B5EF4-FFF2-40B4-BE49-F238E27FC236}">
                  <a16:creationId xmlns:a16="http://schemas.microsoft.com/office/drawing/2014/main" id="{00000000-0008-0000-0500-000089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54</xdr:row>
          <xdr:rowOff>0</xdr:rowOff>
        </xdr:from>
        <xdr:to>
          <xdr:col>4</xdr:col>
          <xdr:colOff>0</xdr:colOff>
          <xdr:row>55</xdr:row>
          <xdr:rowOff>0</xdr:rowOff>
        </xdr:to>
        <xdr:sp macro="" textlink="">
          <xdr:nvSpPr>
            <xdr:cNvPr id="20618" name="Drop Down 138" hidden="1">
              <a:extLst>
                <a:ext uri="{63B3BB69-23CF-44E3-9099-C40C66FF867C}">
                  <a14:compatExt spid="_x0000_s20618"/>
                </a:ext>
                <a:ext uri="{FF2B5EF4-FFF2-40B4-BE49-F238E27FC236}">
                  <a16:creationId xmlns:a16="http://schemas.microsoft.com/office/drawing/2014/main" id="{00000000-0008-0000-0500-00008A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55</xdr:row>
          <xdr:rowOff>0</xdr:rowOff>
        </xdr:from>
        <xdr:to>
          <xdr:col>4</xdr:col>
          <xdr:colOff>0</xdr:colOff>
          <xdr:row>56</xdr:row>
          <xdr:rowOff>0</xdr:rowOff>
        </xdr:to>
        <xdr:sp macro="" textlink="">
          <xdr:nvSpPr>
            <xdr:cNvPr id="20619" name="Drop Down 139" hidden="1">
              <a:extLst>
                <a:ext uri="{63B3BB69-23CF-44E3-9099-C40C66FF867C}">
                  <a14:compatExt spid="_x0000_s20619"/>
                </a:ext>
                <a:ext uri="{FF2B5EF4-FFF2-40B4-BE49-F238E27FC236}">
                  <a16:creationId xmlns:a16="http://schemas.microsoft.com/office/drawing/2014/main" id="{00000000-0008-0000-0500-00008B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56</xdr:row>
          <xdr:rowOff>0</xdr:rowOff>
        </xdr:from>
        <xdr:to>
          <xdr:col>4</xdr:col>
          <xdr:colOff>0</xdr:colOff>
          <xdr:row>57</xdr:row>
          <xdr:rowOff>0</xdr:rowOff>
        </xdr:to>
        <xdr:sp macro="" textlink="">
          <xdr:nvSpPr>
            <xdr:cNvPr id="20620" name="Drop Down 140" hidden="1">
              <a:extLst>
                <a:ext uri="{63B3BB69-23CF-44E3-9099-C40C66FF867C}">
                  <a14:compatExt spid="_x0000_s20620"/>
                </a:ext>
                <a:ext uri="{FF2B5EF4-FFF2-40B4-BE49-F238E27FC236}">
                  <a16:creationId xmlns:a16="http://schemas.microsoft.com/office/drawing/2014/main" id="{00000000-0008-0000-0500-00008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xdr:row>
          <xdr:rowOff>0</xdr:rowOff>
        </xdr:from>
        <xdr:to>
          <xdr:col>4</xdr:col>
          <xdr:colOff>0</xdr:colOff>
          <xdr:row>58</xdr:row>
          <xdr:rowOff>0</xdr:rowOff>
        </xdr:to>
        <xdr:sp macro="" textlink="">
          <xdr:nvSpPr>
            <xdr:cNvPr id="20622" name="Drop Down 142" hidden="1">
              <a:extLst>
                <a:ext uri="{63B3BB69-23CF-44E3-9099-C40C66FF867C}">
                  <a14:compatExt spid="_x0000_s20622"/>
                </a:ext>
                <a:ext uri="{FF2B5EF4-FFF2-40B4-BE49-F238E27FC236}">
                  <a16:creationId xmlns:a16="http://schemas.microsoft.com/office/drawing/2014/main" id="{00000000-0008-0000-0500-00008E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xdr:row>
          <xdr:rowOff>0</xdr:rowOff>
        </xdr:from>
        <xdr:to>
          <xdr:col>4</xdr:col>
          <xdr:colOff>0</xdr:colOff>
          <xdr:row>59</xdr:row>
          <xdr:rowOff>0</xdr:rowOff>
        </xdr:to>
        <xdr:sp macro="" textlink="">
          <xdr:nvSpPr>
            <xdr:cNvPr id="20623" name="Drop Down 143" hidden="1">
              <a:extLst>
                <a:ext uri="{63B3BB69-23CF-44E3-9099-C40C66FF867C}">
                  <a14:compatExt spid="_x0000_s20623"/>
                </a:ext>
                <a:ext uri="{FF2B5EF4-FFF2-40B4-BE49-F238E27FC236}">
                  <a16:creationId xmlns:a16="http://schemas.microsoft.com/office/drawing/2014/main" id="{00000000-0008-0000-0500-00008F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59</xdr:row>
          <xdr:rowOff>0</xdr:rowOff>
        </xdr:from>
        <xdr:to>
          <xdr:col>4</xdr:col>
          <xdr:colOff>0</xdr:colOff>
          <xdr:row>60</xdr:row>
          <xdr:rowOff>0</xdr:rowOff>
        </xdr:to>
        <xdr:sp macro="" textlink="">
          <xdr:nvSpPr>
            <xdr:cNvPr id="20624" name="Drop Down 144" hidden="1">
              <a:extLst>
                <a:ext uri="{63B3BB69-23CF-44E3-9099-C40C66FF867C}">
                  <a14:compatExt spid="_x0000_s20624"/>
                </a:ext>
                <a:ext uri="{FF2B5EF4-FFF2-40B4-BE49-F238E27FC236}">
                  <a16:creationId xmlns:a16="http://schemas.microsoft.com/office/drawing/2014/main" id="{00000000-0008-0000-0500-000090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60</xdr:row>
          <xdr:rowOff>0</xdr:rowOff>
        </xdr:from>
        <xdr:to>
          <xdr:col>4</xdr:col>
          <xdr:colOff>0</xdr:colOff>
          <xdr:row>61</xdr:row>
          <xdr:rowOff>0</xdr:rowOff>
        </xdr:to>
        <xdr:sp macro="" textlink="">
          <xdr:nvSpPr>
            <xdr:cNvPr id="20626" name="Drop Down 146" hidden="1">
              <a:extLst>
                <a:ext uri="{63B3BB69-23CF-44E3-9099-C40C66FF867C}">
                  <a14:compatExt spid="_x0000_s20626"/>
                </a:ext>
                <a:ext uri="{FF2B5EF4-FFF2-40B4-BE49-F238E27FC236}">
                  <a16:creationId xmlns:a16="http://schemas.microsoft.com/office/drawing/2014/main" id="{00000000-0008-0000-0500-00009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61</xdr:row>
          <xdr:rowOff>0</xdr:rowOff>
        </xdr:from>
        <xdr:to>
          <xdr:col>4</xdr:col>
          <xdr:colOff>0</xdr:colOff>
          <xdr:row>62</xdr:row>
          <xdr:rowOff>0</xdr:rowOff>
        </xdr:to>
        <xdr:sp macro="" textlink="">
          <xdr:nvSpPr>
            <xdr:cNvPr id="20627" name="Drop Down 147" hidden="1">
              <a:extLst>
                <a:ext uri="{63B3BB69-23CF-44E3-9099-C40C66FF867C}">
                  <a14:compatExt spid="_x0000_s20627"/>
                </a:ext>
                <a:ext uri="{FF2B5EF4-FFF2-40B4-BE49-F238E27FC236}">
                  <a16:creationId xmlns:a16="http://schemas.microsoft.com/office/drawing/2014/main" id="{00000000-0008-0000-0500-000093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62</xdr:row>
          <xdr:rowOff>0</xdr:rowOff>
        </xdr:from>
        <xdr:to>
          <xdr:col>4</xdr:col>
          <xdr:colOff>0</xdr:colOff>
          <xdr:row>63</xdr:row>
          <xdr:rowOff>0</xdr:rowOff>
        </xdr:to>
        <xdr:sp macro="" textlink="">
          <xdr:nvSpPr>
            <xdr:cNvPr id="20628" name="Drop Down 148" hidden="1">
              <a:extLst>
                <a:ext uri="{63B3BB69-23CF-44E3-9099-C40C66FF867C}">
                  <a14:compatExt spid="_x0000_s20628"/>
                </a:ext>
                <a:ext uri="{FF2B5EF4-FFF2-40B4-BE49-F238E27FC236}">
                  <a16:creationId xmlns:a16="http://schemas.microsoft.com/office/drawing/2014/main" id="{00000000-0008-0000-0500-00009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63</xdr:row>
          <xdr:rowOff>0</xdr:rowOff>
        </xdr:from>
        <xdr:to>
          <xdr:col>4</xdr:col>
          <xdr:colOff>0</xdr:colOff>
          <xdr:row>64</xdr:row>
          <xdr:rowOff>0</xdr:rowOff>
        </xdr:to>
        <xdr:sp macro="" textlink="">
          <xdr:nvSpPr>
            <xdr:cNvPr id="20629" name="Drop Down 149" hidden="1">
              <a:extLst>
                <a:ext uri="{63B3BB69-23CF-44E3-9099-C40C66FF867C}">
                  <a14:compatExt spid="_x0000_s20629"/>
                </a:ext>
                <a:ext uri="{FF2B5EF4-FFF2-40B4-BE49-F238E27FC236}">
                  <a16:creationId xmlns:a16="http://schemas.microsoft.com/office/drawing/2014/main" id="{00000000-0008-0000-0500-00009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69</xdr:row>
          <xdr:rowOff>0</xdr:rowOff>
        </xdr:from>
        <xdr:to>
          <xdr:col>4</xdr:col>
          <xdr:colOff>0</xdr:colOff>
          <xdr:row>70</xdr:row>
          <xdr:rowOff>0</xdr:rowOff>
        </xdr:to>
        <xdr:sp macro="" textlink="">
          <xdr:nvSpPr>
            <xdr:cNvPr id="20631" name="Drop Down 151" hidden="1">
              <a:extLst>
                <a:ext uri="{63B3BB69-23CF-44E3-9099-C40C66FF867C}">
                  <a14:compatExt spid="_x0000_s20631"/>
                </a:ext>
                <a:ext uri="{FF2B5EF4-FFF2-40B4-BE49-F238E27FC236}">
                  <a16:creationId xmlns:a16="http://schemas.microsoft.com/office/drawing/2014/main" id="{00000000-0008-0000-0500-000097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50</xdr:row>
          <xdr:rowOff>0</xdr:rowOff>
        </xdr:from>
        <xdr:to>
          <xdr:col>6</xdr:col>
          <xdr:colOff>0</xdr:colOff>
          <xdr:row>51</xdr:row>
          <xdr:rowOff>0</xdr:rowOff>
        </xdr:to>
        <xdr:sp macro="" textlink="">
          <xdr:nvSpPr>
            <xdr:cNvPr id="20636" name="Drop Down 156" hidden="1">
              <a:extLst>
                <a:ext uri="{63B3BB69-23CF-44E3-9099-C40C66FF867C}">
                  <a14:compatExt spid="_x0000_s20636"/>
                </a:ext>
                <a:ext uri="{FF2B5EF4-FFF2-40B4-BE49-F238E27FC236}">
                  <a16:creationId xmlns:a16="http://schemas.microsoft.com/office/drawing/2014/main" id="{00000000-0008-0000-0500-00009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51</xdr:row>
          <xdr:rowOff>0</xdr:rowOff>
        </xdr:from>
        <xdr:to>
          <xdr:col>6</xdr:col>
          <xdr:colOff>0</xdr:colOff>
          <xdr:row>52</xdr:row>
          <xdr:rowOff>0</xdr:rowOff>
        </xdr:to>
        <xdr:sp macro="" textlink="">
          <xdr:nvSpPr>
            <xdr:cNvPr id="20637" name="Drop Down 157" hidden="1">
              <a:extLst>
                <a:ext uri="{63B3BB69-23CF-44E3-9099-C40C66FF867C}">
                  <a14:compatExt spid="_x0000_s20637"/>
                </a:ext>
                <a:ext uri="{FF2B5EF4-FFF2-40B4-BE49-F238E27FC236}">
                  <a16:creationId xmlns:a16="http://schemas.microsoft.com/office/drawing/2014/main" id="{00000000-0008-0000-0500-00009D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52</xdr:row>
          <xdr:rowOff>0</xdr:rowOff>
        </xdr:from>
        <xdr:to>
          <xdr:col>6</xdr:col>
          <xdr:colOff>0</xdr:colOff>
          <xdr:row>53</xdr:row>
          <xdr:rowOff>0</xdr:rowOff>
        </xdr:to>
        <xdr:sp macro="" textlink="">
          <xdr:nvSpPr>
            <xdr:cNvPr id="20638" name="Drop Down 158" hidden="1">
              <a:extLst>
                <a:ext uri="{63B3BB69-23CF-44E3-9099-C40C66FF867C}">
                  <a14:compatExt spid="_x0000_s20638"/>
                </a:ext>
                <a:ext uri="{FF2B5EF4-FFF2-40B4-BE49-F238E27FC236}">
                  <a16:creationId xmlns:a16="http://schemas.microsoft.com/office/drawing/2014/main" id="{00000000-0008-0000-0500-00009E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53</xdr:row>
          <xdr:rowOff>0</xdr:rowOff>
        </xdr:from>
        <xdr:to>
          <xdr:col>6</xdr:col>
          <xdr:colOff>0</xdr:colOff>
          <xdr:row>54</xdr:row>
          <xdr:rowOff>0</xdr:rowOff>
        </xdr:to>
        <xdr:sp macro="" textlink="">
          <xdr:nvSpPr>
            <xdr:cNvPr id="20640" name="Drop Down 160" hidden="1">
              <a:extLst>
                <a:ext uri="{63B3BB69-23CF-44E3-9099-C40C66FF867C}">
                  <a14:compatExt spid="_x0000_s20640"/>
                </a:ext>
                <a:ext uri="{FF2B5EF4-FFF2-40B4-BE49-F238E27FC236}">
                  <a16:creationId xmlns:a16="http://schemas.microsoft.com/office/drawing/2014/main" id="{00000000-0008-0000-0500-0000A0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54</xdr:row>
          <xdr:rowOff>0</xdr:rowOff>
        </xdr:from>
        <xdr:to>
          <xdr:col>6</xdr:col>
          <xdr:colOff>0</xdr:colOff>
          <xdr:row>55</xdr:row>
          <xdr:rowOff>0</xdr:rowOff>
        </xdr:to>
        <xdr:sp macro="" textlink="">
          <xdr:nvSpPr>
            <xdr:cNvPr id="20642" name="Drop Down 162" hidden="1">
              <a:extLst>
                <a:ext uri="{63B3BB69-23CF-44E3-9099-C40C66FF867C}">
                  <a14:compatExt spid="_x0000_s20642"/>
                </a:ext>
                <a:ext uri="{FF2B5EF4-FFF2-40B4-BE49-F238E27FC236}">
                  <a16:creationId xmlns:a16="http://schemas.microsoft.com/office/drawing/2014/main" id="{00000000-0008-0000-0500-0000A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55</xdr:row>
          <xdr:rowOff>0</xdr:rowOff>
        </xdr:from>
        <xdr:to>
          <xdr:col>6</xdr:col>
          <xdr:colOff>0</xdr:colOff>
          <xdr:row>56</xdr:row>
          <xdr:rowOff>0</xdr:rowOff>
        </xdr:to>
        <xdr:sp macro="" textlink="">
          <xdr:nvSpPr>
            <xdr:cNvPr id="20644" name="Drop Down 164" hidden="1">
              <a:extLst>
                <a:ext uri="{63B3BB69-23CF-44E3-9099-C40C66FF867C}">
                  <a14:compatExt spid="_x0000_s20644"/>
                </a:ext>
                <a:ext uri="{FF2B5EF4-FFF2-40B4-BE49-F238E27FC236}">
                  <a16:creationId xmlns:a16="http://schemas.microsoft.com/office/drawing/2014/main" id="{00000000-0008-0000-0500-0000A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56</xdr:row>
          <xdr:rowOff>0</xdr:rowOff>
        </xdr:from>
        <xdr:to>
          <xdr:col>6</xdr:col>
          <xdr:colOff>0</xdr:colOff>
          <xdr:row>57</xdr:row>
          <xdr:rowOff>0</xdr:rowOff>
        </xdr:to>
        <xdr:sp macro="" textlink="">
          <xdr:nvSpPr>
            <xdr:cNvPr id="20646" name="Drop Down 166" hidden="1">
              <a:extLst>
                <a:ext uri="{63B3BB69-23CF-44E3-9099-C40C66FF867C}">
                  <a14:compatExt spid="_x0000_s20646"/>
                </a:ext>
                <a:ext uri="{FF2B5EF4-FFF2-40B4-BE49-F238E27FC236}">
                  <a16:creationId xmlns:a16="http://schemas.microsoft.com/office/drawing/2014/main" id="{00000000-0008-0000-0500-0000A6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57</xdr:row>
          <xdr:rowOff>0</xdr:rowOff>
        </xdr:from>
        <xdr:to>
          <xdr:col>6</xdr:col>
          <xdr:colOff>0</xdr:colOff>
          <xdr:row>58</xdr:row>
          <xdr:rowOff>0</xdr:rowOff>
        </xdr:to>
        <xdr:sp macro="" textlink="">
          <xdr:nvSpPr>
            <xdr:cNvPr id="20647" name="Drop Down 167" hidden="1">
              <a:extLst>
                <a:ext uri="{63B3BB69-23CF-44E3-9099-C40C66FF867C}">
                  <a14:compatExt spid="_x0000_s20647"/>
                </a:ext>
                <a:ext uri="{FF2B5EF4-FFF2-40B4-BE49-F238E27FC236}">
                  <a16:creationId xmlns:a16="http://schemas.microsoft.com/office/drawing/2014/main" id="{00000000-0008-0000-0500-0000A7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58</xdr:row>
          <xdr:rowOff>0</xdr:rowOff>
        </xdr:from>
        <xdr:to>
          <xdr:col>6</xdr:col>
          <xdr:colOff>0</xdr:colOff>
          <xdr:row>59</xdr:row>
          <xdr:rowOff>0</xdr:rowOff>
        </xdr:to>
        <xdr:sp macro="" textlink="">
          <xdr:nvSpPr>
            <xdr:cNvPr id="20649" name="Drop Down 169" hidden="1">
              <a:extLst>
                <a:ext uri="{63B3BB69-23CF-44E3-9099-C40C66FF867C}">
                  <a14:compatExt spid="_x0000_s20649"/>
                </a:ext>
                <a:ext uri="{FF2B5EF4-FFF2-40B4-BE49-F238E27FC236}">
                  <a16:creationId xmlns:a16="http://schemas.microsoft.com/office/drawing/2014/main" id="{00000000-0008-0000-0500-0000A9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59</xdr:row>
          <xdr:rowOff>0</xdr:rowOff>
        </xdr:from>
        <xdr:to>
          <xdr:col>6</xdr:col>
          <xdr:colOff>0</xdr:colOff>
          <xdr:row>60</xdr:row>
          <xdr:rowOff>0</xdr:rowOff>
        </xdr:to>
        <xdr:sp macro="" textlink="">
          <xdr:nvSpPr>
            <xdr:cNvPr id="20651" name="Drop Down 171" hidden="1">
              <a:extLst>
                <a:ext uri="{63B3BB69-23CF-44E3-9099-C40C66FF867C}">
                  <a14:compatExt spid="_x0000_s20651"/>
                </a:ext>
                <a:ext uri="{FF2B5EF4-FFF2-40B4-BE49-F238E27FC236}">
                  <a16:creationId xmlns:a16="http://schemas.microsoft.com/office/drawing/2014/main" id="{00000000-0008-0000-0500-0000AB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60</xdr:row>
          <xdr:rowOff>0</xdr:rowOff>
        </xdr:from>
        <xdr:to>
          <xdr:col>6</xdr:col>
          <xdr:colOff>0</xdr:colOff>
          <xdr:row>61</xdr:row>
          <xdr:rowOff>0</xdr:rowOff>
        </xdr:to>
        <xdr:sp macro="" textlink="">
          <xdr:nvSpPr>
            <xdr:cNvPr id="20652" name="Drop Down 172" hidden="1">
              <a:extLst>
                <a:ext uri="{63B3BB69-23CF-44E3-9099-C40C66FF867C}">
                  <a14:compatExt spid="_x0000_s20652"/>
                </a:ext>
                <a:ext uri="{FF2B5EF4-FFF2-40B4-BE49-F238E27FC236}">
                  <a16:creationId xmlns:a16="http://schemas.microsoft.com/office/drawing/2014/main" id="{00000000-0008-0000-0500-0000A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61</xdr:row>
          <xdr:rowOff>0</xdr:rowOff>
        </xdr:from>
        <xdr:to>
          <xdr:col>6</xdr:col>
          <xdr:colOff>0</xdr:colOff>
          <xdr:row>62</xdr:row>
          <xdr:rowOff>0</xdr:rowOff>
        </xdr:to>
        <xdr:sp macro="" textlink="">
          <xdr:nvSpPr>
            <xdr:cNvPr id="20653" name="Drop Down 173" hidden="1">
              <a:extLst>
                <a:ext uri="{63B3BB69-23CF-44E3-9099-C40C66FF867C}">
                  <a14:compatExt spid="_x0000_s20653"/>
                </a:ext>
                <a:ext uri="{FF2B5EF4-FFF2-40B4-BE49-F238E27FC236}">
                  <a16:creationId xmlns:a16="http://schemas.microsoft.com/office/drawing/2014/main" id="{00000000-0008-0000-0500-0000AD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62</xdr:row>
          <xdr:rowOff>0</xdr:rowOff>
        </xdr:from>
        <xdr:to>
          <xdr:col>6</xdr:col>
          <xdr:colOff>0</xdr:colOff>
          <xdr:row>63</xdr:row>
          <xdr:rowOff>0</xdr:rowOff>
        </xdr:to>
        <xdr:sp macro="" textlink="">
          <xdr:nvSpPr>
            <xdr:cNvPr id="20654" name="Drop Down 174" hidden="1">
              <a:extLst>
                <a:ext uri="{63B3BB69-23CF-44E3-9099-C40C66FF867C}">
                  <a14:compatExt spid="_x0000_s20654"/>
                </a:ext>
                <a:ext uri="{FF2B5EF4-FFF2-40B4-BE49-F238E27FC236}">
                  <a16:creationId xmlns:a16="http://schemas.microsoft.com/office/drawing/2014/main" id="{00000000-0008-0000-0500-0000AE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63</xdr:row>
          <xdr:rowOff>0</xdr:rowOff>
        </xdr:from>
        <xdr:to>
          <xdr:col>6</xdr:col>
          <xdr:colOff>0</xdr:colOff>
          <xdr:row>64</xdr:row>
          <xdr:rowOff>0</xdr:rowOff>
        </xdr:to>
        <xdr:sp macro="" textlink="">
          <xdr:nvSpPr>
            <xdr:cNvPr id="20655" name="Drop Down 175" hidden="1">
              <a:extLst>
                <a:ext uri="{63B3BB69-23CF-44E3-9099-C40C66FF867C}">
                  <a14:compatExt spid="_x0000_s20655"/>
                </a:ext>
                <a:ext uri="{FF2B5EF4-FFF2-40B4-BE49-F238E27FC236}">
                  <a16:creationId xmlns:a16="http://schemas.microsoft.com/office/drawing/2014/main" id="{00000000-0008-0000-0500-0000AF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69</xdr:row>
          <xdr:rowOff>0</xdr:rowOff>
        </xdr:from>
        <xdr:to>
          <xdr:col>6</xdr:col>
          <xdr:colOff>0</xdr:colOff>
          <xdr:row>70</xdr:row>
          <xdr:rowOff>0</xdr:rowOff>
        </xdr:to>
        <xdr:sp macro="" textlink="">
          <xdr:nvSpPr>
            <xdr:cNvPr id="20656" name="Drop Down 176" hidden="1">
              <a:extLst>
                <a:ext uri="{63B3BB69-23CF-44E3-9099-C40C66FF867C}">
                  <a14:compatExt spid="_x0000_s20656"/>
                </a:ext>
                <a:ext uri="{FF2B5EF4-FFF2-40B4-BE49-F238E27FC236}">
                  <a16:creationId xmlns:a16="http://schemas.microsoft.com/office/drawing/2014/main" id="{00000000-0008-0000-0500-0000B0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20657" name="Drop Down 177" hidden="1">
              <a:extLst>
                <a:ext uri="{63B3BB69-23CF-44E3-9099-C40C66FF867C}">
                  <a14:compatExt spid="_x0000_s20657"/>
                </a:ext>
                <a:ext uri="{FF2B5EF4-FFF2-40B4-BE49-F238E27FC236}">
                  <a16:creationId xmlns:a16="http://schemas.microsoft.com/office/drawing/2014/main" id="{00000000-0008-0000-0500-0000B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20658" name="Drop Down 178" hidden="1">
              <a:extLst>
                <a:ext uri="{63B3BB69-23CF-44E3-9099-C40C66FF867C}">
                  <a14:compatExt spid="_x0000_s20658"/>
                </a:ext>
                <a:ext uri="{FF2B5EF4-FFF2-40B4-BE49-F238E27FC236}">
                  <a16:creationId xmlns:a16="http://schemas.microsoft.com/office/drawing/2014/main" id="{00000000-0008-0000-0500-0000B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20660" name="Drop Down 180" hidden="1">
              <a:extLst>
                <a:ext uri="{63B3BB69-23CF-44E3-9099-C40C66FF867C}">
                  <a14:compatExt spid="_x0000_s20660"/>
                </a:ext>
                <a:ext uri="{FF2B5EF4-FFF2-40B4-BE49-F238E27FC236}">
                  <a16:creationId xmlns:a16="http://schemas.microsoft.com/office/drawing/2014/main" id="{00000000-0008-0000-0500-0000B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20662" name="Drop Down 182" hidden="1">
              <a:extLst>
                <a:ext uri="{63B3BB69-23CF-44E3-9099-C40C66FF867C}">
                  <a14:compatExt spid="_x0000_s20662"/>
                </a:ext>
                <a:ext uri="{FF2B5EF4-FFF2-40B4-BE49-F238E27FC236}">
                  <a16:creationId xmlns:a16="http://schemas.microsoft.com/office/drawing/2014/main" id="{00000000-0008-0000-0500-0000B6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20663" name="Drop Down 183" hidden="1">
              <a:extLst>
                <a:ext uri="{63B3BB69-23CF-44E3-9099-C40C66FF867C}">
                  <a14:compatExt spid="_x0000_s20663"/>
                </a:ext>
                <a:ext uri="{FF2B5EF4-FFF2-40B4-BE49-F238E27FC236}">
                  <a16:creationId xmlns:a16="http://schemas.microsoft.com/office/drawing/2014/main" id="{00000000-0008-0000-0500-0000B7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20664" name="Drop Down 184" hidden="1">
              <a:extLst>
                <a:ext uri="{63B3BB69-23CF-44E3-9099-C40C66FF867C}">
                  <a14:compatExt spid="_x0000_s20664"/>
                </a:ext>
                <a:ext uri="{FF2B5EF4-FFF2-40B4-BE49-F238E27FC236}">
                  <a16:creationId xmlns:a16="http://schemas.microsoft.com/office/drawing/2014/main" id="{00000000-0008-0000-0500-0000B8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20665" name="Drop Down 185" hidden="1">
              <a:extLst>
                <a:ext uri="{63B3BB69-23CF-44E3-9099-C40C66FF867C}">
                  <a14:compatExt spid="_x0000_s20665"/>
                </a:ext>
                <a:ext uri="{FF2B5EF4-FFF2-40B4-BE49-F238E27FC236}">
                  <a16:creationId xmlns:a16="http://schemas.microsoft.com/office/drawing/2014/main" id="{00000000-0008-0000-0500-0000B9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20666" name="Drop Down 186" hidden="1">
              <a:extLst>
                <a:ext uri="{63B3BB69-23CF-44E3-9099-C40C66FF867C}">
                  <a14:compatExt spid="_x0000_s20666"/>
                </a:ext>
                <a:ext uri="{FF2B5EF4-FFF2-40B4-BE49-F238E27FC236}">
                  <a16:creationId xmlns:a16="http://schemas.microsoft.com/office/drawing/2014/main" id="{00000000-0008-0000-0500-0000BA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20667" name="Drop Down 187" hidden="1">
              <a:extLst>
                <a:ext uri="{63B3BB69-23CF-44E3-9099-C40C66FF867C}">
                  <a14:compatExt spid="_x0000_s20667"/>
                </a:ext>
                <a:ext uri="{FF2B5EF4-FFF2-40B4-BE49-F238E27FC236}">
                  <a16:creationId xmlns:a16="http://schemas.microsoft.com/office/drawing/2014/main" id="{00000000-0008-0000-0500-0000BB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20668" name="Drop Down 188" hidden="1">
              <a:extLst>
                <a:ext uri="{63B3BB69-23CF-44E3-9099-C40C66FF867C}">
                  <a14:compatExt spid="_x0000_s20668"/>
                </a:ext>
                <a:ext uri="{FF2B5EF4-FFF2-40B4-BE49-F238E27FC236}">
                  <a16:creationId xmlns:a16="http://schemas.microsoft.com/office/drawing/2014/main" id="{00000000-0008-0000-0500-0000B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20669" name="Drop Down 189" hidden="1">
              <a:extLst>
                <a:ext uri="{63B3BB69-23CF-44E3-9099-C40C66FF867C}">
                  <a14:compatExt spid="_x0000_s20669"/>
                </a:ext>
                <a:ext uri="{FF2B5EF4-FFF2-40B4-BE49-F238E27FC236}">
                  <a16:creationId xmlns:a16="http://schemas.microsoft.com/office/drawing/2014/main" id="{00000000-0008-0000-0500-0000BD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20671" name="Drop Down 191" hidden="1">
              <a:extLst>
                <a:ext uri="{63B3BB69-23CF-44E3-9099-C40C66FF867C}">
                  <a14:compatExt spid="_x0000_s20671"/>
                </a:ext>
                <a:ext uri="{FF2B5EF4-FFF2-40B4-BE49-F238E27FC236}">
                  <a16:creationId xmlns:a16="http://schemas.microsoft.com/office/drawing/2014/main" id="{00000000-0008-0000-0500-0000BF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20672" name="Drop Down 192" hidden="1">
              <a:extLst>
                <a:ext uri="{63B3BB69-23CF-44E3-9099-C40C66FF867C}">
                  <a14:compatExt spid="_x0000_s20672"/>
                </a:ext>
                <a:ext uri="{FF2B5EF4-FFF2-40B4-BE49-F238E27FC236}">
                  <a16:creationId xmlns:a16="http://schemas.microsoft.com/office/drawing/2014/main" id="{00000000-0008-0000-0500-0000C0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20673" name="Drop Down 193" hidden="1">
              <a:extLst>
                <a:ext uri="{63B3BB69-23CF-44E3-9099-C40C66FF867C}">
                  <a14:compatExt spid="_x0000_s20673"/>
                </a:ext>
                <a:ext uri="{FF2B5EF4-FFF2-40B4-BE49-F238E27FC236}">
                  <a16:creationId xmlns:a16="http://schemas.microsoft.com/office/drawing/2014/main" id="{00000000-0008-0000-0500-0000C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20675" name="Drop Down 195" hidden="1">
              <a:extLst>
                <a:ext uri="{63B3BB69-23CF-44E3-9099-C40C66FF867C}">
                  <a14:compatExt spid="_x0000_s20675"/>
                </a:ext>
                <a:ext uri="{FF2B5EF4-FFF2-40B4-BE49-F238E27FC236}">
                  <a16:creationId xmlns:a16="http://schemas.microsoft.com/office/drawing/2014/main" id="{00000000-0008-0000-0500-0000C3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80</xdr:row>
          <xdr:rowOff>0</xdr:rowOff>
        </xdr:from>
        <xdr:to>
          <xdr:col>9</xdr:col>
          <xdr:colOff>0</xdr:colOff>
          <xdr:row>81</xdr:row>
          <xdr:rowOff>0</xdr:rowOff>
        </xdr:to>
        <xdr:sp macro="" textlink="">
          <xdr:nvSpPr>
            <xdr:cNvPr id="20688" name="Drop Down 208" hidden="1">
              <a:extLst>
                <a:ext uri="{63B3BB69-23CF-44E3-9099-C40C66FF867C}">
                  <a14:compatExt spid="_x0000_s20688"/>
                </a:ext>
                <a:ext uri="{FF2B5EF4-FFF2-40B4-BE49-F238E27FC236}">
                  <a16:creationId xmlns:a16="http://schemas.microsoft.com/office/drawing/2014/main" id="{00000000-0008-0000-0500-0000D0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xdr:row>
          <xdr:rowOff>0</xdr:rowOff>
        </xdr:from>
        <xdr:to>
          <xdr:col>4</xdr:col>
          <xdr:colOff>0</xdr:colOff>
          <xdr:row>65</xdr:row>
          <xdr:rowOff>0</xdr:rowOff>
        </xdr:to>
        <xdr:sp macro="" textlink="">
          <xdr:nvSpPr>
            <xdr:cNvPr id="20762" name="Drop Down 282" hidden="1">
              <a:extLst>
                <a:ext uri="{63B3BB69-23CF-44E3-9099-C40C66FF867C}">
                  <a14:compatExt spid="_x0000_s20762"/>
                </a:ext>
                <a:ext uri="{FF2B5EF4-FFF2-40B4-BE49-F238E27FC236}">
                  <a16:creationId xmlns:a16="http://schemas.microsoft.com/office/drawing/2014/main" id="{00000000-0008-0000-0500-00001A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65</xdr:row>
          <xdr:rowOff>0</xdr:rowOff>
        </xdr:from>
        <xdr:to>
          <xdr:col>4</xdr:col>
          <xdr:colOff>0</xdr:colOff>
          <xdr:row>66</xdr:row>
          <xdr:rowOff>0</xdr:rowOff>
        </xdr:to>
        <xdr:sp macro="" textlink="">
          <xdr:nvSpPr>
            <xdr:cNvPr id="20763" name="Drop Down 283" hidden="1">
              <a:extLst>
                <a:ext uri="{63B3BB69-23CF-44E3-9099-C40C66FF867C}">
                  <a14:compatExt spid="_x0000_s20763"/>
                </a:ext>
                <a:ext uri="{FF2B5EF4-FFF2-40B4-BE49-F238E27FC236}">
                  <a16:creationId xmlns:a16="http://schemas.microsoft.com/office/drawing/2014/main" id="{00000000-0008-0000-0500-00001B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64</xdr:row>
          <xdr:rowOff>0</xdr:rowOff>
        </xdr:from>
        <xdr:to>
          <xdr:col>6</xdr:col>
          <xdr:colOff>0</xdr:colOff>
          <xdr:row>65</xdr:row>
          <xdr:rowOff>0</xdr:rowOff>
        </xdr:to>
        <xdr:sp macro="" textlink="">
          <xdr:nvSpPr>
            <xdr:cNvPr id="20764" name="Drop Down 284" hidden="1">
              <a:extLst>
                <a:ext uri="{63B3BB69-23CF-44E3-9099-C40C66FF867C}">
                  <a14:compatExt spid="_x0000_s20764"/>
                </a:ext>
                <a:ext uri="{FF2B5EF4-FFF2-40B4-BE49-F238E27FC236}">
                  <a16:creationId xmlns:a16="http://schemas.microsoft.com/office/drawing/2014/main" id="{00000000-0008-0000-0500-00001C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65</xdr:row>
          <xdr:rowOff>0</xdr:rowOff>
        </xdr:from>
        <xdr:to>
          <xdr:col>6</xdr:col>
          <xdr:colOff>0</xdr:colOff>
          <xdr:row>66</xdr:row>
          <xdr:rowOff>0</xdr:rowOff>
        </xdr:to>
        <xdr:sp macro="" textlink="">
          <xdr:nvSpPr>
            <xdr:cNvPr id="20765" name="Drop Down 285" hidden="1">
              <a:extLst>
                <a:ext uri="{63B3BB69-23CF-44E3-9099-C40C66FF867C}">
                  <a14:compatExt spid="_x0000_s20765"/>
                </a:ext>
                <a:ext uri="{FF2B5EF4-FFF2-40B4-BE49-F238E27FC236}">
                  <a16:creationId xmlns:a16="http://schemas.microsoft.com/office/drawing/2014/main" id="{00000000-0008-0000-0500-00001D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20766" name="Drop Down 286" hidden="1">
              <a:extLst>
                <a:ext uri="{63B3BB69-23CF-44E3-9099-C40C66FF867C}">
                  <a14:compatExt spid="_x0000_s20766"/>
                </a:ext>
                <a:ext uri="{FF2B5EF4-FFF2-40B4-BE49-F238E27FC236}">
                  <a16:creationId xmlns:a16="http://schemas.microsoft.com/office/drawing/2014/main" id="{00000000-0008-0000-0500-00001E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20767" name="Drop Down 287" hidden="1">
              <a:extLst>
                <a:ext uri="{63B3BB69-23CF-44E3-9099-C40C66FF867C}">
                  <a14:compatExt spid="_x0000_s20767"/>
                </a:ext>
                <a:ext uri="{FF2B5EF4-FFF2-40B4-BE49-F238E27FC236}">
                  <a16:creationId xmlns:a16="http://schemas.microsoft.com/office/drawing/2014/main" id="{00000000-0008-0000-0500-00001F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66</xdr:row>
          <xdr:rowOff>0</xdr:rowOff>
        </xdr:from>
        <xdr:to>
          <xdr:col>4</xdr:col>
          <xdr:colOff>0</xdr:colOff>
          <xdr:row>67</xdr:row>
          <xdr:rowOff>0</xdr:rowOff>
        </xdr:to>
        <xdr:sp macro="" textlink="">
          <xdr:nvSpPr>
            <xdr:cNvPr id="20768" name="Drop Down 288" hidden="1">
              <a:extLst>
                <a:ext uri="{63B3BB69-23CF-44E3-9099-C40C66FF867C}">
                  <a14:compatExt spid="_x0000_s20768"/>
                </a:ext>
                <a:ext uri="{FF2B5EF4-FFF2-40B4-BE49-F238E27FC236}">
                  <a16:creationId xmlns:a16="http://schemas.microsoft.com/office/drawing/2014/main" id="{00000000-0008-0000-0500-000020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67</xdr:row>
          <xdr:rowOff>0</xdr:rowOff>
        </xdr:from>
        <xdr:to>
          <xdr:col>4</xdr:col>
          <xdr:colOff>0</xdr:colOff>
          <xdr:row>68</xdr:row>
          <xdr:rowOff>0</xdr:rowOff>
        </xdr:to>
        <xdr:sp macro="" textlink="">
          <xdr:nvSpPr>
            <xdr:cNvPr id="20769" name="Drop Down 289" hidden="1">
              <a:extLst>
                <a:ext uri="{63B3BB69-23CF-44E3-9099-C40C66FF867C}">
                  <a14:compatExt spid="_x0000_s20769"/>
                </a:ext>
                <a:ext uri="{FF2B5EF4-FFF2-40B4-BE49-F238E27FC236}">
                  <a16:creationId xmlns:a16="http://schemas.microsoft.com/office/drawing/2014/main" id="{00000000-0008-0000-0500-000021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66</xdr:row>
          <xdr:rowOff>0</xdr:rowOff>
        </xdr:from>
        <xdr:to>
          <xdr:col>6</xdr:col>
          <xdr:colOff>0</xdr:colOff>
          <xdr:row>67</xdr:row>
          <xdr:rowOff>0</xdr:rowOff>
        </xdr:to>
        <xdr:sp macro="" textlink="">
          <xdr:nvSpPr>
            <xdr:cNvPr id="20770" name="Drop Down 290" hidden="1">
              <a:extLst>
                <a:ext uri="{63B3BB69-23CF-44E3-9099-C40C66FF867C}">
                  <a14:compatExt spid="_x0000_s20770"/>
                </a:ext>
                <a:ext uri="{FF2B5EF4-FFF2-40B4-BE49-F238E27FC236}">
                  <a16:creationId xmlns:a16="http://schemas.microsoft.com/office/drawing/2014/main" id="{00000000-0008-0000-0500-000022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67</xdr:row>
          <xdr:rowOff>0</xdr:rowOff>
        </xdr:from>
        <xdr:to>
          <xdr:col>6</xdr:col>
          <xdr:colOff>0</xdr:colOff>
          <xdr:row>68</xdr:row>
          <xdr:rowOff>0</xdr:rowOff>
        </xdr:to>
        <xdr:sp macro="" textlink="">
          <xdr:nvSpPr>
            <xdr:cNvPr id="20771" name="Drop Down 291" hidden="1">
              <a:extLst>
                <a:ext uri="{63B3BB69-23CF-44E3-9099-C40C66FF867C}">
                  <a14:compatExt spid="_x0000_s20771"/>
                </a:ext>
                <a:ext uri="{FF2B5EF4-FFF2-40B4-BE49-F238E27FC236}">
                  <a16:creationId xmlns:a16="http://schemas.microsoft.com/office/drawing/2014/main" id="{00000000-0008-0000-0500-000023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20772" name="Drop Down 292" hidden="1">
              <a:extLst>
                <a:ext uri="{63B3BB69-23CF-44E3-9099-C40C66FF867C}">
                  <a14:compatExt spid="_x0000_s20772"/>
                </a:ext>
                <a:ext uri="{FF2B5EF4-FFF2-40B4-BE49-F238E27FC236}">
                  <a16:creationId xmlns:a16="http://schemas.microsoft.com/office/drawing/2014/main" id="{00000000-0008-0000-0500-000024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20773" name="Drop Down 293" hidden="1">
              <a:extLst>
                <a:ext uri="{63B3BB69-23CF-44E3-9099-C40C66FF867C}">
                  <a14:compatExt spid="_x0000_s20773"/>
                </a:ext>
                <a:ext uri="{FF2B5EF4-FFF2-40B4-BE49-F238E27FC236}">
                  <a16:creationId xmlns:a16="http://schemas.microsoft.com/office/drawing/2014/main" id="{00000000-0008-0000-0500-000025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68</xdr:row>
          <xdr:rowOff>0</xdr:rowOff>
        </xdr:from>
        <xdr:to>
          <xdr:col>4</xdr:col>
          <xdr:colOff>0</xdr:colOff>
          <xdr:row>69</xdr:row>
          <xdr:rowOff>0</xdr:rowOff>
        </xdr:to>
        <xdr:sp macro="" textlink="">
          <xdr:nvSpPr>
            <xdr:cNvPr id="20774" name="Drop Down 294" hidden="1">
              <a:extLst>
                <a:ext uri="{63B3BB69-23CF-44E3-9099-C40C66FF867C}">
                  <a14:compatExt spid="_x0000_s20774"/>
                </a:ext>
                <a:ext uri="{FF2B5EF4-FFF2-40B4-BE49-F238E27FC236}">
                  <a16:creationId xmlns:a16="http://schemas.microsoft.com/office/drawing/2014/main" id="{00000000-0008-0000-0500-000026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68</xdr:row>
          <xdr:rowOff>0</xdr:rowOff>
        </xdr:from>
        <xdr:to>
          <xdr:col>6</xdr:col>
          <xdr:colOff>0</xdr:colOff>
          <xdr:row>69</xdr:row>
          <xdr:rowOff>0</xdr:rowOff>
        </xdr:to>
        <xdr:sp macro="" textlink="">
          <xdr:nvSpPr>
            <xdr:cNvPr id="20775" name="Drop Down 295" hidden="1">
              <a:extLst>
                <a:ext uri="{63B3BB69-23CF-44E3-9099-C40C66FF867C}">
                  <a14:compatExt spid="_x0000_s20775"/>
                </a:ext>
                <a:ext uri="{FF2B5EF4-FFF2-40B4-BE49-F238E27FC236}">
                  <a16:creationId xmlns:a16="http://schemas.microsoft.com/office/drawing/2014/main" id="{00000000-0008-0000-0500-000027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20776" name="Drop Down 296" hidden="1">
              <a:extLst>
                <a:ext uri="{63B3BB69-23CF-44E3-9099-C40C66FF867C}">
                  <a14:compatExt spid="_x0000_s20776"/>
                </a:ext>
                <a:ext uri="{FF2B5EF4-FFF2-40B4-BE49-F238E27FC236}">
                  <a16:creationId xmlns:a16="http://schemas.microsoft.com/office/drawing/2014/main" id="{00000000-0008-0000-0500-000028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323850</xdr:colOff>
      <xdr:row>0</xdr:row>
      <xdr:rowOff>0</xdr:rowOff>
    </xdr:from>
    <xdr:to>
      <xdr:col>2</xdr:col>
      <xdr:colOff>1866901</xdr:colOff>
      <xdr:row>1</xdr:row>
      <xdr:rowOff>238125</xdr:rowOff>
    </xdr:to>
    <xdr:sp macro="" textlink="'Translation Table'!$H$35">
      <xdr:nvSpPr>
        <xdr:cNvPr id="2" name="Arrow: Right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3819525" y="0"/>
          <a:ext cx="1543051" cy="533400"/>
        </a:xfrm>
        <a:prstGeom prst="rightArrow">
          <a:avLst/>
        </a:prstGeom>
        <a:solidFill>
          <a:srgbClr val="00A9B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mc:AlternateContent xmlns:mc="http://schemas.openxmlformats.org/markup-compatibility/2006">
    <mc:Choice xmlns:a14="http://schemas.microsoft.com/office/drawing/2010/main" Requires="a14">
      <xdr:twoCellAnchor>
        <xdr:from>
          <xdr:col>4</xdr:col>
          <xdr:colOff>0</xdr:colOff>
          <xdr:row>34</xdr:row>
          <xdr:rowOff>0</xdr:rowOff>
        </xdr:from>
        <xdr:to>
          <xdr:col>5</xdr:col>
          <xdr:colOff>0</xdr:colOff>
          <xdr:row>35</xdr:row>
          <xdr:rowOff>0</xdr:rowOff>
        </xdr:to>
        <xdr:sp macro="" textlink="">
          <xdr:nvSpPr>
            <xdr:cNvPr id="20779" name="Drop Down 299" hidden="1">
              <a:extLst>
                <a:ext uri="{63B3BB69-23CF-44E3-9099-C40C66FF867C}">
                  <a14:compatExt spid="_x0000_s20779"/>
                </a:ext>
                <a:ext uri="{FF2B5EF4-FFF2-40B4-BE49-F238E27FC236}">
                  <a16:creationId xmlns:a16="http://schemas.microsoft.com/office/drawing/2014/main" id="{00000000-0008-0000-0500-00002B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36</xdr:row>
          <xdr:rowOff>0</xdr:rowOff>
        </xdr:from>
        <xdr:to>
          <xdr:col>5</xdr:col>
          <xdr:colOff>0</xdr:colOff>
          <xdr:row>37</xdr:row>
          <xdr:rowOff>0</xdr:rowOff>
        </xdr:to>
        <xdr:sp macro="" textlink="">
          <xdr:nvSpPr>
            <xdr:cNvPr id="20780" name="Drop Down 300" hidden="1">
              <a:extLst>
                <a:ext uri="{63B3BB69-23CF-44E3-9099-C40C66FF867C}">
                  <a14:compatExt spid="_x0000_s20780"/>
                </a:ext>
                <a:ext uri="{FF2B5EF4-FFF2-40B4-BE49-F238E27FC236}">
                  <a16:creationId xmlns:a16="http://schemas.microsoft.com/office/drawing/2014/main" id="{00000000-0008-0000-0500-00002C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37</xdr:row>
          <xdr:rowOff>0</xdr:rowOff>
        </xdr:from>
        <xdr:to>
          <xdr:col>5</xdr:col>
          <xdr:colOff>0</xdr:colOff>
          <xdr:row>38</xdr:row>
          <xdr:rowOff>0</xdr:rowOff>
        </xdr:to>
        <xdr:sp macro="" textlink="">
          <xdr:nvSpPr>
            <xdr:cNvPr id="20781" name="Drop Down 301" hidden="1">
              <a:extLst>
                <a:ext uri="{63B3BB69-23CF-44E3-9099-C40C66FF867C}">
                  <a14:compatExt spid="_x0000_s20781"/>
                </a:ext>
                <a:ext uri="{FF2B5EF4-FFF2-40B4-BE49-F238E27FC236}">
                  <a16:creationId xmlns:a16="http://schemas.microsoft.com/office/drawing/2014/main" id="{00000000-0008-0000-0500-00002D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38</xdr:row>
          <xdr:rowOff>0</xdr:rowOff>
        </xdr:from>
        <xdr:to>
          <xdr:col>5</xdr:col>
          <xdr:colOff>0</xdr:colOff>
          <xdr:row>39</xdr:row>
          <xdr:rowOff>0</xdr:rowOff>
        </xdr:to>
        <xdr:sp macro="" textlink="">
          <xdr:nvSpPr>
            <xdr:cNvPr id="20782" name="Drop Down 302" hidden="1">
              <a:extLst>
                <a:ext uri="{63B3BB69-23CF-44E3-9099-C40C66FF867C}">
                  <a14:compatExt spid="_x0000_s20782"/>
                </a:ext>
                <a:ext uri="{FF2B5EF4-FFF2-40B4-BE49-F238E27FC236}">
                  <a16:creationId xmlns:a16="http://schemas.microsoft.com/office/drawing/2014/main" id="{00000000-0008-0000-0500-00002E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39</xdr:row>
          <xdr:rowOff>0</xdr:rowOff>
        </xdr:from>
        <xdr:to>
          <xdr:col>5</xdr:col>
          <xdr:colOff>0</xdr:colOff>
          <xdr:row>40</xdr:row>
          <xdr:rowOff>0</xdr:rowOff>
        </xdr:to>
        <xdr:sp macro="" textlink="">
          <xdr:nvSpPr>
            <xdr:cNvPr id="20783" name="Drop Down 303" hidden="1">
              <a:extLst>
                <a:ext uri="{63B3BB69-23CF-44E3-9099-C40C66FF867C}">
                  <a14:compatExt spid="_x0000_s20783"/>
                </a:ext>
                <a:ext uri="{FF2B5EF4-FFF2-40B4-BE49-F238E27FC236}">
                  <a16:creationId xmlns:a16="http://schemas.microsoft.com/office/drawing/2014/main" id="{00000000-0008-0000-0500-00002F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40</xdr:row>
          <xdr:rowOff>0</xdr:rowOff>
        </xdr:from>
        <xdr:to>
          <xdr:col>5</xdr:col>
          <xdr:colOff>0</xdr:colOff>
          <xdr:row>41</xdr:row>
          <xdr:rowOff>0</xdr:rowOff>
        </xdr:to>
        <xdr:sp macro="" textlink="">
          <xdr:nvSpPr>
            <xdr:cNvPr id="20784" name="Drop Down 304" hidden="1">
              <a:extLst>
                <a:ext uri="{63B3BB69-23CF-44E3-9099-C40C66FF867C}">
                  <a14:compatExt spid="_x0000_s20784"/>
                </a:ext>
                <a:ext uri="{FF2B5EF4-FFF2-40B4-BE49-F238E27FC236}">
                  <a16:creationId xmlns:a16="http://schemas.microsoft.com/office/drawing/2014/main" id="{00000000-0008-0000-0500-000030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41</xdr:row>
          <xdr:rowOff>0</xdr:rowOff>
        </xdr:from>
        <xdr:to>
          <xdr:col>5</xdr:col>
          <xdr:colOff>0</xdr:colOff>
          <xdr:row>42</xdr:row>
          <xdr:rowOff>0</xdr:rowOff>
        </xdr:to>
        <xdr:sp macro="" textlink="">
          <xdr:nvSpPr>
            <xdr:cNvPr id="20785" name="Drop Down 305" hidden="1">
              <a:extLst>
                <a:ext uri="{63B3BB69-23CF-44E3-9099-C40C66FF867C}">
                  <a14:compatExt spid="_x0000_s20785"/>
                </a:ext>
                <a:ext uri="{FF2B5EF4-FFF2-40B4-BE49-F238E27FC236}">
                  <a16:creationId xmlns:a16="http://schemas.microsoft.com/office/drawing/2014/main" id="{00000000-0008-0000-0500-000031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42</xdr:row>
          <xdr:rowOff>0</xdr:rowOff>
        </xdr:from>
        <xdr:to>
          <xdr:col>5</xdr:col>
          <xdr:colOff>0</xdr:colOff>
          <xdr:row>43</xdr:row>
          <xdr:rowOff>0</xdr:rowOff>
        </xdr:to>
        <xdr:sp macro="" textlink="">
          <xdr:nvSpPr>
            <xdr:cNvPr id="20786" name="Drop Down 306" hidden="1">
              <a:extLst>
                <a:ext uri="{63B3BB69-23CF-44E3-9099-C40C66FF867C}">
                  <a14:compatExt spid="_x0000_s20786"/>
                </a:ext>
                <a:ext uri="{FF2B5EF4-FFF2-40B4-BE49-F238E27FC236}">
                  <a16:creationId xmlns:a16="http://schemas.microsoft.com/office/drawing/2014/main" id="{00000000-0008-0000-0500-000032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43</xdr:row>
          <xdr:rowOff>0</xdr:rowOff>
        </xdr:from>
        <xdr:to>
          <xdr:col>5</xdr:col>
          <xdr:colOff>0</xdr:colOff>
          <xdr:row>44</xdr:row>
          <xdr:rowOff>0</xdr:rowOff>
        </xdr:to>
        <xdr:sp macro="" textlink="">
          <xdr:nvSpPr>
            <xdr:cNvPr id="20787" name="Drop Down 307" hidden="1">
              <a:extLst>
                <a:ext uri="{63B3BB69-23CF-44E3-9099-C40C66FF867C}">
                  <a14:compatExt spid="_x0000_s20787"/>
                </a:ext>
                <a:ext uri="{FF2B5EF4-FFF2-40B4-BE49-F238E27FC236}">
                  <a16:creationId xmlns:a16="http://schemas.microsoft.com/office/drawing/2014/main" id="{00000000-0008-0000-0500-000033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44</xdr:row>
          <xdr:rowOff>0</xdr:rowOff>
        </xdr:from>
        <xdr:to>
          <xdr:col>5</xdr:col>
          <xdr:colOff>0</xdr:colOff>
          <xdr:row>45</xdr:row>
          <xdr:rowOff>0</xdr:rowOff>
        </xdr:to>
        <xdr:sp macro="" textlink="">
          <xdr:nvSpPr>
            <xdr:cNvPr id="20788" name="Drop Down 308" hidden="1">
              <a:extLst>
                <a:ext uri="{63B3BB69-23CF-44E3-9099-C40C66FF867C}">
                  <a14:compatExt spid="_x0000_s20788"/>
                </a:ext>
                <a:ext uri="{FF2B5EF4-FFF2-40B4-BE49-F238E27FC236}">
                  <a16:creationId xmlns:a16="http://schemas.microsoft.com/office/drawing/2014/main" id="{00000000-0008-0000-0500-000034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xdr:row>
          <xdr:rowOff>0</xdr:rowOff>
        </xdr:from>
        <xdr:to>
          <xdr:col>5</xdr:col>
          <xdr:colOff>0</xdr:colOff>
          <xdr:row>46</xdr:row>
          <xdr:rowOff>0</xdr:rowOff>
        </xdr:to>
        <xdr:sp macro="" textlink="">
          <xdr:nvSpPr>
            <xdr:cNvPr id="20789" name="Drop Down 309" hidden="1">
              <a:extLst>
                <a:ext uri="{63B3BB69-23CF-44E3-9099-C40C66FF867C}">
                  <a14:compatExt spid="_x0000_s20789"/>
                </a:ext>
                <a:ext uri="{FF2B5EF4-FFF2-40B4-BE49-F238E27FC236}">
                  <a16:creationId xmlns:a16="http://schemas.microsoft.com/office/drawing/2014/main" id="{00000000-0008-0000-0500-000035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35</xdr:row>
          <xdr:rowOff>0</xdr:rowOff>
        </xdr:from>
        <xdr:to>
          <xdr:col>5</xdr:col>
          <xdr:colOff>0</xdr:colOff>
          <xdr:row>36</xdr:row>
          <xdr:rowOff>0</xdr:rowOff>
        </xdr:to>
        <xdr:sp macro="" textlink="">
          <xdr:nvSpPr>
            <xdr:cNvPr id="20790" name="Drop Down 310" hidden="1">
              <a:extLst>
                <a:ext uri="{63B3BB69-23CF-44E3-9099-C40C66FF867C}">
                  <a14:compatExt spid="_x0000_s20790"/>
                </a:ext>
                <a:ext uri="{FF2B5EF4-FFF2-40B4-BE49-F238E27FC236}">
                  <a16:creationId xmlns:a16="http://schemas.microsoft.com/office/drawing/2014/main" id="{00000000-0008-0000-0500-0000365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39</xdr:row>
          <xdr:rowOff>0</xdr:rowOff>
        </xdr:from>
        <xdr:to>
          <xdr:col>1</xdr:col>
          <xdr:colOff>0</xdr:colOff>
          <xdr:row>40</xdr:row>
          <xdr:rowOff>0</xdr:rowOff>
        </xdr:to>
        <xdr:sp macro="" textlink="">
          <xdr:nvSpPr>
            <xdr:cNvPr id="106544" name="Drop Down 48" hidden="1">
              <a:extLst>
                <a:ext uri="{63B3BB69-23CF-44E3-9099-C40C66FF867C}">
                  <a14:compatExt spid="_x0000_s106544"/>
                </a:ext>
                <a:ext uri="{FF2B5EF4-FFF2-40B4-BE49-F238E27FC236}">
                  <a16:creationId xmlns:a16="http://schemas.microsoft.com/office/drawing/2014/main" id="{00000000-0008-0000-0600-000030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0</xdr:rowOff>
        </xdr:from>
        <xdr:to>
          <xdr:col>1</xdr:col>
          <xdr:colOff>0</xdr:colOff>
          <xdr:row>41</xdr:row>
          <xdr:rowOff>0</xdr:rowOff>
        </xdr:to>
        <xdr:sp macro="" textlink="">
          <xdr:nvSpPr>
            <xdr:cNvPr id="106575" name="Drop Down 79" hidden="1">
              <a:extLst>
                <a:ext uri="{63B3BB69-23CF-44E3-9099-C40C66FF867C}">
                  <a14:compatExt spid="_x0000_s106575"/>
                </a:ext>
                <a:ext uri="{FF2B5EF4-FFF2-40B4-BE49-F238E27FC236}">
                  <a16:creationId xmlns:a16="http://schemas.microsoft.com/office/drawing/2014/main" id="{00000000-0008-0000-0600-00004F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41</xdr:row>
          <xdr:rowOff>0</xdr:rowOff>
        </xdr:from>
        <xdr:to>
          <xdr:col>1</xdr:col>
          <xdr:colOff>0</xdr:colOff>
          <xdr:row>42</xdr:row>
          <xdr:rowOff>0</xdr:rowOff>
        </xdr:to>
        <xdr:sp macro="" textlink="">
          <xdr:nvSpPr>
            <xdr:cNvPr id="106576" name="Drop Down 80" hidden="1">
              <a:extLst>
                <a:ext uri="{63B3BB69-23CF-44E3-9099-C40C66FF867C}">
                  <a14:compatExt spid="_x0000_s106576"/>
                </a:ext>
                <a:ext uri="{FF2B5EF4-FFF2-40B4-BE49-F238E27FC236}">
                  <a16:creationId xmlns:a16="http://schemas.microsoft.com/office/drawing/2014/main" id="{00000000-0008-0000-0600-000050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xdr:row>
          <xdr:rowOff>0</xdr:rowOff>
        </xdr:from>
        <xdr:to>
          <xdr:col>1</xdr:col>
          <xdr:colOff>0</xdr:colOff>
          <xdr:row>43</xdr:row>
          <xdr:rowOff>0</xdr:rowOff>
        </xdr:to>
        <xdr:sp macro="" textlink="">
          <xdr:nvSpPr>
            <xdr:cNvPr id="106577" name="Drop Down 81" hidden="1">
              <a:extLst>
                <a:ext uri="{63B3BB69-23CF-44E3-9099-C40C66FF867C}">
                  <a14:compatExt spid="_x0000_s106577"/>
                </a:ext>
                <a:ext uri="{FF2B5EF4-FFF2-40B4-BE49-F238E27FC236}">
                  <a16:creationId xmlns:a16="http://schemas.microsoft.com/office/drawing/2014/main" id="{00000000-0008-0000-0600-000051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0</xdr:rowOff>
        </xdr:from>
        <xdr:to>
          <xdr:col>1</xdr:col>
          <xdr:colOff>0</xdr:colOff>
          <xdr:row>44</xdr:row>
          <xdr:rowOff>0</xdr:rowOff>
        </xdr:to>
        <xdr:sp macro="" textlink="">
          <xdr:nvSpPr>
            <xdr:cNvPr id="106578" name="Drop Down 82" hidden="1">
              <a:extLst>
                <a:ext uri="{63B3BB69-23CF-44E3-9099-C40C66FF867C}">
                  <a14:compatExt spid="_x0000_s106578"/>
                </a:ext>
                <a:ext uri="{FF2B5EF4-FFF2-40B4-BE49-F238E27FC236}">
                  <a16:creationId xmlns:a16="http://schemas.microsoft.com/office/drawing/2014/main" id="{00000000-0008-0000-0600-00005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44</xdr:row>
          <xdr:rowOff>0</xdr:rowOff>
        </xdr:from>
        <xdr:to>
          <xdr:col>1</xdr:col>
          <xdr:colOff>0</xdr:colOff>
          <xdr:row>45</xdr:row>
          <xdr:rowOff>0</xdr:rowOff>
        </xdr:to>
        <xdr:sp macro="" textlink="">
          <xdr:nvSpPr>
            <xdr:cNvPr id="106579" name="Drop Down 83" hidden="1">
              <a:extLst>
                <a:ext uri="{63B3BB69-23CF-44E3-9099-C40C66FF867C}">
                  <a14:compatExt spid="_x0000_s106579"/>
                </a:ext>
                <a:ext uri="{FF2B5EF4-FFF2-40B4-BE49-F238E27FC236}">
                  <a16:creationId xmlns:a16="http://schemas.microsoft.com/office/drawing/2014/main" id="{00000000-0008-0000-0600-000053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45</xdr:row>
          <xdr:rowOff>0</xdr:rowOff>
        </xdr:from>
        <xdr:to>
          <xdr:col>1</xdr:col>
          <xdr:colOff>0</xdr:colOff>
          <xdr:row>46</xdr:row>
          <xdr:rowOff>0</xdr:rowOff>
        </xdr:to>
        <xdr:sp macro="" textlink="">
          <xdr:nvSpPr>
            <xdr:cNvPr id="106580" name="Drop Down 84" hidden="1">
              <a:extLst>
                <a:ext uri="{63B3BB69-23CF-44E3-9099-C40C66FF867C}">
                  <a14:compatExt spid="_x0000_s106580"/>
                </a:ext>
                <a:ext uri="{FF2B5EF4-FFF2-40B4-BE49-F238E27FC236}">
                  <a16:creationId xmlns:a16="http://schemas.microsoft.com/office/drawing/2014/main" id="{00000000-0008-0000-0600-000054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46</xdr:row>
          <xdr:rowOff>0</xdr:rowOff>
        </xdr:from>
        <xdr:to>
          <xdr:col>1</xdr:col>
          <xdr:colOff>0</xdr:colOff>
          <xdr:row>47</xdr:row>
          <xdr:rowOff>0</xdr:rowOff>
        </xdr:to>
        <xdr:sp macro="" textlink="">
          <xdr:nvSpPr>
            <xdr:cNvPr id="106581" name="Drop Down 85" hidden="1">
              <a:extLst>
                <a:ext uri="{63B3BB69-23CF-44E3-9099-C40C66FF867C}">
                  <a14:compatExt spid="_x0000_s106581"/>
                </a:ext>
                <a:ext uri="{FF2B5EF4-FFF2-40B4-BE49-F238E27FC236}">
                  <a16:creationId xmlns:a16="http://schemas.microsoft.com/office/drawing/2014/main" id="{00000000-0008-0000-0600-000055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0</xdr:rowOff>
        </xdr:from>
        <xdr:to>
          <xdr:col>1</xdr:col>
          <xdr:colOff>0</xdr:colOff>
          <xdr:row>48</xdr:row>
          <xdr:rowOff>0</xdr:rowOff>
        </xdr:to>
        <xdr:sp macro="" textlink="">
          <xdr:nvSpPr>
            <xdr:cNvPr id="106582" name="Drop Down 86" hidden="1">
              <a:extLst>
                <a:ext uri="{63B3BB69-23CF-44E3-9099-C40C66FF867C}">
                  <a14:compatExt spid="_x0000_s106582"/>
                </a:ext>
                <a:ext uri="{FF2B5EF4-FFF2-40B4-BE49-F238E27FC236}">
                  <a16:creationId xmlns:a16="http://schemas.microsoft.com/office/drawing/2014/main" id="{00000000-0008-0000-0600-000056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48</xdr:row>
          <xdr:rowOff>0</xdr:rowOff>
        </xdr:from>
        <xdr:to>
          <xdr:col>1</xdr:col>
          <xdr:colOff>0</xdr:colOff>
          <xdr:row>49</xdr:row>
          <xdr:rowOff>0</xdr:rowOff>
        </xdr:to>
        <xdr:sp macro="" textlink="">
          <xdr:nvSpPr>
            <xdr:cNvPr id="106583" name="Drop Down 87" hidden="1">
              <a:extLst>
                <a:ext uri="{63B3BB69-23CF-44E3-9099-C40C66FF867C}">
                  <a14:compatExt spid="_x0000_s106583"/>
                </a:ext>
                <a:ext uri="{FF2B5EF4-FFF2-40B4-BE49-F238E27FC236}">
                  <a16:creationId xmlns:a16="http://schemas.microsoft.com/office/drawing/2014/main" id="{00000000-0008-0000-0600-000057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49</xdr:row>
          <xdr:rowOff>0</xdr:rowOff>
        </xdr:from>
        <xdr:to>
          <xdr:col>1</xdr:col>
          <xdr:colOff>0</xdr:colOff>
          <xdr:row>50</xdr:row>
          <xdr:rowOff>0</xdr:rowOff>
        </xdr:to>
        <xdr:sp macro="" textlink="">
          <xdr:nvSpPr>
            <xdr:cNvPr id="106584" name="Drop Down 88" hidden="1">
              <a:extLst>
                <a:ext uri="{63B3BB69-23CF-44E3-9099-C40C66FF867C}">
                  <a14:compatExt spid="_x0000_s106584"/>
                </a:ext>
                <a:ext uri="{FF2B5EF4-FFF2-40B4-BE49-F238E27FC236}">
                  <a16:creationId xmlns:a16="http://schemas.microsoft.com/office/drawing/2014/main" id="{00000000-0008-0000-0600-000058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39</xdr:row>
          <xdr:rowOff>0</xdr:rowOff>
        </xdr:from>
        <xdr:to>
          <xdr:col>4</xdr:col>
          <xdr:colOff>0</xdr:colOff>
          <xdr:row>40</xdr:row>
          <xdr:rowOff>0</xdr:rowOff>
        </xdr:to>
        <xdr:sp macro="" textlink="">
          <xdr:nvSpPr>
            <xdr:cNvPr id="106585" name="Drop Down 89" hidden="1">
              <a:extLst>
                <a:ext uri="{63B3BB69-23CF-44E3-9099-C40C66FF867C}">
                  <a14:compatExt spid="_x0000_s106585"/>
                </a:ext>
                <a:ext uri="{FF2B5EF4-FFF2-40B4-BE49-F238E27FC236}">
                  <a16:creationId xmlns:a16="http://schemas.microsoft.com/office/drawing/2014/main" id="{00000000-0008-0000-0600-000059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40</xdr:row>
          <xdr:rowOff>0</xdr:rowOff>
        </xdr:from>
        <xdr:to>
          <xdr:col>4</xdr:col>
          <xdr:colOff>0</xdr:colOff>
          <xdr:row>41</xdr:row>
          <xdr:rowOff>0</xdr:rowOff>
        </xdr:to>
        <xdr:sp macro="" textlink="">
          <xdr:nvSpPr>
            <xdr:cNvPr id="106586" name="Drop Down 90" hidden="1">
              <a:extLst>
                <a:ext uri="{63B3BB69-23CF-44E3-9099-C40C66FF867C}">
                  <a14:compatExt spid="_x0000_s106586"/>
                </a:ext>
                <a:ext uri="{FF2B5EF4-FFF2-40B4-BE49-F238E27FC236}">
                  <a16:creationId xmlns:a16="http://schemas.microsoft.com/office/drawing/2014/main" id="{00000000-0008-0000-0600-00005A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41</xdr:row>
          <xdr:rowOff>0</xdr:rowOff>
        </xdr:from>
        <xdr:to>
          <xdr:col>4</xdr:col>
          <xdr:colOff>0</xdr:colOff>
          <xdr:row>42</xdr:row>
          <xdr:rowOff>0</xdr:rowOff>
        </xdr:to>
        <xdr:sp macro="" textlink="">
          <xdr:nvSpPr>
            <xdr:cNvPr id="106587" name="Drop Down 91" hidden="1">
              <a:extLst>
                <a:ext uri="{63B3BB69-23CF-44E3-9099-C40C66FF867C}">
                  <a14:compatExt spid="_x0000_s106587"/>
                </a:ext>
                <a:ext uri="{FF2B5EF4-FFF2-40B4-BE49-F238E27FC236}">
                  <a16:creationId xmlns:a16="http://schemas.microsoft.com/office/drawing/2014/main" id="{00000000-0008-0000-0600-00005B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42</xdr:row>
          <xdr:rowOff>0</xdr:rowOff>
        </xdr:from>
        <xdr:to>
          <xdr:col>4</xdr:col>
          <xdr:colOff>0</xdr:colOff>
          <xdr:row>43</xdr:row>
          <xdr:rowOff>0</xdr:rowOff>
        </xdr:to>
        <xdr:sp macro="" textlink="">
          <xdr:nvSpPr>
            <xdr:cNvPr id="106588" name="Drop Down 92" hidden="1">
              <a:extLst>
                <a:ext uri="{63B3BB69-23CF-44E3-9099-C40C66FF867C}">
                  <a14:compatExt spid="_x0000_s106588"/>
                </a:ext>
                <a:ext uri="{FF2B5EF4-FFF2-40B4-BE49-F238E27FC236}">
                  <a16:creationId xmlns:a16="http://schemas.microsoft.com/office/drawing/2014/main" id="{00000000-0008-0000-0600-00005C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43</xdr:row>
          <xdr:rowOff>0</xdr:rowOff>
        </xdr:from>
        <xdr:to>
          <xdr:col>4</xdr:col>
          <xdr:colOff>0</xdr:colOff>
          <xdr:row>44</xdr:row>
          <xdr:rowOff>0</xdr:rowOff>
        </xdr:to>
        <xdr:sp macro="" textlink="">
          <xdr:nvSpPr>
            <xdr:cNvPr id="106589" name="Drop Down 93" hidden="1">
              <a:extLst>
                <a:ext uri="{63B3BB69-23CF-44E3-9099-C40C66FF867C}">
                  <a14:compatExt spid="_x0000_s106589"/>
                </a:ext>
                <a:ext uri="{FF2B5EF4-FFF2-40B4-BE49-F238E27FC236}">
                  <a16:creationId xmlns:a16="http://schemas.microsoft.com/office/drawing/2014/main" id="{00000000-0008-0000-0600-00005D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44</xdr:row>
          <xdr:rowOff>0</xdr:rowOff>
        </xdr:from>
        <xdr:to>
          <xdr:col>4</xdr:col>
          <xdr:colOff>0</xdr:colOff>
          <xdr:row>45</xdr:row>
          <xdr:rowOff>0</xdr:rowOff>
        </xdr:to>
        <xdr:sp macro="" textlink="">
          <xdr:nvSpPr>
            <xdr:cNvPr id="106590" name="Drop Down 94" hidden="1">
              <a:extLst>
                <a:ext uri="{63B3BB69-23CF-44E3-9099-C40C66FF867C}">
                  <a14:compatExt spid="_x0000_s106590"/>
                </a:ext>
                <a:ext uri="{FF2B5EF4-FFF2-40B4-BE49-F238E27FC236}">
                  <a16:creationId xmlns:a16="http://schemas.microsoft.com/office/drawing/2014/main" id="{00000000-0008-0000-0600-00005E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45</xdr:row>
          <xdr:rowOff>0</xdr:rowOff>
        </xdr:from>
        <xdr:to>
          <xdr:col>4</xdr:col>
          <xdr:colOff>0</xdr:colOff>
          <xdr:row>46</xdr:row>
          <xdr:rowOff>0</xdr:rowOff>
        </xdr:to>
        <xdr:sp macro="" textlink="">
          <xdr:nvSpPr>
            <xdr:cNvPr id="106591" name="Drop Down 95" hidden="1">
              <a:extLst>
                <a:ext uri="{63B3BB69-23CF-44E3-9099-C40C66FF867C}">
                  <a14:compatExt spid="_x0000_s106591"/>
                </a:ext>
                <a:ext uri="{FF2B5EF4-FFF2-40B4-BE49-F238E27FC236}">
                  <a16:creationId xmlns:a16="http://schemas.microsoft.com/office/drawing/2014/main" id="{00000000-0008-0000-0600-00005F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46</xdr:row>
          <xdr:rowOff>0</xdr:rowOff>
        </xdr:from>
        <xdr:to>
          <xdr:col>4</xdr:col>
          <xdr:colOff>0</xdr:colOff>
          <xdr:row>47</xdr:row>
          <xdr:rowOff>0</xdr:rowOff>
        </xdr:to>
        <xdr:sp macro="" textlink="">
          <xdr:nvSpPr>
            <xdr:cNvPr id="106592" name="Drop Down 96" hidden="1">
              <a:extLst>
                <a:ext uri="{63B3BB69-23CF-44E3-9099-C40C66FF867C}">
                  <a14:compatExt spid="_x0000_s106592"/>
                </a:ext>
                <a:ext uri="{FF2B5EF4-FFF2-40B4-BE49-F238E27FC236}">
                  <a16:creationId xmlns:a16="http://schemas.microsoft.com/office/drawing/2014/main" id="{00000000-0008-0000-0600-000060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47</xdr:row>
          <xdr:rowOff>0</xdr:rowOff>
        </xdr:from>
        <xdr:to>
          <xdr:col>4</xdr:col>
          <xdr:colOff>0</xdr:colOff>
          <xdr:row>48</xdr:row>
          <xdr:rowOff>0</xdr:rowOff>
        </xdr:to>
        <xdr:sp macro="" textlink="">
          <xdr:nvSpPr>
            <xdr:cNvPr id="106593" name="Drop Down 97" hidden="1">
              <a:extLst>
                <a:ext uri="{63B3BB69-23CF-44E3-9099-C40C66FF867C}">
                  <a14:compatExt spid="_x0000_s106593"/>
                </a:ext>
                <a:ext uri="{FF2B5EF4-FFF2-40B4-BE49-F238E27FC236}">
                  <a16:creationId xmlns:a16="http://schemas.microsoft.com/office/drawing/2014/main" id="{00000000-0008-0000-0600-000061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48</xdr:row>
          <xdr:rowOff>0</xdr:rowOff>
        </xdr:from>
        <xdr:to>
          <xdr:col>4</xdr:col>
          <xdr:colOff>0</xdr:colOff>
          <xdr:row>49</xdr:row>
          <xdr:rowOff>0</xdr:rowOff>
        </xdr:to>
        <xdr:sp macro="" textlink="">
          <xdr:nvSpPr>
            <xdr:cNvPr id="106594" name="Drop Down 98" hidden="1">
              <a:extLst>
                <a:ext uri="{63B3BB69-23CF-44E3-9099-C40C66FF867C}">
                  <a14:compatExt spid="_x0000_s106594"/>
                </a:ext>
                <a:ext uri="{FF2B5EF4-FFF2-40B4-BE49-F238E27FC236}">
                  <a16:creationId xmlns:a16="http://schemas.microsoft.com/office/drawing/2014/main" id="{00000000-0008-0000-0600-00006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49</xdr:row>
          <xdr:rowOff>0</xdr:rowOff>
        </xdr:from>
        <xdr:to>
          <xdr:col>4</xdr:col>
          <xdr:colOff>0</xdr:colOff>
          <xdr:row>50</xdr:row>
          <xdr:rowOff>0</xdr:rowOff>
        </xdr:to>
        <xdr:sp macro="" textlink="">
          <xdr:nvSpPr>
            <xdr:cNvPr id="106596" name="Drop Down 100" hidden="1">
              <a:extLst>
                <a:ext uri="{63B3BB69-23CF-44E3-9099-C40C66FF867C}">
                  <a14:compatExt spid="_x0000_s106596"/>
                </a:ext>
                <a:ext uri="{FF2B5EF4-FFF2-40B4-BE49-F238E27FC236}">
                  <a16:creationId xmlns:a16="http://schemas.microsoft.com/office/drawing/2014/main" id="{00000000-0008-0000-0600-000064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39</xdr:row>
          <xdr:rowOff>0</xdr:rowOff>
        </xdr:from>
        <xdr:to>
          <xdr:col>5</xdr:col>
          <xdr:colOff>0</xdr:colOff>
          <xdr:row>40</xdr:row>
          <xdr:rowOff>0</xdr:rowOff>
        </xdr:to>
        <xdr:sp macro="" textlink="">
          <xdr:nvSpPr>
            <xdr:cNvPr id="106598" name="Drop Down 102" hidden="1">
              <a:extLst>
                <a:ext uri="{63B3BB69-23CF-44E3-9099-C40C66FF867C}">
                  <a14:compatExt spid="_x0000_s106598"/>
                </a:ext>
                <a:ext uri="{FF2B5EF4-FFF2-40B4-BE49-F238E27FC236}">
                  <a16:creationId xmlns:a16="http://schemas.microsoft.com/office/drawing/2014/main" id="{00000000-0008-0000-0600-000066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40</xdr:row>
          <xdr:rowOff>0</xdr:rowOff>
        </xdr:from>
        <xdr:to>
          <xdr:col>5</xdr:col>
          <xdr:colOff>0</xdr:colOff>
          <xdr:row>41</xdr:row>
          <xdr:rowOff>0</xdr:rowOff>
        </xdr:to>
        <xdr:sp macro="" textlink="">
          <xdr:nvSpPr>
            <xdr:cNvPr id="106601" name="Drop Down 105" hidden="1">
              <a:extLst>
                <a:ext uri="{63B3BB69-23CF-44E3-9099-C40C66FF867C}">
                  <a14:compatExt spid="_x0000_s106601"/>
                </a:ext>
                <a:ext uri="{FF2B5EF4-FFF2-40B4-BE49-F238E27FC236}">
                  <a16:creationId xmlns:a16="http://schemas.microsoft.com/office/drawing/2014/main" id="{00000000-0008-0000-0600-000069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41</xdr:row>
          <xdr:rowOff>0</xdr:rowOff>
        </xdr:from>
        <xdr:to>
          <xdr:col>5</xdr:col>
          <xdr:colOff>0</xdr:colOff>
          <xdr:row>42</xdr:row>
          <xdr:rowOff>0</xdr:rowOff>
        </xdr:to>
        <xdr:sp macro="" textlink="">
          <xdr:nvSpPr>
            <xdr:cNvPr id="106602" name="Drop Down 106" hidden="1">
              <a:extLst>
                <a:ext uri="{63B3BB69-23CF-44E3-9099-C40C66FF867C}">
                  <a14:compatExt spid="_x0000_s106602"/>
                </a:ext>
                <a:ext uri="{FF2B5EF4-FFF2-40B4-BE49-F238E27FC236}">
                  <a16:creationId xmlns:a16="http://schemas.microsoft.com/office/drawing/2014/main" id="{00000000-0008-0000-0600-00006A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42</xdr:row>
          <xdr:rowOff>0</xdr:rowOff>
        </xdr:from>
        <xdr:to>
          <xdr:col>5</xdr:col>
          <xdr:colOff>0</xdr:colOff>
          <xdr:row>43</xdr:row>
          <xdr:rowOff>0</xdr:rowOff>
        </xdr:to>
        <xdr:sp macro="" textlink="">
          <xdr:nvSpPr>
            <xdr:cNvPr id="106603" name="Drop Down 107" hidden="1">
              <a:extLst>
                <a:ext uri="{63B3BB69-23CF-44E3-9099-C40C66FF867C}">
                  <a14:compatExt spid="_x0000_s106603"/>
                </a:ext>
                <a:ext uri="{FF2B5EF4-FFF2-40B4-BE49-F238E27FC236}">
                  <a16:creationId xmlns:a16="http://schemas.microsoft.com/office/drawing/2014/main" id="{00000000-0008-0000-0600-00006B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43</xdr:row>
          <xdr:rowOff>0</xdr:rowOff>
        </xdr:from>
        <xdr:to>
          <xdr:col>5</xdr:col>
          <xdr:colOff>0</xdr:colOff>
          <xdr:row>44</xdr:row>
          <xdr:rowOff>0</xdr:rowOff>
        </xdr:to>
        <xdr:sp macro="" textlink="">
          <xdr:nvSpPr>
            <xdr:cNvPr id="106604" name="Drop Down 108" hidden="1">
              <a:extLst>
                <a:ext uri="{63B3BB69-23CF-44E3-9099-C40C66FF867C}">
                  <a14:compatExt spid="_x0000_s106604"/>
                </a:ext>
                <a:ext uri="{FF2B5EF4-FFF2-40B4-BE49-F238E27FC236}">
                  <a16:creationId xmlns:a16="http://schemas.microsoft.com/office/drawing/2014/main" id="{00000000-0008-0000-0600-00006C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44</xdr:row>
          <xdr:rowOff>0</xdr:rowOff>
        </xdr:from>
        <xdr:to>
          <xdr:col>5</xdr:col>
          <xdr:colOff>0</xdr:colOff>
          <xdr:row>45</xdr:row>
          <xdr:rowOff>0</xdr:rowOff>
        </xdr:to>
        <xdr:sp macro="" textlink="">
          <xdr:nvSpPr>
            <xdr:cNvPr id="106605" name="Drop Down 109" hidden="1">
              <a:extLst>
                <a:ext uri="{63B3BB69-23CF-44E3-9099-C40C66FF867C}">
                  <a14:compatExt spid="_x0000_s106605"/>
                </a:ext>
                <a:ext uri="{FF2B5EF4-FFF2-40B4-BE49-F238E27FC236}">
                  <a16:creationId xmlns:a16="http://schemas.microsoft.com/office/drawing/2014/main" id="{00000000-0008-0000-0600-00006D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xdr:row>
          <xdr:rowOff>0</xdr:rowOff>
        </xdr:from>
        <xdr:to>
          <xdr:col>5</xdr:col>
          <xdr:colOff>0</xdr:colOff>
          <xdr:row>46</xdr:row>
          <xdr:rowOff>0</xdr:rowOff>
        </xdr:to>
        <xdr:sp macro="" textlink="">
          <xdr:nvSpPr>
            <xdr:cNvPr id="106606" name="Drop Down 110" hidden="1">
              <a:extLst>
                <a:ext uri="{63B3BB69-23CF-44E3-9099-C40C66FF867C}">
                  <a14:compatExt spid="_x0000_s106606"/>
                </a:ext>
                <a:ext uri="{FF2B5EF4-FFF2-40B4-BE49-F238E27FC236}">
                  <a16:creationId xmlns:a16="http://schemas.microsoft.com/office/drawing/2014/main" id="{00000000-0008-0000-0600-00006E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46</xdr:row>
          <xdr:rowOff>0</xdr:rowOff>
        </xdr:from>
        <xdr:to>
          <xdr:col>5</xdr:col>
          <xdr:colOff>0</xdr:colOff>
          <xdr:row>47</xdr:row>
          <xdr:rowOff>0</xdr:rowOff>
        </xdr:to>
        <xdr:sp macro="" textlink="">
          <xdr:nvSpPr>
            <xdr:cNvPr id="106607" name="Drop Down 111" hidden="1">
              <a:extLst>
                <a:ext uri="{63B3BB69-23CF-44E3-9099-C40C66FF867C}">
                  <a14:compatExt spid="_x0000_s106607"/>
                </a:ext>
                <a:ext uri="{FF2B5EF4-FFF2-40B4-BE49-F238E27FC236}">
                  <a16:creationId xmlns:a16="http://schemas.microsoft.com/office/drawing/2014/main" id="{00000000-0008-0000-0600-00006F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47</xdr:row>
          <xdr:rowOff>0</xdr:rowOff>
        </xdr:from>
        <xdr:to>
          <xdr:col>5</xdr:col>
          <xdr:colOff>0</xdr:colOff>
          <xdr:row>48</xdr:row>
          <xdr:rowOff>0</xdr:rowOff>
        </xdr:to>
        <xdr:sp macro="" textlink="">
          <xdr:nvSpPr>
            <xdr:cNvPr id="106608" name="Drop Down 112" hidden="1">
              <a:extLst>
                <a:ext uri="{63B3BB69-23CF-44E3-9099-C40C66FF867C}">
                  <a14:compatExt spid="_x0000_s106608"/>
                </a:ext>
                <a:ext uri="{FF2B5EF4-FFF2-40B4-BE49-F238E27FC236}">
                  <a16:creationId xmlns:a16="http://schemas.microsoft.com/office/drawing/2014/main" id="{00000000-0008-0000-0600-000070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48</xdr:row>
          <xdr:rowOff>0</xdr:rowOff>
        </xdr:from>
        <xdr:to>
          <xdr:col>5</xdr:col>
          <xdr:colOff>0</xdr:colOff>
          <xdr:row>49</xdr:row>
          <xdr:rowOff>0</xdr:rowOff>
        </xdr:to>
        <xdr:sp macro="" textlink="">
          <xdr:nvSpPr>
            <xdr:cNvPr id="106609" name="Drop Down 113" hidden="1">
              <a:extLst>
                <a:ext uri="{63B3BB69-23CF-44E3-9099-C40C66FF867C}">
                  <a14:compatExt spid="_x0000_s106609"/>
                </a:ext>
                <a:ext uri="{FF2B5EF4-FFF2-40B4-BE49-F238E27FC236}">
                  <a16:creationId xmlns:a16="http://schemas.microsoft.com/office/drawing/2014/main" id="{00000000-0008-0000-0600-000071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49</xdr:row>
          <xdr:rowOff>0</xdr:rowOff>
        </xdr:from>
        <xdr:to>
          <xdr:col>5</xdr:col>
          <xdr:colOff>0</xdr:colOff>
          <xdr:row>50</xdr:row>
          <xdr:rowOff>0</xdr:rowOff>
        </xdr:to>
        <xdr:sp macro="" textlink="">
          <xdr:nvSpPr>
            <xdr:cNvPr id="106610" name="Drop Down 114" hidden="1">
              <a:extLst>
                <a:ext uri="{63B3BB69-23CF-44E3-9099-C40C66FF867C}">
                  <a14:compatExt spid="_x0000_s106610"/>
                </a:ext>
                <a:ext uri="{FF2B5EF4-FFF2-40B4-BE49-F238E27FC236}">
                  <a16:creationId xmlns:a16="http://schemas.microsoft.com/office/drawing/2014/main" id="{00000000-0008-0000-0600-00007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39</xdr:row>
          <xdr:rowOff>0</xdr:rowOff>
        </xdr:from>
        <xdr:to>
          <xdr:col>15</xdr:col>
          <xdr:colOff>0</xdr:colOff>
          <xdr:row>40</xdr:row>
          <xdr:rowOff>0</xdr:rowOff>
        </xdr:to>
        <xdr:sp macro="" textlink="">
          <xdr:nvSpPr>
            <xdr:cNvPr id="106613" name="Drop Down 117" hidden="1">
              <a:extLst>
                <a:ext uri="{63B3BB69-23CF-44E3-9099-C40C66FF867C}">
                  <a14:compatExt spid="_x0000_s106613"/>
                </a:ext>
                <a:ext uri="{FF2B5EF4-FFF2-40B4-BE49-F238E27FC236}">
                  <a16:creationId xmlns:a16="http://schemas.microsoft.com/office/drawing/2014/main" id="{00000000-0008-0000-0600-000075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40</xdr:row>
          <xdr:rowOff>0</xdr:rowOff>
        </xdr:from>
        <xdr:to>
          <xdr:col>15</xdr:col>
          <xdr:colOff>0</xdr:colOff>
          <xdr:row>41</xdr:row>
          <xdr:rowOff>0</xdr:rowOff>
        </xdr:to>
        <xdr:sp macro="" textlink="">
          <xdr:nvSpPr>
            <xdr:cNvPr id="106614" name="Drop Down 118" hidden="1">
              <a:extLst>
                <a:ext uri="{63B3BB69-23CF-44E3-9099-C40C66FF867C}">
                  <a14:compatExt spid="_x0000_s106614"/>
                </a:ext>
                <a:ext uri="{FF2B5EF4-FFF2-40B4-BE49-F238E27FC236}">
                  <a16:creationId xmlns:a16="http://schemas.microsoft.com/office/drawing/2014/main" id="{00000000-0008-0000-0600-000076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41</xdr:row>
          <xdr:rowOff>0</xdr:rowOff>
        </xdr:from>
        <xdr:to>
          <xdr:col>15</xdr:col>
          <xdr:colOff>0</xdr:colOff>
          <xdr:row>42</xdr:row>
          <xdr:rowOff>0</xdr:rowOff>
        </xdr:to>
        <xdr:sp macro="" textlink="">
          <xdr:nvSpPr>
            <xdr:cNvPr id="106615" name="Drop Down 119" hidden="1">
              <a:extLst>
                <a:ext uri="{63B3BB69-23CF-44E3-9099-C40C66FF867C}">
                  <a14:compatExt spid="_x0000_s106615"/>
                </a:ext>
                <a:ext uri="{FF2B5EF4-FFF2-40B4-BE49-F238E27FC236}">
                  <a16:creationId xmlns:a16="http://schemas.microsoft.com/office/drawing/2014/main" id="{00000000-0008-0000-0600-000077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42</xdr:row>
          <xdr:rowOff>0</xdr:rowOff>
        </xdr:from>
        <xdr:to>
          <xdr:col>15</xdr:col>
          <xdr:colOff>0</xdr:colOff>
          <xdr:row>43</xdr:row>
          <xdr:rowOff>0</xdr:rowOff>
        </xdr:to>
        <xdr:sp macro="" textlink="">
          <xdr:nvSpPr>
            <xdr:cNvPr id="106616" name="Drop Down 120" hidden="1">
              <a:extLst>
                <a:ext uri="{63B3BB69-23CF-44E3-9099-C40C66FF867C}">
                  <a14:compatExt spid="_x0000_s106616"/>
                </a:ext>
                <a:ext uri="{FF2B5EF4-FFF2-40B4-BE49-F238E27FC236}">
                  <a16:creationId xmlns:a16="http://schemas.microsoft.com/office/drawing/2014/main" id="{00000000-0008-0000-0600-000078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43</xdr:row>
          <xdr:rowOff>0</xdr:rowOff>
        </xdr:from>
        <xdr:to>
          <xdr:col>15</xdr:col>
          <xdr:colOff>0</xdr:colOff>
          <xdr:row>44</xdr:row>
          <xdr:rowOff>0</xdr:rowOff>
        </xdr:to>
        <xdr:sp macro="" textlink="">
          <xdr:nvSpPr>
            <xdr:cNvPr id="106617" name="Drop Down 121" hidden="1">
              <a:extLst>
                <a:ext uri="{63B3BB69-23CF-44E3-9099-C40C66FF867C}">
                  <a14:compatExt spid="_x0000_s106617"/>
                </a:ext>
                <a:ext uri="{FF2B5EF4-FFF2-40B4-BE49-F238E27FC236}">
                  <a16:creationId xmlns:a16="http://schemas.microsoft.com/office/drawing/2014/main" id="{00000000-0008-0000-0600-000079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44</xdr:row>
          <xdr:rowOff>0</xdr:rowOff>
        </xdr:from>
        <xdr:to>
          <xdr:col>15</xdr:col>
          <xdr:colOff>0</xdr:colOff>
          <xdr:row>45</xdr:row>
          <xdr:rowOff>0</xdr:rowOff>
        </xdr:to>
        <xdr:sp macro="" textlink="">
          <xdr:nvSpPr>
            <xdr:cNvPr id="106618" name="Drop Down 122" hidden="1">
              <a:extLst>
                <a:ext uri="{63B3BB69-23CF-44E3-9099-C40C66FF867C}">
                  <a14:compatExt spid="_x0000_s106618"/>
                </a:ext>
                <a:ext uri="{FF2B5EF4-FFF2-40B4-BE49-F238E27FC236}">
                  <a16:creationId xmlns:a16="http://schemas.microsoft.com/office/drawing/2014/main" id="{00000000-0008-0000-0600-00007A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45</xdr:row>
          <xdr:rowOff>0</xdr:rowOff>
        </xdr:from>
        <xdr:to>
          <xdr:col>15</xdr:col>
          <xdr:colOff>0</xdr:colOff>
          <xdr:row>46</xdr:row>
          <xdr:rowOff>0</xdr:rowOff>
        </xdr:to>
        <xdr:sp macro="" textlink="">
          <xdr:nvSpPr>
            <xdr:cNvPr id="106619" name="Drop Down 123" hidden="1">
              <a:extLst>
                <a:ext uri="{63B3BB69-23CF-44E3-9099-C40C66FF867C}">
                  <a14:compatExt spid="_x0000_s106619"/>
                </a:ext>
                <a:ext uri="{FF2B5EF4-FFF2-40B4-BE49-F238E27FC236}">
                  <a16:creationId xmlns:a16="http://schemas.microsoft.com/office/drawing/2014/main" id="{00000000-0008-0000-0600-00007B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46</xdr:row>
          <xdr:rowOff>0</xdr:rowOff>
        </xdr:from>
        <xdr:to>
          <xdr:col>15</xdr:col>
          <xdr:colOff>0</xdr:colOff>
          <xdr:row>47</xdr:row>
          <xdr:rowOff>0</xdr:rowOff>
        </xdr:to>
        <xdr:sp macro="" textlink="">
          <xdr:nvSpPr>
            <xdr:cNvPr id="106620" name="Drop Down 124" hidden="1">
              <a:extLst>
                <a:ext uri="{63B3BB69-23CF-44E3-9099-C40C66FF867C}">
                  <a14:compatExt spid="_x0000_s106620"/>
                </a:ext>
                <a:ext uri="{FF2B5EF4-FFF2-40B4-BE49-F238E27FC236}">
                  <a16:creationId xmlns:a16="http://schemas.microsoft.com/office/drawing/2014/main" id="{00000000-0008-0000-0600-00007C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47</xdr:row>
          <xdr:rowOff>0</xdr:rowOff>
        </xdr:from>
        <xdr:to>
          <xdr:col>15</xdr:col>
          <xdr:colOff>0</xdr:colOff>
          <xdr:row>48</xdr:row>
          <xdr:rowOff>0</xdr:rowOff>
        </xdr:to>
        <xdr:sp macro="" textlink="">
          <xdr:nvSpPr>
            <xdr:cNvPr id="106621" name="Drop Down 125" hidden="1">
              <a:extLst>
                <a:ext uri="{63B3BB69-23CF-44E3-9099-C40C66FF867C}">
                  <a14:compatExt spid="_x0000_s106621"/>
                </a:ext>
                <a:ext uri="{FF2B5EF4-FFF2-40B4-BE49-F238E27FC236}">
                  <a16:creationId xmlns:a16="http://schemas.microsoft.com/office/drawing/2014/main" id="{00000000-0008-0000-0600-00007D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48</xdr:row>
          <xdr:rowOff>0</xdr:rowOff>
        </xdr:from>
        <xdr:to>
          <xdr:col>15</xdr:col>
          <xdr:colOff>0</xdr:colOff>
          <xdr:row>49</xdr:row>
          <xdr:rowOff>0</xdr:rowOff>
        </xdr:to>
        <xdr:sp macro="" textlink="">
          <xdr:nvSpPr>
            <xdr:cNvPr id="106622" name="Drop Down 126" hidden="1">
              <a:extLst>
                <a:ext uri="{63B3BB69-23CF-44E3-9099-C40C66FF867C}">
                  <a14:compatExt spid="_x0000_s106622"/>
                </a:ext>
                <a:ext uri="{FF2B5EF4-FFF2-40B4-BE49-F238E27FC236}">
                  <a16:creationId xmlns:a16="http://schemas.microsoft.com/office/drawing/2014/main" id="{00000000-0008-0000-0600-00007E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49</xdr:row>
          <xdr:rowOff>0</xdr:rowOff>
        </xdr:from>
        <xdr:to>
          <xdr:col>15</xdr:col>
          <xdr:colOff>0</xdr:colOff>
          <xdr:row>50</xdr:row>
          <xdr:rowOff>0</xdr:rowOff>
        </xdr:to>
        <xdr:sp macro="" textlink="">
          <xdr:nvSpPr>
            <xdr:cNvPr id="106623" name="Drop Down 127" hidden="1">
              <a:extLst>
                <a:ext uri="{63B3BB69-23CF-44E3-9099-C40C66FF867C}">
                  <a14:compatExt spid="_x0000_s106623"/>
                </a:ext>
                <a:ext uri="{FF2B5EF4-FFF2-40B4-BE49-F238E27FC236}">
                  <a16:creationId xmlns:a16="http://schemas.microsoft.com/office/drawing/2014/main" id="{00000000-0008-0000-0600-00007F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57</xdr:row>
          <xdr:rowOff>0</xdr:rowOff>
        </xdr:from>
        <xdr:to>
          <xdr:col>1</xdr:col>
          <xdr:colOff>0</xdr:colOff>
          <xdr:row>58</xdr:row>
          <xdr:rowOff>0</xdr:rowOff>
        </xdr:to>
        <xdr:sp macro="" textlink="">
          <xdr:nvSpPr>
            <xdr:cNvPr id="106626" name="Drop Down 130" hidden="1">
              <a:extLst>
                <a:ext uri="{63B3BB69-23CF-44E3-9099-C40C66FF867C}">
                  <a14:compatExt spid="_x0000_s106626"/>
                </a:ext>
                <a:ext uri="{FF2B5EF4-FFF2-40B4-BE49-F238E27FC236}">
                  <a16:creationId xmlns:a16="http://schemas.microsoft.com/office/drawing/2014/main" id="{00000000-0008-0000-0600-00008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58</xdr:row>
          <xdr:rowOff>0</xdr:rowOff>
        </xdr:from>
        <xdr:to>
          <xdr:col>1</xdr:col>
          <xdr:colOff>0</xdr:colOff>
          <xdr:row>59</xdr:row>
          <xdr:rowOff>0</xdr:rowOff>
        </xdr:to>
        <xdr:sp macro="" textlink="">
          <xdr:nvSpPr>
            <xdr:cNvPr id="106627" name="Drop Down 131" hidden="1">
              <a:extLst>
                <a:ext uri="{63B3BB69-23CF-44E3-9099-C40C66FF867C}">
                  <a14:compatExt spid="_x0000_s106627"/>
                </a:ext>
                <a:ext uri="{FF2B5EF4-FFF2-40B4-BE49-F238E27FC236}">
                  <a16:creationId xmlns:a16="http://schemas.microsoft.com/office/drawing/2014/main" id="{00000000-0008-0000-0600-000083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59</xdr:row>
          <xdr:rowOff>0</xdr:rowOff>
        </xdr:from>
        <xdr:to>
          <xdr:col>1</xdr:col>
          <xdr:colOff>0</xdr:colOff>
          <xdr:row>60</xdr:row>
          <xdr:rowOff>0</xdr:rowOff>
        </xdr:to>
        <xdr:sp macro="" textlink="">
          <xdr:nvSpPr>
            <xdr:cNvPr id="106628" name="Drop Down 132" hidden="1">
              <a:extLst>
                <a:ext uri="{63B3BB69-23CF-44E3-9099-C40C66FF867C}">
                  <a14:compatExt spid="_x0000_s106628"/>
                </a:ext>
                <a:ext uri="{FF2B5EF4-FFF2-40B4-BE49-F238E27FC236}">
                  <a16:creationId xmlns:a16="http://schemas.microsoft.com/office/drawing/2014/main" id="{00000000-0008-0000-0600-000084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60</xdr:row>
          <xdr:rowOff>0</xdr:rowOff>
        </xdr:from>
        <xdr:to>
          <xdr:col>1</xdr:col>
          <xdr:colOff>0</xdr:colOff>
          <xdr:row>61</xdr:row>
          <xdr:rowOff>0</xdr:rowOff>
        </xdr:to>
        <xdr:sp macro="" textlink="">
          <xdr:nvSpPr>
            <xdr:cNvPr id="106629" name="Drop Down 133" hidden="1">
              <a:extLst>
                <a:ext uri="{63B3BB69-23CF-44E3-9099-C40C66FF867C}">
                  <a14:compatExt spid="_x0000_s106629"/>
                </a:ext>
                <a:ext uri="{FF2B5EF4-FFF2-40B4-BE49-F238E27FC236}">
                  <a16:creationId xmlns:a16="http://schemas.microsoft.com/office/drawing/2014/main" id="{00000000-0008-0000-0600-000085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61</xdr:row>
          <xdr:rowOff>0</xdr:rowOff>
        </xdr:from>
        <xdr:to>
          <xdr:col>1</xdr:col>
          <xdr:colOff>0</xdr:colOff>
          <xdr:row>62</xdr:row>
          <xdr:rowOff>0</xdr:rowOff>
        </xdr:to>
        <xdr:sp macro="" textlink="">
          <xdr:nvSpPr>
            <xdr:cNvPr id="106630" name="Drop Down 134" hidden="1">
              <a:extLst>
                <a:ext uri="{63B3BB69-23CF-44E3-9099-C40C66FF867C}">
                  <a14:compatExt spid="_x0000_s106630"/>
                </a:ext>
                <a:ext uri="{FF2B5EF4-FFF2-40B4-BE49-F238E27FC236}">
                  <a16:creationId xmlns:a16="http://schemas.microsoft.com/office/drawing/2014/main" id="{00000000-0008-0000-0600-000086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62</xdr:row>
          <xdr:rowOff>0</xdr:rowOff>
        </xdr:from>
        <xdr:to>
          <xdr:col>1</xdr:col>
          <xdr:colOff>0</xdr:colOff>
          <xdr:row>63</xdr:row>
          <xdr:rowOff>0</xdr:rowOff>
        </xdr:to>
        <xdr:sp macro="" textlink="">
          <xdr:nvSpPr>
            <xdr:cNvPr id="106631" name="Drop Down 135" hidden="1">
              <a:extLst>
                <a:ext uri="{63B3BB69-23CF-44E3-9099-C40C66FF867C}">
                  <a14:compatExt spid="_x0000_s106631"/>
                </a:ext>
                <a:ext uri="{FF2B5EF4-FFF2-40B4-BE49-F238E27FC236}">
                  <a16:creationId xmlns:a16="http://schemas.microsoft.com/office/drawing/2014/main" id="{00000000-0008-0000-0600-000087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63</xdr:row>
          <xdr:rowOff>0</xdr:rowOff>
        </xdr:from>
        <xdr:to>
          <xdr:col>1</xdr:col>
          <xdr:colOff>0</xdr:colOff>
          <xdr:row>64</xdr:row>
          <xdr:rowOff>0</xdr:rowOff>
        </xdr:to>
        <xdr:sp macro="" textlink="">
          <xdr:nvSpPr>
            <xdr:cNvPr id="106632" name="Drop Down 136" hidden="1">
              <a:extLst>
                <a:ext uri="{63B3BB69-23CF-44E3-9099-C40C66FF867C}">
                  <a14:compatExt spid="_x0000_s106632"/>
                </a:ext>
                <a:ext uri="{FF2B5EF4-FFF2-40B4-BE49-F238E27FC236}">
                  <a16:creationId xmlns:a16="http://schemas.microsoft.com/office/drawing/2014/main" id="{00000000-0008-0000-0600-000088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64</xdr:row>
          <xdr:rowOff>0</xdr:rowOff>
        </xdr:from>
        <xdr:to>
          <xdr:col>1</xdr:col>
          <xdr:colOff>0</xdr:colOff>
          <xdr:row>65</xdr:row>
          <xdr:rowOff>0</xdr:rowOff>
        </xdr:to>
        <xdr:sp macro="" textlink="">
          <xdr:nvSpPr>
            <xdr:cNvPr id="106633" name="Drop Down 137" hidden="1">
              <a:extLst>
                <a:ext uri="{63B3BB69-23CF-44E3-9099-C40C66FF867C}">
                  <a14:compatExt spid="_x0000_s106633"/>
                </a:ext>
                <a:ext uri="{FF2B5EF4-FFF2-40B4-BE49-F238E27FC236}">
                  <a16:creationId xmlns:a16="http://schemas.microsoft.com/office/drawing/2014/main" id="{00000000-0008-0000-0600-000089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65</xdr:row>
          <xdr:rowOff>0</xdr:rowOff>
        </xdr:from>
        <xdr:to>
          <xdr:col>1</xdr:col>
          <xdr:colOff>0</xdr:colOff>
          <xdr:row>66</xdr:row>
          <xdr:rowOff>0</xdr:rowOff>
        </xdr:to>
        <xdr:sp macro="" textlink="">
          <xdr:nvSpPr>
            <xdr:cNvPr id="106634" name="Drop Down 138" hidden="1">
              <a:extLst>
                <a:ext uri="{63B3BB69-23CF-44E3-9099-C40C66FF867C}">
                  <a14:compatExt spid="_x0000_s106634"/>
                </a:ext>
                <a:ext uri="{FF2B5EF4-FFF2-40B4-BE49-F238E27FC236}">
                  <a16:creationId xmlns:a16="http://schemas.microsoft.com/office/drawing/2014/main" id="{00000000-0008-0000-0600-00008A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66</xdr:row>
          <xdr:rowOff>0</xdr:rowOff>
        </xdr:from>
        <xdr:to>
          <xdr:col>1</xdr:col>
          <xdr:colOff>0</xdr:colOff>
          <xdr:row>67</xdr:row>
          <xdr:rowOff>0</xdr:rowOff>
        </xdr:to>
        <xdr:sp macro="" textlink="">
          <xdr:nvSpPr>
            <xdr:cNvPr id="106635" name="Drop Down 139" hidden="1">
              <a:extLst>
                <a:ext uri="{63B3BB69-23CF-44E3-9099-C40C66FF867C}">
                  <a14:compatExt spid="_x0000_s106635"/>
                </a:ext>
                <a:ext uri="{FF2B5EF4-FFF2-40B4-BE49-F238E27FC236}">
                  <a16:creationId xmlns:a16="http://schemas.microsoft.com/office/drawing/2014/main" id="{00000000-0008-0000-0600-00008B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57</xdr:row>
          <xdr:rowOff>0</xdr:rowOff>
        </xdr:from>
        <xdr:to>
          <xdr:col>4</xdr:col>
          <xdr:colOff>0</xdr:colOff>
          <xdr:row>58</xdr:row>
          <xdr:rowOff>0</xdr:rowOff>
        </xdr:to>
        <xdr:sp macro="" textlink="">
          <xdr:nvSpPr>
            <xdr:cNvPr id="106636" name="Drop Down 140" hidden="1">
              <a:extLst>
                <a:ext uri="{63B3BB69-23CF-44E3-9099-C40C66FF867C}">
                  <a14:compatExt spid="_x0000_s106636"/>
                </a:ext>
                <a:ext uri="{FF2B5EF4-FFF2-40B4-BE49-F238E27FC236}">
                  <a16:creationId xmlns:a16="http://schemas.microsoft.com/office/drawing/2014/main" id="{00000000-0008-0000-0600-00008C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58</xdr:row>
          <xdr:rowOff>0</xdr:rowOff>
        </xdr:from>
        <xdr:to>
          <xdr:col>4</xdr:col>
          <xdr:colOff>0</xdr:colOff>
          <xdr:row>59</xdr:row>
          <xdr:rowOff>0</xdr:rowOff>
        </xdr:to>
        <xdr:sp macro="" textlink="">
          <xdr:nvSpPr>
            <xdr:cNvPr id="106637" name="Drop Down 141" hidden="1">
              <a:extLst>
                <a:ext uri="{63B3BB69-23CF-44E3-9099-C40C66FF867C}">
                  <a14:compatExt spid="_x0000_s106637"/>
                </a:ext>
                <a:ext uri="{FF2B5EF4-FFF2-40B4-BE49-F238E27FC236}">
                  <a16:creationId xmlns:a16="http://schemas.microsoft.com/office/drawing/2014/main" id="{00000000-0008-0000-0600-00008D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59</xdr:row>
          <xdr:rowOff>0</xdr:rowOff>
        </xdr:from>
        <xdr:to>
          <xdr:col>4</xdr:col>
          <xdr:colOff>0</xdr:colOff>
          <xdr:row>60</xdr:row>
          <xdr:rowOff>0</xdr:rowOff>
        </xdr:to>
        <xdr:sp macro="" textlink="">
          <xdr:nvSpPr>
            <xdr:cNvPr id="106638" name="Drop Down 142" hidden="1">
              <a:extLst>
                <a:ext uri="{63B3BB69-23CF-44E3-9099-C40C66FF867C}">
                  <a14:compatExt spid="_x0000_s106638"/>
                </a:ext>
                <a:ext uri="{FF2B5EF4-FFF2-40B4-BE49-F238E27FC236}">
                  <a16:creationId xmlns:a16="http://schemas.microsoft.com/office/drawing/2014/main" id="{00000000-0008-0000-0600-00008E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60</xdr:row>
          <xdr:rowOff>0</xdr:rowOff>
        </xdr:from>
        <xdr:to>
          <xdr:col>4</xdr:col>
          <xdr:colOff>0</xdr:colOff>
          <xdr:row>61</xdr:row>
          <xdr:rowOff>0</xdr:rowOff>
        </xdr:to>
        <xdr:sp macro="" textlink="">
          <xdr:nvSpPr>
            <xdr:cNvPr id="106639" name="Drop Down 143" hidden="1">
              <a:extLst>
                <a:ext uri="{63B3BB69-23CF-44E3-9099-C40C66FF867C}">
                  <a14:compatExt spid="_x0000_s106639"/>
                </a:ext>
                <a:ext uri="{FF2B5EF4-FFF2-40B4-BE49-F238E27FC236}">
                  <a16:creationId xmlns:a16="http://schemas.microsoft.com/office/drawing/2014/main" id="{00000000-0008-0000-0600-00008F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61</xdr:row>
          <xdr:rowOff>0</xdr:rowOff>
        </xdr:from>
        <xdr:to>
          <xdr:col>4</xdr:col>
          <xdr:colOff>0</xdr:colOff>
          <xdr:row>62</xdr:row>
          <xdr:rowOff>0</xdr:rowOff>
        </xdr:to>
        <xdr:sp macro="" textlink="">
          <xdr:nvSpPr>
            <xdr:cNvPr id="106640" name="Drop Down 144" hidden="1">
              <a:extLst>
                <a:ext uri="{63B3BB69-23CF-44E3-9099-C40C66FF867C}">
                  <a14:compatExt spid="_x0000_s106640"/>
                </a:ext>
                <a:ext uri="{FF2B5EF4-FFF2-40B4-BE49-F238E27FC236}">
                  <a16:creationId xmlns:a16="http://schemas.microsoft.com/office/drawing/2014/main" id="{00000000-0008-0000-0600-000090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62</xdr:row>
          <xdr:rowOff>0</xdr:rowOff>
        </xdr:from>
        <xdr:to>
          <xdr:col>4</xdr:col>
          <xdr:colOff>0</xdr:colOff>
          <xdr:row>63</xdr:row>
          <xdr:rowOff>0</xdr:rowOff>
        </xdr:to>
        <xdr:sp macro="" textlink="">
          <xdr:nvSpPr>
            <xdr:cNvPr id="106641" name="Drop Down 145" hidden="1">
              <a:extLst>
                <a:ext uri="{63B3BB69-23CF-44E3-9099-C40C66FF867C}">
                  <a14:compatExt spid="_x0000_s106641"/>
                </a:ext>
                <a:ext uri="{FF2B5EF4-FFF2-40B4-BE49-F238E27FC236}">
                  <a16:creationId xmlns:a16="http://schemas.microsoft.com/office/drawing/2014/main" id="{00000000-0008-0000-0600-000091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63</xdr:row>
          <xdr:rowOff>0</xdr:rowOff>
        </xdr:from>
        <xdr:to>
          <xdr:col>4</xdr:col>
          <xdr:colOff>0</xdr:colOff>
          <xdr:row>64</xdr:row>
          <xdr:rowOff>0</xdr:rowOff>
        </xdr:to>
        <xdr:sp macro="" textlink="">
          <xdr:nvSpPr>
            <xdr:cNvPr id="106642" name="Drop Down 146" hidden="1">
              <a:extLst>
                <a:ext uri="{63B3BB69-23CF-44E3-9099-C40C66FF867C}">
                  <a14:compatExt spid="_x0000_s106642"/>
                </a:ext>
                <a:ext uri="{FF2B5EF4-FFF2-40B4-BE49-F238E27FC236}">
                  <a16:creationId xmlns:a16="http://schemas.microsoft.com/office/drawing/2014/main" id="{00000000-0008-0000-0600-00009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64</xdr:row>
          <xdr:rowOff>0</xdr:rowOff>
        </xdr:from>
        <xdr:to>
          <xdr:col>4</xdr:col>
          <xdr:colOff>0</xdr:colOff>
          <xdr:row>65</xdr:row>
          <xdr:rowOff>0</xdr:rowOff>
        </xdr:to>
        <xdr:sp macro="" textlink="">
          <xdr:nvSpPr>
            <xdr:cNvPr id="106643" name="Drop Down 147" hidden="1">
              <a:extLst>
                <a:ext uri="{63B3BB69-23CF-44E3-9099-C40C66FF867C}">
                  <a14:compatExt spid="_x0000_s106643"/>
                </a:ext>
                <a:ext uri="{FF2B5EF4-FFF2-40B4-BE49-F238E27FC236}">
                  <a16:creationId xmlns:a16="http://schemas.microsoft.com/office/drawing/2014/main" id="{00000000-0008-0000-0600-000093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65</xdr:row>
          <xdr:rowOff>0</xdr:rowOff>
        </xdr:from>
        <xdr:to>
          <xdr:col>4</xdr:col>
          <xdr:colOff>0</xdr:colOff>
          <xdr:row>66</xdr:row>
          <xdr:rowOff>0</xdr:rowOff>
        </xdr:to>
        <xdr:sp macro="" textlink="">
          <xdr:nvSpPr>
            <xdr:cNvPr id="106644" name="Drop Down 148" hidden="1">
              <a:extLst>
                <a:ext uri="{63B3BB69-23CF-44E3-9099-C40C66FF867C}">
                  <a14:compatExt spid="_x0000_s106644"/>
                </a:ext>
                <a:ext uri="{FF2B5EF4-FFF2-40B4-BE49-F238E27FC236}">
                  <a16:creationId xmlns:a16="http://schemas.microsoft.com/office/drawing/2014/main" id="{00000000-0008-0000-0600-000094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66</xdr:row>
          <xdr:rowOff>0</xdr:rowOff>
        </xdr:from>
        <xdr:to>
          <xdr:col>4</xdr:col>
          <xdr:colOff>0</xdr:colOff>
          <xdr:row>67</xdr:row>
          <xdr:rowOff>0</xdr:rowOff>
        </xdr:to>
        <xdr:sp macro="" textlink="">
          <xdr:nvSpPr>
            <xdr:cNvPr id="106645" name="Drop Down 149" hidden="1">
              <a:extLst>
                <a:ext uri="{63B3BB69-23CF-44E3-9099-C40C66FF867C}">
                  <a14:compatExt spid="_x0000_s106645"/>
                </a:ext>
                <a:ext uri="{FF2B5EF4-FFF2-40B4-BE49-F238E27FC236}">
                  <a16:creationId xmlns:a16="http://schemas.microsoft.com/office/drawing/2014/main" id="{00000000-0008-0000-0600-000095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57</xdr:row>
          <xdr:rowOff>0</xdr:rowOff>
        </xdr:from>
        <xdr:to>
          <xdr:col>5</xdr:col>
          <xdr:colOff>0</xdr:colOff>
          <xdr:row>58</xdr:row>
          <xdr:rowOff>0</xdr:rowOff>
        </xdr:to>
        <xdr:sp macro="" textlink="">
          <xdr:nvSpPr>
            <xdr:cNvPr id="106646" name="Drop Down 150" hidden="1">
              <a:extLst>
                <a:ext uri="{63B3BB69-23CF-44E3-9099-C40C66FF867C}">
                  <a14:compatExt spid="_x0000_s106646"/>
                </a:ext>
                <a:ext uri="{FF2B5EF4-FFF2-40B4-BE49-F238E27FC236}">
                  <a16:creationId xmlns:a16="http://schemas.microsoft.com/office/drawing/2014/main" id="{00000000-0008-0000-0600-000096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58</xdr:row>
          <xdr:rowOff>0</xdr:rowOff>
        </xdr:from>
        <xdr:to>
          <xdr:col>5</xdr:col>
          <xdr:colOff>0</xdr:colOff>
          <xdr:row>59</xdr:row>
          <xdr:rowOff>0</xdr:rowOff>
        </xdr:to>
        <xdr:sp macro="" textlink="">
          <xdr:nvSpPr>
            <xdr:cNvPr id="106647" name="Drop Down 151" hidden="1">
              <a:extLst>
                <a:ext uri="{63B3BB69-23CF-44E3-9099-C40C66FF867C}">
                  <a14:compatExt spid="_x0000_s106647"/>
                </a:ext>
                <a:ext uri="{FF2B5EF4-FFF2-40B4-BE49-F238E27FC236}">
                  <a16:creationId xmlns:a16="http://schemas.microsoft.com/office/drawing/2014/main" id="{00000000-0008-0000-0600-000097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59</xdr:row>
          <xdr:rowOff>0</xdr:rowOff>
        </xdr:from>
        <xdr:to>
          <xdr:col>5</xdr:col>
          <xdr:colOff>0</xdr:colOff>
          <xdr:row>60</xdr:row>
          <xdr:rowOff>0</xdr:rowOff>
        </xdr:to>
        <xdr:sp macro="" textlink="">
          <xdr:nvSpPr>
            <xdr:cNvPr id="106648" name="Drop Down 152" hidden="1">
              <a:extLst>
                <a:ext uri="{63B3BB69-23CF-44E3-9099-C40C66FF867C}">
                  <a14:compatExt spid="_x0000_s106648"/>
                </a:ext>
                <a:ext uri="{FF2B5EF4-FFF2-40B4-BE49-F238E27FC236}">
                  <a16:creationId xmlns:a16="http://schemas.microsoft.com/office/drawing/2014/main" id="{00000000-0008-0000-0600-000098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60</xdr:row>
          <xdr:rowOff>0</xdr:rowOff>
        </xdr:from>
        <xdr:to>
          <xdr:col>5</xdr:col>
          <xdr:colOff>0</xdr:colOff>
          <xdr:row>61</xdr:row>
          <xdr:rowOff>0</xdr:rowOff>
        </xdr:to>
        <xdr:sp macro="" textlink="">
          <xdr:nvSpPr>
            <xdr:cNvPr id="106649" name="Drop Down 153" hidden="1">
              <a:extLst>
                <a:ext uri="{63B3BB69-23CF-44E3-9099-C40C66FF867C}">
                  <a14:compatExt spid="_x0000_s106649"/>
                </a:ext>
                <a:ext uri="{FF2B5EF4-FFF2-40B4-BE49-F238E27FC236}">
                  <a16:creationId xmlns:a16="http://schemas.microsoft.com/office/drawing/2014/main" id="{00000000-0008-0000-0600-000099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61</xdr:row>
          <xdr:rowOff>0</xdr:rowOff>
        </xdr:from>
        <xdr:to>
          <xdr:col>5</xdr:col>
          <xdr:colOff>0</xdr:colOff>
          <xdr:row>62</xdr:row>
          <xdr:rowOff>0</xdr:rowOff>
        </xdr:to>
        <xdr:sp macro="" textlink="">
          <xdr:nvSpPr>
            <xdr:cNvPr id="106650" name="Drop Down 154" hidden="1">
              <a:extLst>
                <a:ext uri="{63B3BB69-23CF-44E3-9099-C40C66FF867C}">
                  <a14:compatExt spid="_x0000_s106650"/>
                </a:ext>
                <a:ext uri="{FF2B5EF4-FFF2-40B4-BE49-F238E27FC236}">
                  <a16:creationId xmlns:a16="http://schemas.microsoft.com/office/drawing/2014/main" id="{00000000-0008-0000-0600-00009A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62</xdr:row>
          <xdr:rowOff>0</xdr:rowOff>
        </xdr:from>
        <xdr:to>
          <xdr:col>5</xdr:col>
          <xdr:colOff>0</xdr:colOff>
          <xdr:row>63</xdr:row>
          <xdr:rowOff>0</xdr:rowOff>
        </xdr:to>
        <xdr:sp macro="" textlink="">
          <xdr:nvSpPr>
            <xdr:cNvPr id="106651" name="Drop Down 155" hidden="1">
              <a:extLst>
                <a:ext uri="{63B3BB69-23CF-44E3-9099-C40C66FF867C}">
                  <a14:compatExt spid="_x0000_s106651"/>
                </a:ext>
                <a:ext uri="{FF2B5EF4-FFF2-40B4-BE49-F238E27FC236}">
                  <a16:creationId xmlns:a16="http://schemas.microsoft.com/office/drawing/2014/main" id="{00000000-0008-0000-0600-00009B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63</xdr:row>
          <xdr:rowOff>0</xdr:rowOff>
        </xdr:from>
        <xdr:to>
          <xdr:col>5</xdr:col>
          <xdr:colOff>0</xdr:colOff>
          <xdr:row>64</xdr:row>
          <xdr:rowOff>0</xdr:rowOff>
        </xdr:to>
        <xdr:sp macro="" textlink="">
          <xdr:nvSpPr>
            <xdr:cNvPr id="106652" name="Drop Down 156" hidden="1">
              <a:extLst>
                <a:ext uri="{63B3BB69-23CF-44E3-9099-C40C66FF867C}">
                  <a14:compatExt spid="_x0000_s106652"/>
                </a:ext>
                <a:ext uri="{FF2B5EF4-FFF2-40B4-BE49-F238E27FC236}">
                  <a16:creationId xmlns:a16="http://schemas.microsoft.com/office/drawing/2014/main" id="{00000000-0008-0000-0600-00009C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64</xdr:row>
          <xdr:rowOff>0</xdr:rowOff>
        </xdr:from>
        <xdr:to>
          <xdr:col>5</xdr:col>
          <xdr:colOff>0</xdr:colOff>
          <xdr:row>65</xdr:row>
          <xdr:rowOff>0</xdr:rowOff>
        </xdr:to>
        <xdr:sp macro="" textlink="">
          <xdr:nvSpPr>
            <xdr:cNvPr id="106653" name="Drop Down 157" hidden="1">
              <a:extLst>
                <a:ext uri="{63B3BB69-23CF-44E3-9099-C40C66FF867C}">
                  <a14:compatExt spid="_x0000_s106653"/>
                </a:ext>
                <a:ext uri="{FF2B5EF4-FFF2-40B4-BE49-F238E27FC236}">
                  <a16:creationId xmlns:a16="http://schemas.microsoft.com/office/drawing/2014/main" id="{00000000-0008-0000-0600-00009D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65</xdr:row>
          <xdr:rowOff>0</xdr:rowOff>
        </xdr:from>
        <xdr:to>
          <xdr:col>5</xdr:col>
          <xdr:colOff>0</xdr:colOff>
          <xdr:row>66</xdr:row>
          <xdr:rowOff>0</xdr:rowOff>
        </xdr:to>
        <xdr:sp macro="" textlink="">
          <xdr:nvSpPr>
            <xdr:cNvPr id="106654" name="Drop Down 158" hidden="1">
              <a:extLst>
                <a:ext uri="{63B3BB69-23CF-44E3-9099-C40C66FF867C}">
                  <a14:compatExt spid="_x0000_s106654"/>
                </a:ext>
                <a:ext uri="{FF2B5EF4-FFF2-40B4-BE49-F238E27FC236}">
                  <a16:creationId xmlns:a16="http://schemas.microsoft.com/office/drawing/2014/main" id="{00000000-0008-0000-0600-00009E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66</xdr:row>
          <xdr:rowOff>0</xdr:rowOff>
        </xdr:from>
        <xdr:to>
          <xdr:col>5</xdr:col>
          <xdr:colOff>0</xdr:colOff>
          <xdr:row>67</xdr:row>
          <xdr:rowOff>0</xdr:rowOff>
        </xdr:to>
        <xdr:sp macro="" textlink="">
          <xdr:nvSpPr>
            <xdr:cNvPr id="106655" name="Drop Down 159" hidden="1">
              <a:extLst>
                <a:ext uri="{63B3BB69-23CF-44E3-9099-C40C66FF867C}">
                  <a14:compatExt spid="_x0000_s106655"/>
                </a:ext>
                <a:ext uri="{FF2B5EF4-FFF2-40B4-BE49-F238E27FC236}">
                  <a16:creationId xmlns:a16="http://schemas.microsoft.com/office/drawing/2014/main" id="{00000000-0008-0000-0600-00009F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57</xdr:row>
          <xdr:rowOff>0</xdr:rowOff>
        </xdr:from>
        <xdr:to>
          <xdr:col>13</xdr:col>
          <xdr:colOff>0</xdr:colOff>
          <xdr:row>58</xdr:row>
          <xdr:rowOff>0</xdr:rowOff>
        </xdr:to>
        <xdr:sp macro="" textlink="">
          <xdr:nvSpPr>
            <xdr:cNvPr id="106657" name="Drop Down 161" hidden="1">
              <a:extLst>
                <a:ext uri="{63B3BB69-23CF-44E3-9099-C40C66FF867C}">
                  <a14:compatExt spid="_x0000_s106657"/>
                </a:ext>
                <a:ext uri="{FF2B5EF4-FFF2-40B4-BE49-F238E27FC236}">
                  <a16:creationId xmlns:a16="http://schemas.microsoft.com/office/drawing/2014/main" id="{00000000-0008-0000-0600-0000A1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58</xdr:row>
          <xdr:rowOff>0</xdr:rowOff>
        </xdr:from>
        <xdr:to>
          <xdr:col>13</xdr:col>
          <xdr:colOff>0</xdr:colOff>
          <xdr:row>59</xdr:row>
          <xdr:rowOff>0</xdr:rowOff>
        </xdr:to>
        <xdr:sp macro="" textlink="">
          <xdr:nvSpPr>
            <xdr:cNvPr id="106658" name="Drop Down 162" hidden="1">
              <a:extLst>
                <a:ext uri="{63B3BB69-23CF-44E3-9099-C40C66FF867C}">
                  <a14:compatExt spid="_x0000_s106658"/>
                </a:ext>
                <a:ext uri="{FF2B5EF4-FFF2-40B4-BE49-F238E27FC236}">
                  <a16:creationId xmlns:a16="http://schemas.microsoft.com/office/drawing/2014/main" id="{00000000-0008-0000-0600-0000A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59</xdr:row>
          <xdr:rowOff>0</xdr:rowOff>
        </xdr:from>
        <xdr:to>
          <xdr:col>13</xdr:col>
          <xdr:colOff>0</xdr:colOff>
          <xdr:row>60</xdr:row>
          <xdr:rowOff>0</xdr:rowOff>
        </xdr:to>
        <xdr:sp macro="" textlink="">
          <xdr:nvSpPr>
            <xdr:cNvPr id="106659" name="Drop Down 163" hidden="1">
              <a:extLst>
                <a:ext uri="{63B3BB69-23CF-44E3-9099-C40C66FF867C}">
                  <a14:compatExt spid="_x0000_s106659"/>
                </a:ext>
                <a:ext uri="{FF2B5EF4-FFF2-40B4-BE49-F238E27FC236}">
                  <a16:creationId xmlns:a16="http://schemas.microsoft.com/office/drawing/2014/main" id="{00000000-0008-0000-0600-0000A3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60</xdr:row>
          <xdr:rowOff>0</xdr:rowOff>
        </xdr:from>
        <xdr:to>
          <xdr:col>13</xdr:col>
          <xdr:colOff>0</xdr:colOff>
          <xdr:row>61</xdr:row>
          <xdr:rowOff>0</xdr:rowOff>
        </xdr:to>
        <xdr:sp macro="" textlink="">
          <xdr:nvSpPr>
            <xdr:cNvPr id="106660" name="Drop Down 164" hidden="1">
              <a:extLst>
                <a:ext uri="{63B3BB69-23CF-44E3-9099-C40C66FF867C}">
                  <a14:compatExt spid="_x0000_s106660"/>
                </a:ext>
                <a:ext uri="{FF2B5EF4-FFF2-40B4-BE49-F238E27FC236}">
                  <a16:creationId xmlns:a16="http://schemas.microsoft.com/office/drawing/2014/main" id="{00000000-0008-0000-0600-0000A4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61</xdr:row>
          <xdr:rowOff>0</xdr:rowOff>
        </xdr:from>
        <xdr:to>
          <xdr:col>13</xdr:col>
          <xdr:colOff>0</xdr:colOff>
          <xdr:row>62</xdr:row>
          <xdr:rowOff>0</xdr:rowOff>
        </xdr:to>
        <xdr:sp macro="" textlink="">
          <xdr:nvSpPr>
            <xdr:cNvPr id="106661" name="Drop Down 165" hidden="1">
              <a:extLst>
                <a:ext uri="{63B3BB69-23CF-44E3-9099-C40C66FF867C}">
                  <a14:compatExt spid="_x0000_s106661"/>
                </a:ext>
                <a:ext uri="{FF2B5EF4-FFF2-40B4-BE49-F238E27FC236}">
                  <a16:creationId xmlns:a16="http://schemas.microsoft.com/office/drawing/2014/main" id="{00000000-0008-0000-0600-0000A5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62</xdr:row>
          <xdr:rowOff>0</xdr:rowOff>
        </xdr:from>
        <xdr:to>
          <xdr:col>13</xdr:col>
          <xdr:colOff>0</xdr:colOff>
          <xdr:row>63</xdr:row>
          <xdr:rowOff>0</xdr:rowOff>
        </xdr:to>
        <xdr:sp macro="" textlink="">
          <xdr:nvSpPr>
            <xdr:cNvPr id="106662" name="Drop Down 166" hidden="1">
              <a:extLst>
                <a:ext uri="{63B3BB69-23CF-44E3-9099-C40C66FF867C}">
                  <a14:compatExt spid="_x0000_s106662"/>
                </a:ext>
                <a:ext uri="{FF2B5EF4-FFF2-40B4-BE49-F238E27FC236}">
                  <a16:creationId xmlns:a16="http://schemas.microsoft.com/office/drawing/2014/main" id="{00000000-0008-0000-0600-0000A6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63</xdr:row>
          <xdr:rowOff>0</xdr:rowOff>
        </xdr:from>
        <xdr:to>
          <xdr:col>13</xdr:col>
          <xdr:colOff>0</xdr:colOff>
          <xdr:row>64</xdr:row>
          <xdr:rowOff>0</xdr:rowOff>
        </xdr:to>
        <xdr:sp macro="" textlink="">
          <xdr:nvSpPr>
            <xdr:cNvPr id="106663" name="Drop Down 167" hidden="1">
              <a:extLst>
                <a:ext uri="{63B3BB69-23CF-44E3-9099-C40C66FF867C}">
                  <a14:compatExt spid="_x0000_s106663"/>
                </a:ext>
                <a:ext uri="{FF2B5EF4-FFF2-40B4-BE49-F238E27FC236}">
                  <a16:creationId xmlns:a16="http://schemas.microsoft.com/office/drawing/2014/main" id="{00000000-0008-0000-0600-0000A7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64</xdr:row>
          <xdr:rowOff>0</xdr:rowOff>
        </xdr:from>
        <xdr:to>
          <xdr:col>13</xdr:col>
          <xdr:colOff>0</xdr:colOff>
          <xdr:row>65</xdr:row>
          <xdr:rowOff>0</xdr:rowOff>
        </xdr:to>
        <xdr:sp macro="" textlink="">
          <xdr:nvSpPr>
            <xdr:cNvPr id="106664" name="Drop Down 168" hidden="1">
              <a:extLst>
                <a:ext uri="{63B3BB69-23CF-44E3-9099-C40C66FF867C}">
                  <a14:compatExt spid="_x0000_s106664"/>
                </a:ext>
                <a:ext uri="{FF2B5EF4-FFF2-40B4-BE49-F238E27FC236}">
                  <a16:creationId xmlns:a16="http://schemas.microsoft.com/office/drawing/2014/main" id="{00000000-0008-0000-0600-0000A8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65</xdr:row>
          <xdr:rowOff>0</xdr:rowOff>
        </xdr:from>
        <xdr:to>
          <xdr:col>13</xdr:col>
          <xdr:colOff>0</xdr:colOff>
          <xdr:row>66</xdr:row>
          <xdr:rowOff>0</xdr:rowOff>
        </xdr:to>
        <xdr:sp macro="" textlink="">
          <xdr:nvSpPr>
            <xdr:cNvPr id="106665" name="Drop Down 169" hidden="1">
              <a:extLst>
                <a:ext uri="{63B3BB69-23CF-44E3-9099-C40C66FF867C}">
                  <a14:compatExt spid="_x0000_s106665"/>
                </a:ext>
                <a:ext uri="{FF2B5EF4-FFF2-40B4-BE49-F238E27FC236}">
                  <a16:creationId xmlns:a16="http://schemas.microsoft.com/office/drawing/2014/main" id="{00000000-0008-0000-0600-0000A9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66</xdr:row>
          <xdr:rowOff>0</xdr:rowOff>
        </xdr:from>
        <xdr:to>
          <xdr:col>13</xdr:col>
          <xdr:colOff>0</xdr:colOff>
          <xdr:row>67</xdr:row>
          <xdr:rowOff>0</xdr:rowOff>
        </xdr:to>
        <xdr:sp macro="" textlink="">
          <xdr:nvSpPr>
            <xdr:cNvPr id="106666" name="Drop Down 170" hidden="1">
              <a:extLst>
                <a:ext uri="{63B3BB69-23CF-44E3-9099-C40C66FF867C}">
                  <a14:compatExt spid="_x0000_s106666"/>
                </a:ext>
                <a:ext uri="{FF2B5EF4-FFF2-40B4-BE49-F238E27FC236}">
                  <a16:creationId xmlns:a16="http://schemas.microsoft.com/office/drawing/2014/main" id="{00000000-0008-0000-0600-0000AA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75</xdr:row>
          <xdr:rowOff>0</xdr:rowOff>
        </xdr:from>
        <xdr:to>
          <xdr:col>1</xdr:col>
          <xdr:colOff>0</xdr:colOff>
          <xdr:row>76</xdr:row>
          <xdr:rowOff>0</xdr:rowOff>
        </xdr:to>
        <xdr:sp macro="" textlink="">
          <xdr:nvSpPr>
            <xdr:cNvPr id="106668" name="Drop Down 172" hidden="1">
              <a:extLst>
                <a:ext uri="{63B3BB69-23CF-44E3-9099-C40C66FF867C}">
                  <a14:compatExt spid="_x0000_s106668"/>
                </a:ext>
                <a:ext uri="{FF2B5EF4-FFF2-40B4-BE49-F238E27FC236}">
                  <a16:creationId xmlns:a16="http://schemas.microsoft.com/office/drawing/2014/main" id="{00000000-0008-0000-0600-0000AC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76</xdr:row>
          <xdr:rowOff>0</xdr:rowOff>
        </xdr:from>
        <xdr:to>
          <xdr:col>1</xdr:col>
          <xdr:colOff>0</xdr:colOff>
          <xdr:row>77</xdr:row>
          <xdr:rowOff>0</xdr:rowOff>
        </xdr:to>
        <xdr:sp macro="" textlink="">
          <xdr:nvSpPr>
            <xdr:cNvPr id="106669" name="Drop Down 173" hidden="1">
              <a:extLst>
                <a:ext uri="{63B3BB69-23CF-44E3-9099-C40C66FF867C}">
                  <a14:compatExt spid="_x0000_s106669"/>
                </a:ext>
                <a:ext uri="{FF2B5EF4-FFF2-40B4-BE49-F238E27FC236}">
                  <a16:creationId xmlns:a16="http://schemas.microsoft.com/office/drawing/2014/main" id="{00000000-0008-0000-0600-0000AD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77</xdr:row>
          <xdr:rowOff>0</xdr:rowOff>
        </xdr:from>
        <xdr:to>
          <xdr:col>1</xdr:col>
          <xdr:colOff>0</xdr:colOff>
          <xdr:row>78</xdr:row>
          <xdr:rowOff>0</xdr:rowOff>
        </xdr:to>
        <xdr:sp macro="" textlink="">
          <xdr:nvSpPr>
            <xdr:cNvPr id="106670" name="Drop Down 174" hidden="1">
              <a:extLst>
                <a:ext uri="{63B3BB69-23CF-44E3-9099-C40C66FF867C}">
                  <a14:compatExt spid="_x0000_s106670"/>
                </a:ext>
                <a:ext uri="{FF2B5EF4-FFF2-40B4-BE49-F238E27FC236}">
                  <a16:creationId xmlns:a16="http://schemas.microsoft.com/office/drawing/2014/main" id="{00000000-0008-0000-0600-0000AE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78</xdr:row>
          <xdr:rowOff>0</xdr:rowOff>
        </xdr:from>
        <xdr:to>
          <xdr:col>1</xdr:col>
          <xdr:colOff>0</xdr:colOff>
          <xdr:row>79</xdr:row>
          <xdr:rowOff>0</xdr:rowOff>
        </xdr:to>
        <xdr:sp macro="" textlink="">
          <xdr:nvSpPr>
            <xdr:cNvPr id="106671" name="Drop Down 175" hidden="1">
              <a:extLst>
                <a:ext uri="{63B3BB69-23CF-44E3-9099-C40C66FF867C}">
                  <a14:compatExt spid="_x0000_s106671"/>
                </a:ext>
                <a:ext uri="{FF2B5EF4-FFF2-40B4-BE49-F238E27FC236}">
                  <a16:creationId xmlns:a16="http://schemas.microsoft.com/office/drawing/2014/main" id="{00000000-0008-0000-0600-0000AF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79</xdr:row>
          <xdr:rowOff>0</xdr:rowOff>
        </xdr:from>
        <xdr:to>
          <xdr:col>1</xdr:col>
          <xdr:colOff>0</xdr:colOff>
          <xdr:row>80</xdr:row>
          <xdr:rowOff>0</xdr:rowOff>
        </xdr:to>
        <xdr:sp macro="" textlink="">
          <xdr:nvSpPr>
            <xdr:cNvPr id="106672" name="Drop Down 176" hidden="1">
              <a:extLst>
                <a:ext uri="{63B3BB69-23CF-44E3-9099-C40C66FF867C}">
                  <a14:compatExt spid="_x0000_s106672"/>
                </a:ext>
                <a:ext uri="{FF2B5EF4-FFF2-40B4-BE49-F238E27FC236}">
                  <a16:creationId xmlns:a16="http://schemas.microsoft.com/office/drawing/2014/main" id="{00000000-0008-0000-0600-0000B0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80</xdr:row>
          <xdr:rowOff>0</xdr:rowOff>
        </xdr:from>
        <xdr:to>
          <xdr:col>1</xdr:col>
          <xdr:colOff>0</xdr:colOff>
          <xdr:row>81</xdr:row>
          <xdr:rowOff>0</xdr:rowOff>
        </xdr:to>
        <xdr:sp macro="" textlink="">
          <xdr:nvSpPr>
            <xdr:cNvPr id="106673" name="Drop Down 177" hidden="1">
              <a:extLst>
                <a:ext uri="{63B3BB69-23CF-44E3-9099-C40C66FF867C}">
                  <a14:compatExt spid="_x0000_s106673"/>
                </a:ext>
                <a:ext uri="{FF2B5EF4-FFF2-40B4-BE49-F238E27FC236}">
                  <a16:creationId xmlns:a16="http://schemas.microsoft.com/office/drawing/2014/main" id="{00000000-0008-0000-0600-0000B1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81</xdr:row>
          <xdr:rowOff>0</xdr:rowOff>
        </xdr:from>
        <xdr:to>
          <xdr:col>1</xdr:col>
          <xdr:colOff>0</xdr:colOff>
          <xdr:row>82</xdr:row>
          <xdr:rowOff>0</xdr:rowOff>
        </xdr:to>
        <xdr:sp macro="" textlink="">
          <xdr:nvSpPr>
            <xdr:cNvPr id="106674" name="Drop Down 178" hidden="1">
              <a:extLst>
                <a:ext uri="{63B3BB69-23CF-44E3-9099-C40C66FF867C}">
                  <a14:compatExt spid="_x0000_s106674"/>
                </a:ext>
                <a:ext uri="{FF2B5EF4-FFF2-40B4-BE49-F238E27FC236}">
                  <a16:creationId xmlns:a16="http://schemas.microsoft.com/office/drawing/2014/main" id="{00000000-0008-0000-0600-0000B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82</xdr:row>
          <xdr:rowOff>0</xdr:rowOff>
        </xdr:from>
        <xdr:to>
          <xdr:col>1</xdr:col>
          <xdr:colOff>0</xdr:colOff>
          <xdr:row>83</xdr:row>
          <xdr:rowOff>0</xdr:rowOff>
        </xdr:to>
        <xdr:sp macro="" textlink="">
          <xdr:nvSpPr>
            <xdr:cNvPr id="106675" name="Drop Down 179" hidden="1">
              <a:extLst>
                <a:ext uri="{63B3BB69-23CF-44E3-9099-C40C66FF867C}">
                  <a14:compatExt spid="_x0000_s106675"/>
                </a:ext>
                <a:ext uri="{FF2B5EF4-FFF2-40B4-BE49-F238E27FC236}">
                  <a16:creationId xmlns:a16="http://schemas.microsoft.com/office/drawing/2014/main" id="{00000000-0008-0000-0600-0000B3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83</xdr:row>
          <xdr:rowOff>0</xdr:rowOff>
        </xdr:from>
        <xdr:to>
          <xdr:col>1</xdr:col>
          <xdr:colOff>0</xdr:colOff>
          <xdr:row>84</xdr:row>
          <xdr:rowOff>0</xdr:rowOff>
        </xdr:to>
        <xdr:sp macro="" textlink="">
          <xdr:nvSpPr>
            <xdr:cNvPr id="106676" name="Drop Down 180" hidden="1">
              <a:extLst>
                <a:ext uri="{63B3BB69-23CF-44E3-9099-C40C66FF867C}">
                  <a14:compatExt spid="_x0000_s106676"/>
                </a:ext>
                <a:ext uri="{FF2B5EF4-FFF2-40B4-BE49-F238E27FC236}">
                  <a16:creationId xmlns:a16="http://schemas.microsoft.com/office/drawing/2014/main" id="{00000000-0008-0000-0600-0000B4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84</xdr:row>
          <xdr:rowOff>0</xdr:rowOff>
        </xdr:from>
        <xdr:to>
          <xdr:col>1</xdr:col>
          <xdr:colOff>0</xdr:colOff>
          <xdr:row>85</xdr:row>
          <xdr:rowOff>0</xdr:rowOff>
        </xdr:to>
        <xdr:sp macro="" textlink="">
          <xdr:nvSpPr>
            <xdr:cNvPr id="106677" name="Drop Down 181" hidden="1">
              <a:extLst>
                <a:ext uri="{63B3BB69-23CF-44E3-9099-C40C66FF867C}">
                  <a14:compatExt spid="_x0000_s106677"/>
                </a:ext>
                <a:ext uri="{FF2B5EF4-FFF2-40B4-BE49-F238E27FC236}">
                  <a16:creationId xmlns:a16="http://schemas.microsoft.com/office/drawing/2014/main" id="{00000000-0008-0000-0600-0000B5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75</xdr:row>
          <xdr:rowOff>0</xdr:rowOff>
        </xdr:from>
        <xdr:to>
          <xdr:col>4</xdr:col>
          <xdr:colOff>0</xdr:colOff>
          <xdr:row>76</xdr:row>
          <xdr:rowOff>0</xdr:rowOff>
        </xdr:to>
        <xdr:sp macro="" textlink="">
          <xdr:nvSpPr>
            <xdr:cNvPr id="106678" name="Drop Down 182" hidden="1">
              <a:extLst>
                <a:ext uri="{63B3BB69-23CF-44E3-9099-C40C66FF867C}">
                  <a14:compatExt spid="_x0000_s106678"/>
                </a:ext>
                <a:ext uri="{FF2B5EF4-FFF2-40B4-BE49-F238E27FC236}">
                  <a16:creationId xmlns:a16="http://schemas.microsoft.com/office/drawing/2014/main" id="{00000000-0008-0000-0600-0000B6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76</xdr:row>
          <xdr:rowOff>0</xdr:rowOff>
        </xdr:from>
        <xdr:to>
          <xdr:col>4</xdr:col>
          <xdr:colOff>0</xdr:colOff>
          <xdr:row>77</xdr:row>
          <xdr:rowOff>0</xdr:rowOff>
        </xdr:to>
        <xdr:sp macro="" textlink="">
          <xdr:nvSpPr>
            <xdr:cNvPr id="106679" name="Drop Down 183" hidden="1">
              <a:extLst>
                <a:ext uri="{63B3BB69-23CF-44E3-9099-C40C66FF867C}">
                  <a14:compatExt spid="_x0000_s106679"/>
                </a:ext>
                <a:ext uri="{FF2B5EF4-FFF2-40B4-BE49-F238E27FC236}">
                  <a16:creationId xmlns:a16="http://schemas.microsoft.com/office/drawing/2014/main" id="{00000000-0008-0000-0600-0000B7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77</xdr:row>
          <xdr:rowOff>0</xdr:rowOff>
        </xdr:from>
        <xdr:to>
          <xdr:col>4</xdr:col>
          <xdr:colOff>0</xdr:colOff>
          <xdr:row>78</xdr:row>
          <xdr:rowOff>0</xdr:rowOff>
        </xdr:to>
        <xdr:sp macro="" textlink="">
          <xdr:nvSpPr>
            <xdr:cNvPr id="106680" name="Drop Down 184" hidden="1">
              <a:extLst>
                <a:ext uri="{63B3BB69-23CF-44E3-9099-C40C66FF867C}">
                  <a14:compatExt spid="_x0000_s106680"/>
                </a:ext>
                <a:ext uri="{FF2B5EF4-FFF2-40B4-BE49-F238E27FC236}">
                  <a16:creationId xmlns:a16="http://schemas.microsoft.com/office/drawing/2014/main" id="{00000000-0008-0000-0600-0000B8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78</xdr:row>
          <xdr:rowOff>0</xdr:rowOff>
        </xdr:from>
        <xdr:to>
          <xdr:col>4</xdr:col>
          <xdr:colOff>0</xdr:colOff>
          <xdr:row>79</xdr:row>
          <xdr:rowOff>0</xdr:rowOff>
        </xdr:to>
        <xdr:sp macro="" textlink="">
          <xdr:nvSpPr>
            <xdr:cNvPr id="106681" name="Drop Down 185" hidden="1">
              <a:extLst>
                <a:ext uri="{63B3BB69-23CF-44E3-9099-C40C66FF867C}">
                  <a14:compatExt spid="_x0000_s106681"/>
                </a:ext>
                <a:ext uri="{FF2B5EF4-FFF2-40B4-BE49-F238E27FC236}">
                  <a16:creationId xmlns:a16="http://schemas.microsoft.com/office/drawing/2014/main" id="{00000000-0008-0000-0600-0000B9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79</xdr:row>
          <xdr:rowOff>0</xdr:rowOff>
        </xdr:from>
        <xdr:to>
          <xdr:col>4</xdr:col>
          <xdr:colOff>0</xdr:colOff>
          <xdr:row>80</xdr:row>
          <xdr:rowOff>0</xdr:rowOff>
        </xdr:to>
        <xdr:sp macro="" textlink="">
          <xdr:nvSpPr>
            <xdr:cNvPr id="106682" name="Drop Down 186" hidden="1">
              <a:extLst>
                <a:ext uri="{63B3BB69-23CF-44E3-9099-C40C66FF867C}">
                  <a14:compatExt spid="_x0000_s106682"/>
                </a:ext>
                <a:ext uri="{FF2B5EF4-FFF2-40B4-BE49-F238E27FC236}">
                  <a16:creationId xmlns:a16="http://schemas.microsoft.com/office/drawing/2014/main" id="{00000000-0008-0000-0600-0000BA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80</xdr:row>
          <xdr:rowOff>0</xdr:rowOff>
        </xdr:from>
        <xdr:to>
          <xdr:col>4</xdr:col>
          <xdr:colOff>0</xdr:colOff>
          <xdr:row>81</xdr:row>
          <xdr:rowOff>0</xdr:rowOff>
        </xdr:to>
        <xdr:sp macro="" textlink="">
          <xdr:nvSpPr>
            <xdr:cNvPr id="106683" name="Drop Down 187" hidden="1">
              <a:extLst>
                <a:ext uri="{63B3BB69-23CF-44E3-9099-C40C66FF867C}">
                  <a14:compatExt spid="_x0000_s106683"/>
                </a:ext>
                <a:ext uri="{FF2B5EF4-FFF2-40B4-BE49-F238E27FC236}">
                  <a16:creationId xmlns:a16="http://schemas.microsoft.com/office/drawing/2014/main" id="{00000000-0008-0000-0600-0000BB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81</xdr:row>
          <xdr:rowOff>0</xdr:rowOff>
        </xdr:from>
        <xdr:to>
          <xdr:col>4</xdr:col>
          <xdr:colOff>0</xdr:colOff>
          <xdr:row>82</xdr:row>
          <xdr:rowOff>0</xdr:rowOff>
        </xdr:to>
        <xdr:sp macro="" textlink="">
          <xdr:nvSpPr>
            <xdr:cNvPr id="106684" name="Drop Down 188" hidden="1">
              <a:extLst>
                <a:ext uri="{63B3BB69-23CF-44E3-9099-C40C66FF867C}">
                  <a14:compatExt spid="_x0000_s106684"/>
                </a:ext>
                <a:ext uri="{FF2B5EF4-FFF2-40B4-BE49-F238E27FC236}">
                  <a16:creationId xmlns:a16="http://schemas.microsoft.com/office/drawing/2014/main" id="{00000000-0008-0000-0600-0000BC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82</xdr:row>
          <xdr:rowOff>0</xdr:rowOff>
        </xdr:from>
        <xdr:to>
          <xdr:col>4</xdr:col>
          <xdr:colOff>0</xdr:colOff>
          <xdr:row>83</xdr:row>
          <xdr:rowOff>0</xdr:rowOff>
        </xdr:to>
        <xdr:sp macro="" textlink="">
          <xdr:nvSpPr>
            <xdr:cNvPr id="106685" name="Drop Down 189" hidden="1">
              <a:extLst>
                <a:ext uri="{63B3BB69-23CF-44E3-9099-C40C66FF867C}">
                  <a14:compatExt spid="_x0000_s106685"/>
                </a:ext>
                <a:ext uri="{FF2B5EF4-FFF2-40B4-BE49-F238E27FC236}">
                  <a16:creationId xmlns:a16="http://schemas.microsoft.com/office/drawing/2014/main" id="{00000000-0008-0000-0600-0000BD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83</xdr:row>
          <xdr:rowOff>0</xdr:rowOff>
        </xdr:from>
        <xdr:to>
          <xdr:col>4</xdr:col>
          <xdr:colOff>0</xdr:colOff>
          <xdr:row>84</xdr:row>
          <xdr:rowOff>0</xdr:rowOff>
        </xdr:to>
        <xdr:sp macro="" textlink="">
          <xdr:nvSpPr>
            <xdr:cNvPr id="106686" name="Drop Down 190" hidden="1">
              <a:extLst>
                <a:ext uri="{63B3BB69-23CF-44E3-9099-C40C66FF867C}">
                  <a14:compatExt spid="_x0000_s106686"/>
                </a:ext>
                <a:ext uri="{FF2B5EF4-FFF2-40B4-BE49-F238E27FC236}">
                  <a16:creationId xmlns:a16="http://schemas.microsoft.com/office/drawing/2014/main" id="{00000000-0008-0000-0600-0000BE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84</xdr:row>
          <xdr:rowOff>0</xdr:rowOff>
        </xdr:from>
        <xdr:to>
          <xdr:col>4</xdr:col>
          <xdr:colOff>0</xdr:colOff>
          <xdr:row>85</xdr:row>
          <xdr:rowOff>0</xdr:rowOff>
        </xdr:to>
        <xdr:sp macro="" textlink="">
          <xdr:nvSpPr>
            <xdr:cNvPr id="106687" name="Drop Down 191" hidden="1">
              <a:extLst>
                <a:ext uri="{63B3BB69-23CF-44E3-9099-C40C66FF867C}">
                  <a14:compatExt spid="_x0000_s106687"/>
                </a:ext>
                <a:ext uri="{FF2B5EF4-FFF2-40B4-BE49-F238E27FC236}">
                  <a16:creationId xmlns:a16="http://schemas.microsoft.com/office/drawing/2014/main" id="{00000000-0008-0000-0600-0000BF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75</xdr:row>
          <xdr:rowOff>0</xdr:rowOff>
        </xdr:from>
        <xdr:to>
          <xdr:col>5</xdr:col>
          <xdr:colOff>0</xdr:colOff>
          <xdr:row>76</xdr:row>
          <xdr:rowOff>0</xdr:rowOff>
        </xdr:to>
        <xdr:sp macro="" textlink="">
          <xdr:nvSpPr>
            <xdr:cNvPr id="106689" name="Drop Down 193" hidden="1">
              <a:extLst>
                <a:ext uri="{63B3BB69-23CF-44E3-9099-C40C66FF867C}">
                  <a14:compatExt spid="_x0000_s106689"/>
                </a:ext>
                <a:ext uri="{FF2B5EF4-FFF2-40B4-BE49-F238E27FC236}">
                  <a16:creationId xmlns:a16="http://schemas.microsoft.com/office/drawing/2014/main" id="{00000000-0008-0000-0600-0000C1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76</xdr:row>
          <xdr:rowOff>0</xdr:rowOff>
        </xdr:from>
        <xdr:to>
          <xdr:col>5</xdr:col>
          <xdr:colOff>0</xdr:colOff>
          <xdr:row>77</xdr:row>
          <xdr:rowOff>0</xdr:rowOff>
        </xdr:to>
        <xdr:sp macro="" textlink="">
          <xdr:nvSpPr>
            <xdr:cNvPr id="106690" name="Drop Down 194" hidden="1">
              <a:extLst>
                <a:ext uri="{63B3BB69-23CF-44E3-9099-C40C66FF867C}">
                  <a14:compatExt spid="_x0000_s106690"/>
                </a:ext>
                <a:ext uri="{FF2B5EF4-FFF2-40B4-BE49-F238E27FC236}">
                  <a16:creationId xmlns:a16="http://schemas.microsoft.com/office/drawing/2014/main" id="{00000000-0008-0000-0600-0000C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77</xdr:row>
          <xdr:rowOff>0</xdr:rowOff>
        </xdr:from>
        <xdr:to>
          <xdr:col>5</xdr:col>
          <xdr:colOff>0</xdr:colOff>
          <xdr:row>78</xdr:row>
          <xdr:rowOff>0</xdr:rowOff>
        </xdr:to>
        <xdr:sp macro="" textlink="">
          <xdr:nvSpPr>
            <xdr:cNvPr id="106691" name="Drop Down 195" hidden="1">
              <a:extLst>
                <a:ext uri="{63B3BB69-23CF-44E3-9099-C40C66FF867C}">
                  <a14:compatExt spid="_x0000_s106691"/>
                </a:ext>
                <a:ext uri="{FF2B5EF4-FFF2-40B4-BE49-F238E27FC236}">
                  <a16:creationId xmlns:a16="http://schemas.microsoft.com/office/drawing/2014/main" id="{00000000-0008-0000-0600-0000C3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78</xdr:row>
          <xdr:rowOff>0</xdr:rowOff>
        </xdr:from>
        <xdr:to>
          <xdr:col>5</xdr:col>
          <xdr:colOff>0</xdr:colOff>
          <xdr:row>79</xdr:row>
          <xdr:rowOff>0</xdr:rowOff>
        </xdr:to>
        <xdr:sp macro="" textlink="">
          <xdr:nvSpPr>
            <xdr:cNvPr id="106692" name="Drop Down 196" hidden="1">
              <a:extLst>
                <a:ext uri="{63B3BB69-23CF-44E3-9099-C40C66FF867C}">
                  <a14:compatExt spid="_x0000_s106692"/>
                </a:ext>
                <a:ext uri="{FF2B5EF4-FFF2-40B4-BE49-F238E27FC236}">
                  <a16:creationId xmlns:a16="http://schemas.microsoft.com/office/drawing/2014/main" id="{00000000-0008-0000-0600-0000C4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79</xdr:row>
          <xdr:rowOff>0</xdr:rowOff>
        </xdr:from>
        <xdr:to>
          <xdr:col>5</xdr:col>
          <xdr:colOff>0</xdr:colOff>
          <xdr:row>80</xdr:row>
          <xdr:rowOff>0</xdr:rowOff>
        </xdr:to>
        <xdr:sp macro="" textlink="">
          <xdr:nvSpPr>
            <xdr:cNvPr id="106693" name="Drop Down 197" hidden="1">
              <a:extLst>
                <a:ext uri="{63B3BB69-23CF-44E3-9099-C40C66FF867C}">
                  <a14:compatExt spid="_x0000_s106693"/>
                </a:ext>
                <a:ext uri="{FF2B5EF4-FFF2-40B4-BE49-F238E27FC236}">
                  <a16:creationId xmlns:a16="http://schemas.microsoft.com/office/drawing/2014/main" id="{00000000-0008-0000-0600-0000C5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80</xdr:row>
          <xdr:rowOff>0</xdr:rowOff>
        </xdr:from>
        <xdr:to>
          <xdr:col>5</xdr:col>
          <xdr:colOff>0</xdr:colOff>
          <xdr:row>81</xdr:row>
          <xdr:rowOff>0</xdr:rowOff>
        </xdr:to>
        <xdr:sp macro="" textlink="">
          <xdr:nvSpPr>
            <xdr:cNvPr id="106694" name="Drop Down 198" hidden="1">
              <a:extLst>
                <a:ext uri="{63B3BB69-23CF-44E3-9099-C40C66FF867C}">
                  <a14:compatExt spid="_x0000_s106694"/>
                </a:ext>
                <a:ext uri="{FF2B5EF4-FFF2-40B4-BE49-F238E27FC236}">
                  <a16:creationId xmlns:a16="http://schemas.microsoft.com/office/drawing/2014/main" id="{00000000-0008-0000-0600-0000C6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81</xdr:row>
          <xdr:rowOff>0</xdr:rowOff>
        </xdr:from>
        <xdr:to>
          <xdr:col>5</xdr:col>
          <xdr:colOff>0</xdr:colOff>
          <xdr:row>82</xdr:row>
          <xdr:rowOff>0</xdr:rowOff>
        </xdr:to>
        <xdr:sp macro="" textlink="">
          <xdr:nvSpPr>
            <xdr:cNvPr id="106695" name="Drop Down 199" hidden="1">
              <a:extLst>
                <a:ext uri="{63B3BB69-23CF-44E3-9099-C40C66FF867C}">
                  <a14:compatExt spid="_x0000_s106695"/>
                </a:ext>
                <a:ext uri="{FF2B5EF4-FFF2-40B4-BE49-F238E27FC236}">
                  <a16:creationId xmlns:a16="http://schemas.microsoft.com/office/drawing/2014/main" id="{00000000-0008-0000-0600-0000C7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82</xdr:row>
          <xdr:rowOff>0</xdr:rowOff>
        </xdr:from>
        <xdr:to>
          <xdr:col>5</xdr:col>
          <xdr:colOff>0</xdr:colOff>
          <xdr:row>83</xdr:row>
          <xdr:rowOff>0</xdr:rowOff>
        </xdr:to>
        <xdr:sp macro="" textlink="">
          <xdr:nvSpPr>
            <xdr:cNvPr id="106696" name="Drop Down 200" hidden="1">
              <a:extLst>
                <a:ext uri="{63B3BB69-23CF-44E3-9099-C40C66FF867C}">
                  <a14:compatExt spid="_x0000_s106696"/>
                </a:ext>
                <a:ext uri="{FF2B5EF4-FFF2-40B4-BE49-F238E27FC236}">
                  <a16:creationId xmlns:a16="http://schemas.microsoft.com/office/drawing/2014/main" id="{00000000-0008-0000-0600-0000C8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83</xdr:row>
          <xdr:rowOff>0</xdr:rowOff>
        </xdr:from>
        <xdr:to>
          <xdr:col>5</xdr:col>
          <xdr:colOff>0</xdr:colOff>
          <xdr:row>84</xdr:row>
          <xdr:rowOff>0</xdr:rowOff>
        </xdr:to>
        <xdr:sp macro="" textlink="">
          <xdr:nvSpPr>
            <xdr:cNvPr id="106697" name="Drop Down 201" hidden="1">
              <a:extLst>
                <a:ext uri="{63B3BB69-23CF-44E3-9099-C40C66FF867C}">
                  <a14:compatExt spid="_x0000_s106697"/>
                </a:ext>
                <a:ext uri="{FF2B5EF4-FFF2-40B4-BE49-F238E27FC236}">
                  <a16:creationId xmlns:a16="http://schemas.microsoft.com/office/drawing/2014/main" id="{00000000-0008-0000-0600-0000C9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84</xdr:row>
          <xdr:rowOff>0</xdr:rowOff>
        </xdr:from>
        <xdr:to>
          <xdr:col>5</xdr:col>
          <xdr:colOff>0</xdr:colOff>
          <xdr:row>85</xdr:row>
          <xdr:rowOff>0</xdr:rowOff>
        </xdr:to>
        <xdr:sp macro="" textlink="">
          <xdr:nvSpPr>
            <xdr:cNvPr id="106698" name="Drop Down 202" hidden="1">
              <a:extLst>
                <a:ext uri="{63B3BB69-23CF-44E3-9099-C40C66FF867C}">
                  <a14:compatExt spid="_x0000_s106698"/>
                </a:ext>
                <a:ext uri="{FF2B5EF4-FFF2-40B4-BE49-F238E27FC236}">
                  <a16:creationId xmlns:a16="http://schemas.microsoft.com/office/drawing/2014/main" id="{00000000-0008-0000-0600-0000CA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75</xdr:row>
          <xdr:rowOff>0</xdr:rowOff>
        </xdr:from>
        <xdr:to>
          <xdr:col>13</xdr:col>
          <xdr:colOff>0</xdr:colOff>
          <xdr:row>76</xdr:row>
          <xdr:rowOff>0</xdr:rowOff>
        </xdr:to>
        <xdr:sp macro="" textlink="">
          <xdr:nvSpPr>
            <xdr:cNvPr id="106700" name="Drop Down 204" hidden="1">
              <a:extLst>
                <a:ext uri="{63B3BB69-23CF-44E3-9099-C40C66FF867C}">
                  <a14:compatExt spid="_x0000_s106700"/>
                </a:ext>
                <a:ext uri="{FF2B5EF4-FFF2-40B4-BE49-F238E27FC236}">
                  <a16:creationId xmlns:a16="http://schemas.microsoft.com/office/drawing/2014/main" id="{00000000-0008-0000-0600-0000CC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76</xdr:row>
          <xdr:rowOff>0</xdr:rowOff>
        </xdr:from>
        <xdr:to>
          <xdr:col>13</xdr:col>
          <xdr:colOff>0</xdr:colOff>
          <xdr:row>77</xdr:row>
          <xdr:rowOff>0</xdr:rowOff>
        </xdr:to>
        <xdr:sp macro="" textlink="">
          <xdr:nvSpPr>
            <xdr:cNvPr id="106701" name="Drop Down 205" hidden="1">
              <a:extLst>
                <a:ext uri="{63B3BB69-23CF-44E3-9099-C40C66FF867C}">
                  <a14:compatExt spid="_x0000_s106701"/>
                </a:ext>
                <a:ext uri="{FF2B5EF4-FFF2-40B4-BE49-F238E27FC236}">
                  <a16:creationId xmlns:a16="http://schemas.microsoft.com/office/drawing/2014/main" id="{00000000-0008-0000-0600-0000CD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77</xdr:row>
          <xdr:rowOff>0</xdr:rowOff>
        </xdr:from>
        <xdr:to>
          <xdr:col>13</xdr:col>
          <xdr:colOff>0</xdr:colOff>
          <xdr:row>78</xdr:row>
          <xdr:rowOff>0</xdr:rowOff>
        </xdr:to>
        <xdr:sp macro="" textlink="">
          <xdr:nvSpPr>
            <xdr:cNvPr id="106702" name="Drop Down 206" hidden="1">
              <a:extLst>
                <a:ext uri="{63B3BB69-23CF-44E3-9099-C40C66FF867C}">
                  <a14:compatExt spid="_x0000_s106702"/>
                </a:ext>
                <a:ext uri="{FF2B5EF4-FFF2-40B4-BE49-F238E27FC236}">
                  <a16:creationId xmlns:a16="http://schemas.microsoft.com/office/drawing/2014/main" id="{00000000-0008-0000-0600-0000CE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78</xdr:row>
          <xdr:rowOff>0</xdr:rowOff>
        </xdr:from>
        <xdr:to>
          <xdr:col>13</xdr:col>
          <xdr:colOff>0</xdr:colOff>
          <xdr:row>79</xdr:row>
          <xdr:rowOff>0</xdr:rowOff>
        </xdr:to>
        <xdr:sp macro="" textlink="">
          <xdr:nvSpPr>
            <xdr:cNvPr id="106703" name="Drop Down 207" hidden="1">
              <a:extLst>
                <a:ext uri="{63B3BB69-23CF-44E3-9099-C40C66FF867C}">
                  <a14:compatExt spid="_x0000_s106703"/>
                </a:ext>
                <a:ext uri="{FF2B5EF4-FFF2-40B4-BE49-F238E27FC236}">
                  <a16:creationId xmlns:a16="http://schemas.microsoft.com/office/drawing/2014/main" id="{00000000-0008-0000-0600-0000CF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79</xdr:row>
          <xdr:rowOff>0</xdr:rowOff>
        </xdr:from>
        <xdr:to>
          <xdr:col>13</xdr:col>
          <xdr:colOff>0</xdr:colOff>
          <xdr:row>80</xdr:row>
          <xdr:rowOff>0</xdr:rowOff>
        </xdr:to>
        <xdr:sp macro="" textlink="">
          <xdr:nvSpPr>
            <xdr:cNvPr id="106704" name="Drop Down 208" hidden="1">
              <a:extLst>
                <a:ext uri="{63B3BB69-23CF-44E3-9099-C40C66FF867C}">
                  <a14:compatExt spid="_x0000_s106704"/>
                </a:ext>
                <a:ext uri="{FF2B5EF4-FFF2-40B4-BE49-F238E27FC236}">
                  <a16:creationId xmlns:a16="http://schemas.microsoft.com/office/drawing/2014/main" id="{00000000-0008-0000-0600-0000D0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80</xdr:row>
          <xdr:rowOff>0</xdr:rowOff>
        </xdr:from>
        <xdr:to>
          <xdr:col>13</xdr:col>
          <xdr:colOff>0</xdr:colOff>
          <xdr:row>81</xdr:row>
          <xdr:rowOff>0</xdr:rowOff>
        </xdr:to>
        <xdr:sp macro="" textlink="">
          <xdr:nvSpPr>
            <xdr:cNvPr id="106705" name="Drop Down 209" hidden="1">
              <a:extLst>
                <a:ext uri="{63B3BB69-23CF-44E3-9099-C40C66FF867C}">
                  <a14:compatExt spid="_x0000_s106705"/>
                </a:ext>
                <a:ext uri="{FF2B5EF4-FFF2-40B4-BE49-F238E27FC236}">
                  <a16:creationId xmlns:a16="http://schemas.microsoft.com/office/drawing/2014/main" id="{00000000-0008-0000-0600-0000D1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81</xdr:row>
          <xdr:rowOff>0</xdr:rowOff>
        </xdr:from>
        <xdr:to>
          <xdr:col>13</xdr:col>
          <xdr:colOff>0</xdr:colOff>
          <xdr:row>82</xdr:row>
          <xdr:rowOff>0</xdr:rowOff>
        </xdr:to>
        <xdr:sp macro="" textlink="">
          <xdr:nvSpPr>
            <xdr:cNvPr id="106706" name="Drop Down 210" hidden="1">
              <a:extLst>
                <a:ext uri="{63B3BB69-23CF-44E3-9099-C40C66FF867C}">
                  <a14:compatExt spid="_x0000_s106706"/>
                </a:ext>
                <a:ext uri="{FF2B5EF4-FFF2-40B4-BE49-F238E27FC236}">
                  <a16:creationId xmlns:a16="http://schemas.microsoft.com/office/drawing/2014/main" id="{00000000-0008-0000-0600-0000D2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82</xdr:row>
          <xdr:rowOff>0</xdr:rowOff>
        </xdr:from>
        <xdr:to>
          <xdr:col>13</xdr:col>
          <xdr:colOff>0</xdr:colOff>
          <xdr:row>83</xdr:row>
          <xdr:rowOff>0</xdr:rowOff>
        </xdr:to>
        <xdr:sp macro="" textlink="">
          <xdr:nvSpPr>
            <xdr:cNvPr id="106707" name="Drop Down 211" hidden="1">
              <a:extLst>
                <a:ext uri="{63B3BB69-23CF-44E3-9099-C40C66FF867C}">
                  <a14:compatExt spid="_x0000_s106707"/>
                </a:ext>
                <a:ext uri="{FF2B5EF4-FFF2-40B4-BE49-F238E27FC236}">
                  <a16:creationId xmlns:a16="http://schemas.microsoft.com/office/drawing/2014/main" id="{00000000-0008-0000-0600-0000D3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83</xdr:row>
          <xdr:rowOff>0</xdr:rowOff>
        </xdr:from>
        <xdr:to>
          <xdr:col>13</xdr:col>
          <xdr:colOff>0</xdr:colOff>
          <xdr:row>84</xdr:row>
          <xdr:rowOff>0</xdr:rowOff>
        </xdr:to>
        <xdr:sp macro="" textlink="">
          <xdr:nvSpPr>
            <xdr:cNvPr id="106708" name="Drop Down 212" hidden="1">
              <a:extLst>
                <a:ext uri="{63B3BB69-23CF-44E3-9099-C40C66FF867C}">
                  <a14:compatExt spid="_x0000_s106708"/>
                </a:ext>
                <a:ext uri="{FF2B5EF4-FFF2-40B4-BE49-F238E27FC236}">
                  <a16:creationId xmlns:a16="http://schemas.microsoft.com/office/drawing/2014/main" id="{00000000-0008-0000-0600-0000D4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84</xdr:row>
          <xdr:rowOff>0</xdr:rowOff>
        </xdr:from>
        <xdr:to>
          <xdr:col>13</xdr:col>
          <xdr:colOff>0</xdr:colOff>
          <xdr:row>85</xdr:row>
          <xdr:rowOff>0</xdr:rowOff>
        </xdr:to>
        <xdr:sp macro="" textlink="">
          <xdr:nvSpPr>
            <xdr:cNvPr id="106709" name="Drop Down 213" hidden="1">
              <a:extLst>
                <a:ext uri="{63B3BB69-23CF-44E3-9099-C40C66FF867C}">
                  <a14:compatExt spid="_x0000_s106709"/>
                </a:ext>
                <a:ext uri="{FF2B5EF4-FFF2-40B4-BE49-F238E27FC236}">
                  <a16:creationId xmlns:a16="http://schemas.microsoft.com/office/drawing/2014/main" id="{00000000-0008-0000-0600-0000D5A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76200</xdr:colOff>
      <xdr:row>0</xdr:row>
      <xdr:rowOff>28575</xdr:rowOff>
    </xdr:from>
    <xdr:to>
      <xdr:col>9</xdr:col>
      <xdr:colOff>866776</xdr:colOff>
      <xdr:row>2</xdr:row>
      <xdr:rowOff>0</xdr:rowOff>
    </xdr:to>
    <xdr:sp macro="" textlink="'Translation Table'!$H$35">
      <xdr:nvSpPr>
        <xdr:cNvPr id="2" name="Arrow: Right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2268200" y="28575"/>
          <a:ext cx="1543051" cy="476250"/>
        </a:xfrm>
        <a:prstGeom prst="rightArrow">
          <a:avLst/>
        </a:prstGeom>
        <a:solidFill>
          <a:srgbClr val="00A9B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15</xdr:row>
          <xdr:rowOff>0</xdr:rowOff>
        </xdr:from>
        <xdr:to>
          <xdr:col>2</xdr:col>
          <xdr:colOff>0</xdr:colOff>
          <xdr:row>16</xdr:row>
          <xdr:rowOff>0</xdr:rowOff>
        </xdr:to>
        <xdr:sp macro="" textlink="">
          <xdr:nvSpPr>
            <xdr:cNvPr id="129026" name="Drop Down 2" hidden="1">
              <a:extLst>
                <a:ext uri="{63B3BB69-23CF-44E3-9099-C40C66FF867C}">
                  <a14:compatExt spid="_x0000_s129026"/>
                </a:ext>
                <a:ext uri="{FF2B5EF4-FFF2-40B4-BE49-F238E27FC236}">
                  <a16:creationId xmlns:a16="http://schemas.microsoft.com/office/drawing/2014/main" id="{00000000-0008-0000-0700-000002F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0</xdr:rowOff>
        </xdr:from>
        <xdr:to>
          <xdr:col>2</xdr:col>
          <xdr:colOff>0</xdr:colOff>
          <xdr:row>26</xdr:row>
          <xdr:rowOff>0</xdr:rowOff>
        </xdr:to>
        <xdr:sp macro="" textlink="">
          <xdr:nvSpPr>
            <xdr:cNvPr id="129027" name="Drop Down 3" hidden="1">
              <a:extLst>
                <a:ext uri="{63B3BB69-23CF-44E3-9099-C40C66FF867C}">
                  <a14:compatExt spid="_x0000_s129027"/>
                </a:ext>
                <a:ext uri="{FF2B5EF4-FFF2-40B4-BE49-F238E27FC236}">
                  <a16:creationId xmlns:a16="http://schemas.microsoft.com/office/drawing/2014/main" id="{00000000-0008-0000-0700-000003F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0</xdr:rowOff>
        </xdr:from>
        <xdr:to>
          <xdr:col>11</xdr:col>
          <xdr:colOff>0</xdr:colOff>
          <xdr:row>16</xdr:row>
          <xdr:rowOff>0</xdr:rowOff>
        </xdr:to>
        <xdr:sp macro="" textlink="">
          <xdr:nvSpPr>
            <xdr:cNvPr id="129028" name="Drop Down 4" hidden="1">
              <a:extLst>
                <a:ext uri="{63B3BB69-23CF-44E3-9099-C40C66FF867C}">
                  <a14:compatExt spid="_x0000_s129028"/>
                </a:ext>
                <a:ext uri="{FF2B5EF4-FFF2-40B4-BE49-F238E27FC236}">
                  <a16:creationId xmlns:a16="http://schemas.microsoft.com/office/drawing/2014/main" id="{00000000-0008-0000-0700-000004F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11</xdr:col>
          <xdr:colOff>0</xdr:colOff>
          <xdr:row>26</xdr:row>
          <xdr:rowOff>0</xdr:rowOff>
        </xdr:to>
        <xdr:sp macro="" textlink="">
          <xdr:nvSpPr>
            <xdr:cNvPr id="129031" name="Drop Down 7" hidden="1">
              <a:extLst>
                <a:ext uri="{63B3BB69-23CF-44E3-9099-C40C66FF867C}">
                  <a14:compatExt spid="_x0000_s129031"/>
                </a:ext>
                <a:ext uri="{FF2B5EF4-FFF2-40B4-BE49-F238E27FC236}">
                  <a16:creationId xmlns:a16="http://schemas.microsoft.com/office/drawing/2014/main" id="{00000000-0008-0000-0700-000007F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209550</xdr:colOff>
      <xdr:row>0</xdr:row>
      <xdr:rowOff>0</xdr:rowOff>
    </xdr:from>
    <xdr:to>
      <xdr:col>10</xdr:col>
      <xdr:colOff>1752601</xdr:colOff>
      <xdr:row>1</xdr:row>
      <xdr:rowOff>180975</xdr:rowOff>
    </xdr:to>
    <xdr:sp macro="" textlink="'Translation Table'!$H$35">
      <xdr:nvSpPr>
        <xdr:cNvPr id="2" name="Arrow: Right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239375" y="0"/>
          <a:ext cx="1543051" cy="476250"/>
        </a:xfrm>
        <a:prstGeom prst="rightArrow">
          <a:avLst/>
        </a:prstGeom>
        <a:solidFill>
          <a:srgbClr val="00A9B5"/>
        </a:solidFill>
        <a:ln>
          <a:solidFill>
            <a:schemeClr val="accent1"/>
          </a:solidFill>
        </a:ln>
        <a:effectLst>
          <a:outerShdw blurRad="44450" dist="27940" dir="5400000" algn="ctr">
            <a:srgbClr val="00C698">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fld id="{DCE56C76-B9F6-4B17-A269-92D61F8C0948}" type="TxLink">
            <a:rPr lang="en-US" altLang="ja-JP" sz="1400" b="0" i="0" u="none" strike="noStrike">
              <a:ln cap="rnd">
                <a:noFill/>
              </a:ln>
              <a:solidFill>
                <a:schemeClr val="tx1"/>
              </a:solidFill>
              <a:latin typeface="Arial Narrow" panose="020B0606020202030204" pitchFamily="34" charset="0"/>
              <a:cs typeface="Calibri" panose="020F0502020204030204" pitchFamily="34" charset="0"/>
            </a:rPr>
            <a:pPr algn="l"/>
            <a:t>Go To 'Contents'</a:t>
          </a:fld>
          <a:endParaRPr lang="sr-Cyrl-RS" sz="1400" b="0">
            <a:ln cap="rnd">
              <a:noFill/>
            </a:ln>
            <a:solidFill>
              <a:schemeClr val="tx1"/>
            </a:solidFill>
            <a:latin typeface="Arial Narrow" panose="020B0606020202030204" pitchFamily="34" charset="0"/>
            <a:cs typeface="Calibri" panose="020F050202020403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100</xdr:row>
      <xdr:rowOff>66675</xdr:rowOff>
    </xdr:from>
    <xdr:to>
      <xdr:col>10</xdr:col>
      <xdr:colOff>1428750</xdr:colOff>
      <xdr:row>100</xdr:row>
      <xdr:rowOff>238125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15497175" y="10620375"/>
          <a:ext cx="1438275"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0</xdr:colOff>
      <xdr:row>105</xdr:row>
      <xdr:rowOff>647700</xdr:rowOff>
    </xdr:from>
    <xdr:to>
      <xdr:col>10</xdr:col>
      <xdr:colOff>2781300</xdr:colOff>
      <xdr:row>106</xdr:row>
      <xdr:rowOff>0</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15497175" y="12020550"/>
          <a:ext cx="2790825" cy="1619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twoCellAnchor>
    <xdr:from>
      <xdr:col>10</xdr:col>
      <xdr:colOff>0</xdr:colOff>
      <xdr:row>101</xdr:row>
      <xdr:rowOff>66675</xdr:rowOff>
    </xdr:from>
    <xdr:to>
      <xdr:col>10</xdr:col>
      <xdr:colOff>1428750</xdr:colOff>
      <xdr:row>101</xdr:row>
      <xdr:rowOff>238125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12934950" y="21031200"/>
          <a:ext cx="609600" cy="1428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r-Cyrl-R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Projects%20-%20BCG\Costing%20Tool%20-%20Methane%20Mitigation%20Options%20(02%20July%202024).xlsx" TargetMode="External"/><Relationship Id="rId1" Type="http://schemas.openxmlformats.org/officeDocument/2006/relationships/externalLinkPath" Target="file:///C:\Projects%20-%20BCG\Costing%20Tool%20-%20Methane%20Mitigation%20Options%20(02%20July%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Costs - Rod Packing"/>
      <sheetName val="Costs - Wet Seals"/>
      <sheetName val="Cost - Recip Comp Replacement"/>
      <sheetName val="Cost -Electric Starter"/>
      <sheetName val="Cost - Turbine Air Starter"/>
      <sheetName val="Cost - Convert Engine to Motor"/>
      <sheetName val="Costs - AFR Controller"/>
      <sheetName val="Costs - Tank VRU"/>
      <sheetName val="Cost - Tanks"/>
      <sheetName val="Costs - Continuous Flare"/>
      <sheetName val="Cost - Emergency Flare System"/>
      <sheetName val="Costs - Enclosed Combustor"/>
      <sheetName val="Costs - Glycol Dehydrators"/>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0">
          <cell r="D30">
            <v>19</v>
          </cell>
        </row>
        <row r="34">
          <cell r="D34">
            <v>35.799999999999997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17" Type="http://schemas.openxmlformats.org/officeDocument/2006/relationships/ctrlProp" Target="../ctrlProps/ctrlProp347.xml"/><Relationship Id="rId21" Type="http://schemas.openxmlformats.org/officeDocument/2006/relationships/ctrlProp" Target="../ctrlProps/ctrlProp251.xml"/><Relationship Id="rId42" Type="http://schemas.openxmlformats.org/officeDocument/2006/relationships/ctrlProp" Target="../ctrlProps/ctrlProp272.xml"/><Relationship Id="rId63" Type="http://schemas.openxmlformats.org/officeDocument/2006/relationships/ctrlProp" Target="../ctrlProps/ctrlProp293.xml"/><Relationship Id="rId84" Type="http://schemas.openxmlformats.org/officeDocument/2006/relationships/ctrlProp" Target="../ctrlProps/ctrlProp314.xml"/><Relationship Id="rId138" Type="http://schemas.openxmlformats.org/officeDocument/2006/relationships/ctrlProp" Target="../ctrlProps/ctrlProp368.xml"/><Relationship Id="rId159" Type="http://schemas.openxmlformats.org/officeDocument/2006/relationships/ctrlProp" Target="../ctrlProps/ctrlProp389.xml"/><Relationship Id="rId170" Type="http://schemas.openxmlformats.org/officeDocument/2006/relationships/ctrlProp" Target="../ctrlProps/ctrlProp400.xml"/><Relationship Id="rId107" Type="http://schemas.openxmlformats.org/officeDocument/2006/relationships/ctrlProp" Target="../ctrlProps/ctrlProp337.xml"/><Relationship Id="rId11" Type="http://schemas.openxmlformats.org/officeDocument/2006/relationships/ctrlProp" Target="../ctrlProps/ctrlProp241.xml"/><Relationship Id="rId32" Type="http://schemas.openxmlformats.org/officeDocument/2006/relationships/ctrlProp" Target="../ctrlProps/ctrlProp262.xml"/><Relationship Id="rId53" Type="http://schemas.openxmlformats.org/officeDocument/2006/relationships/ctrlProp" Target="../ctrlProps/ctrlProp283.xml"/><Relationship Id="rId74" Type="http://schemas.openxmlformats.org/officeDocument/2006/relationships/ctrlProp" Target="../ctrlProps/ctrlProp304.xml"/><Relationship Id="rId128" Type="http://schemas.openxmlformats.org/officeDocument/2006/relationships/ctrlProp" Target="../ctrlProps/ctrlProp358.xml"/><Relationship Id="rId149" Type="http://schemas.openxmlformats.org/officeDocument/2006/relationships/ctrlProp" Target="../ctrlProps/ctrlProp379.xml"/><Relationship Id="rId5" Type="http://schemas.openxmlformats.org/officeDocument/2006/relationships/ctrlProp" Target="../ctrlProps/ctrlProp235.xml"/><Relationship Id="rId95" Type="http://schemas.openxmlformats.org/officeDocument/2006/relationships/ctrlProp" Target="../ctrlProps/ctrlProp325.xml"/><Relationship Id="rId160" Type="http://schemas.openxmlformats.org/officeDocument/2006/relationships/ctrlProp" Target="../ctrlProps/ctrlProp390.xml"/><Relationship Id="rId22" Type="http://schemas.openxmlformats.org/officeDocument/2006/relationships/ctrlProp" Target="../ctrlProps/ctrlProp252.xml"/><Relationship Id="rId43" Type="http://schemas.openxmlformats.org/officeDocument/2006/relationships/ctrlProp" Target="../ctrlProps/ctrlProp273.xml"/><Relationship Id="rId64" Type="http://schemas.openxmlformats.org/officeDocument/2006/relationships/ctrlProp" Target="../ctrlProps/ctrlProp294.xml"/><Relationship Id="rId118" Type="http://schemas.openxmlformats.org/officeDocument/2006/relationships/ctrlProp" Target="../ctrlProps/ctrlProp348.xml"/><Relationship Id="rId139" Type="http://schemas.openxmlformats.org/officeDocument/2006/relationships/ctrlProp" Target="../ctrlProps/ctrlProp369.xml"/><Relationship Id="rId85" Type="http://schemas.openxmlformats.org/officeDocument/2006/relationships/ctrlProp" Target="../ctrlProps/ctrlProp315.xml"/><Relationship Id="rId150" Type="http://schemas.openxmlformats.org/officeDocument/2006/relationships/ctrlProp" Target="../ctrlProps/ctrlProp380.xml"/><Relationship Id="rId12" Type="http://schemas.openxmlformats.org/officeDocument/2006/relationships/ctrlProp" Target="../ctrlProps/ctrlProp242.xml"/><Relationship Id="rId33" Type="http://schemas.openxmlformats.org/officeDocument/2006/relationships/ctrlProp" Target="../ctrlProps/ctrlProp263.xml"/><Relationship Id="rId108" Type="http://schemas.openxmlformats.org/officeDocument/2006/relationships/ctrlProp" Target="../ctrlProps/ctrlProp338.xml"/><Relationship Id="rId129" Type="http://schemas.openxmlformats.org/officeDocument/2006/relationships/ctrlProp" Target="../ctrlProps/ctrlProp359.xml"/><Relationship Id="rId54" Type="http://schemas.openxmlformats.org/officeDocument/2006/relationships/ctrlProp" Target="../ctrlProps/ctrlProp284.xml"/><Relationship Id="rId70" Type="http://schemas.openxmlformats.org/officeDocument/2006/relationships/ctrlProp" Target="../ctrlProps/ctrlProp300.xml"/><Relationship Id="rId75" Type="http://schemas.openxmlformats.org/officeDocument/2006/relationships/ctrlProp" Target="../ctrlProps/ctrlProp305.xml"/><Relationship Id="rId91" Type="http://schemas.openxmlformats.org/officeDocument/2006/relationships/ctrlProp" Target="../ctrlProps/ctrlProp321.xml"/><Relationship Id="rId96" Type="http://schemas.openxmlformats.org/officeDocument/2006/relationships/ctrlProp" Target="../ctrlProps/ctrlProp326.xml"/><Relationship Id="rId140" Type="http://schemas.openxmlformats.org/officeDocument/2006/relationships/ctrlProp" Target="../ctrlProps/ctrlProp370.xml"/><Relationship Id="rId145" Type="http://schemas.openxmlformats.org/officeDocument/2006/relationships/ctrlProp" Target="../ctrlProps/ctrlProp375.xml"/><Relationship Id="rId161" Type="http://schemas.openxmlformats.org/officeDocument/2006/relationships/ctrlProp" Target="../ctrlProps/ctrlProp391.xml"/><Relationship Id="rId166" Type="http://schemas.openxmlformats.org/officeDocument/2006/relationships/ctrlProp" Target="../ctrlProps/ctrlProp396.xml"/><Relationship Id="rId1" Type="http://schemas.openxmlformats.org/officeDocument/2006/relationships/printerSettings" Target="../printerSettings/printerSettings9.bin"/><Relationship Id="rId6" Type="http://schemas.openxmlformats.org/officeDocument/2006/relationships/ctrlProp" Target="../ctrlProps/ctrlProp236.xml"/><Relationship Id="rId23" Type="http://schemas.openxmlformats.org/officeDocument/2006/relationships/ctrlProp" Target="../ctrlProps/ctrlProp253.xml"/><Relationship Id="rId28" Type="http://schemas.openxmlformats.org/officeDocument/2006/relationships/ctrlProp" Target="../ctrlProps/ctrlProp258.xml"/><Relationship Id="rId49" Type="http://schemas.openxmlformats.org/officeDocument/2006/relationships/ctrlProp" Target="../ctrlProps/ctrlProp279.xml"/><Relationship Id="rId114" Type="http://schemas.openxmlformats.org/officeDocument/2006/relationships/ctrlProp" Target="../ctrlProps/ctrlProp344.xml"/><Relationship Id="rId119" Type="http://schemas.openxmlformats.org/officeDocument/2006/relationships/ctrlProp" Target="../ctrlProps/ctrlProp349.xml"/><Relationship Id="rId44" Type="http://schemas.openxmlformats.org/officeDocument/2006/relationships/ctrlProp" Target="../ctrlProps/ctrlProp274.xml"/><Relationship Id="rId60" Type="http://schemas.openxmlformats.org/officeDocument/2006/relationships/ctrlProp" Target="../ctrlProps/ctrlProp290.xml"/><Relationship Id="rId65" Type="http://schemas.openxmlformats.org/officeDocument/2006/relationships/ctrlProp" Target="../ctrlProps/ctrlProp295.xml"/><Relationship Id="rId81" Type="http://schemas.openxmlformats.org/officeDocument/2006/relationships/ctrlProp" Target="../ctrlProps/ctrlProp311.xml"/><Relationship Id="rId86" Type="http://schemas.openxmlformats.org/officeDocument/2006/relationships/ctrlProp" Target="../ctrlProps/ctrlProp316.xml"/><Relationship Id="rId130" Type="http://schemas.openxmlformats.org/officeDocument/2006/relationships/ctrlProp" Target="../ctrlProps/ctrlProp360.xml"/><Relationship Id="rId135" Type="http://schemas.openxmlformats.org/officeDocument/2006/relationships/ctrlProp" Target="../ctrlProps/ctrlProp365.xml"/><Relationship Id="rId151" Type="http://schemas.openxmlformats.org/officeDocument/2006/relationships/ctrlProp" Target="../ctrlProps/ctrlProp381.xml"/><Relationship Id="rId156" Type="http://schemas.openxmlformats.org/officeDocument/2006/relationships/ctrlProp" Target="../ctrlProps/ctrlProp386.xml"/><Relationship Id="rId13" Type="http://schemas.openxmlformats.org/officeDocument/2006/relationships/ctrlProp" Target="../ctrlProps/ctrlProp243.xml"/><Relationship Id="rId18" Type="http://schemas.openxmlformats.org/officeDocument/2006/relationships/ctrlProp" Target="../ctrlProps/ctrlProp248.xml"/><Relationship Id="rId39" Type="http://schemas.openxmlformats.org/officeDocument/2006/relationships/ctrlProp" Target="../ctrlProps/ctrlProp269.xml"/><Relationship Id="rId109" Type="http://schemas.openxmlformats.org/officeDocument/2006/relationships/ctrlProp" Target="../ctrlProps/ctrlProp339.xml"/><Relationship Id="rId34" Type="http://schemas.openxmlformats.org/officeDocument/2006/relationships/ctrlProp" Target="../ctrlProps/ctrlProp264.xml"/><Relationship Id="rId50" Type="http://schemas.openxmlformats.org/officeDocument/2006/relationships/ctrlProp" Target="../ctrlProps/ctrlProp280.xml"/><Relationship Id="rId55" Type="http://schemas.openxmlformats.org/officeDocument/2006/relationships/ctrlProp" Target="../ctrlProps/ctrlProp285.xml"/><Relationship Id="rId76" Type="http://schemas.openxmlformats.org/officeDocument/2006/relationships/ctrlProp" Target="../ctrlProps/ctrlProp306.xml"/><Relationship Id="rId97" Type="http://schemas.openxmlformats.org/officeDocument/2006/relationships/ctrlProp" Target="../ctrlProps/ctrlProp327.xml"/><Relationship Id="rId104" Type="http://schemas.openxmlformats.org/officeDocument/2006/relationships/ctrlProp" Target="../ctrlProps/ctrlProp334.xml"/><Relationship Id="rId120" Type="http://schemas.openxmlformats.org/officeDocument/2006/relationships/ctrlProp" Target="../ctrlProps/ctrlProp350.xml"/><Relationship Id="rId125" Type="http://schemas.openxmlformats.org/officeDocument/2006/relationships/ctrlProp" Target="../ctrlProps/ctrlProp355.xml"/><Relationship Id="rId141" Type="http://schemas.openxmlformats.org/officeDocument/2006/relationships/ctrlProp" Target="../ctrlProps/ctrlProp371.xml"/><Relationship Id="rId146" Type="http://schemas.openxmlformats.org/officeDocument/2006/relationships/ctrlProp" Target="../ctrlProps/ctrlProp376.xml"/><Relationship Id="rId167" Type="http://schemas.openxmlformats.org/officeDocument/2006/relationships/ctrlProp" Target="../ctrlProps/ctrlProp397.xml"/><Relationship Id="rId7" Type="http://schemas.openxmlformats.org/officeDocument/2006/relationships/ctrlProp" Target="../ctrlProps/ctrlProp237.xml"/><Relationship Id="rId71" Type="http://schemas.openxmlformats.org/officeDocument/2006/relationships/ctrlProp" Target="../ctrlProps/ctrlProp301.xml"/><Relationship Id="rId92" Type="http://schemas.openxmlformats.org/officeDocument/2006/relationships/ctrlProp" Target="../ctrlProps/ctrlProp322.xml"/><Relationship Id="rId162" Type="http://schemas.openxmlformats.org/officeDocument/2006/relationships/ctrlProp" Target="../ctrlProps/ctrlProp392.xml"/><Relationship Id="rId2" Type="http://schemas.openxmlformats.org/officeDocument/2006/relationships/drawing" Target="../drawings/drawing12.xml"/><Relationship Id="rId29" Type="http://schemas.openxmlformats.org/officeDocument/2006/relationships/ctrlProp" Target="../ctrlProps/ctrlProp259.xml"/><Relationship Id="rId24" Type="http://schemas.openxmlformats.org/officeDocument/2006/relationships/ctrlProp" Target="../ctrlProps/ctrlProp254.xml"/><Relationship Id="rId40" Type="http://schemas.openxmlformats.org/officeDocument/2006/relationships/ctrlProp" Target="../ctrlProps/ctrlProp270.xml"/><Relationship Id="rId45" Type="http://schemas.openxmlformats.org/officeDocument/2006/relationships/ctrlProp" Target="../ctrlProps/ctrlProp275.xml"/><Relationship Id="rId66" Type="http://schemas.openxmlformats.org/officeDocument/2006/relationships/ctrlProp" Target="../ctrlProps/ctrlProp296.xml"/><Relationship Id="rId87" Type="http://schemas.openxmlformats.org/officeDocument/2006/relationships/ctrlProp" Target="../ctrlProps/ctrlProp317.xml"/><Relationship Id="rId110" Type="http://schemas.openxmlformats.org/officeDocument/2006/relationships/ctrlProp" Target="../ctrlProps/ctrlProp340.xml"/><Relationship Id="rId115" Type="http://schemas.openxmlformats.org/officeDocument/2006/relationships/ctrlProp" Target="../ctrlProps/ctrlProp345.xml"/><Relationship Id="rId131" Type="http://schemas.openxmlformats.org/officeDocument/2006/relationships/ctrlProp" Target="../ctrlProps/ctrlProp361.xml"/><Relationship Id="rId136" Type="http://schemas.openxmlformats.org/officeDocument/2006/relationships/ctrlProp" Target="../ctrlProps/ctrlProp366.xml"/><Relationship Id="rId157" Type="http://schemas.openxmlformats.org/officeDocument/2006/relationships/ctrlProp" Target="../ctrlProps/ctrlProp387.xml"/><Relationship Id="rId61" Type="http://schemas.openxmlformats.org/officeDocument/2006/relationships/ctrlProp" Target="../ctrlProps/ctrlProp291.xml"/><Relationship Id="rId82" Type="http://schemas.openxmlformats.org/officeDocument/2006/relationships/ctrlProp" Target="../ctrlProps/ctrlProp312.xml"/><Relationship Id="rId152" Type="http://schemas.openxmlformats.org/officeDocument/2006/relationships/ctrlProp" Target="../ctrlProps/ctrlProp382.xml"/><Relationship Id="rId19" Type="http://schemas.openxmlformats.org/officeDocument/2006/relationships/ctrlProp" Target="../ctrlProps/ctrlProp249.xml"/><Relationship Id="rId14" Type="http://schemas.openxmlformats.org/officeDocument/2006/relationships/ctrlProp" Target="../ctrlProps/ctrlProp244.xml"/><Relationship Id="rId30" Type="http://schemas.openxmlformats.org/officeDocument/2006/relationships/ctrlProp" Target="../ctrlProps/ctrlProp260.xml"/><Relationship Id="rId35" Type="http://schemas.openxmlformats.org/officeDocument/2006/relationships/ctrlProp" Target="../ctrlProps/ctrlProp265.xml"/><Relationship Id="rId56" Type="http://schemas.openxmlformats.org/officeDocument/2006/relationships/ctrlProp" Target="../ctrlProps/ctrlProp286.xml"/><Relationship Id="rId77" Type="http://schemas.openxmlformats.org/officeDocument/2006/relationships/ctrlProp" Target="../ctrlProps/ctrlProp307.xml"/><Relationship Id="rId100" Type="http://schemas.openxmlformats.org/officeDocument/2006/relationships/ctrlProp" Target="../ctrlProps/ctrlProp330.xml"/><Relationship Id="rId105" Type="http://schemas.openxmlformats.org/officeDocument/2006/relationships/ctrlProp" Target="../ctrlProps/ctrlProp335.xml"/><Relationship Id="rId126" Type="http://schemas.openxmlformats.org/officeDocument/2006/relationships/ctrlProp" Target="../ctrlProps/ctrlProp356.xml"/><Relationship Id="rId147" Type="http://schemas.openxmlformats.org/officeDocument/2006/relationships/ctrlProp" Target="../ctrlProps/ctrlProp377.xml"/><Relationship Id="rId168" Type="http://schemas.openxmlformats.org/officeDocument/2006/relationships/ctrlProp" Target="../ctrlProps/ctrlProp398.xml"/><Relationship Id="rId8" Type="http://schemas.openxmlformats.org/officeDocument/2006/relationships/ctrlProp" Target="../ctrlProps/ctrlProp238.xml"/><Relationship Id="rId51" Type="http://schemas.openxmlformats.org/officeDocument/2006/relationships/ctrlProp" Target="../ctrlProps/ctrlProp281.xml"/><Relationship Id="rId72" Type="http://schemas.openxmlformats.org/officeDocument/2006/relationships/ctrlProp" Target="../ctrlProps/ctrlProp302.xml"/><Relationship Id="rId93" Type="http://schemas.openxmlformats.org/officeDocument/2006/relationships/ctrlProp" Target="../ctrlProps/ctrlProp323.xml"/><Relationship Id="rId98" Type="http://schemas.openxmlformats.org/officeDocument/2006/relationships/ctrlProp" Target="../ctrlProps/ctrlProp328.xml"/><Relationship Id="rId121" Type="http://schemas.openxmlformats.org/officeDocument/2006/relationships/ctrlProp" Target="../ctrlProps/ctrlProp351.xml"/><Relationship Id="rId142" Type="http://schemas.openxmlformats.org/officeDocument/2006/relationships/ctrlProp" Target="../ctrlProps/ctrlProp372.xml"/><Relationship Id="rId163" Type="http://schemas.openxmlformats.org/officeDocument/2006/relationships/ctrlProp" Target="../ctrlProps/ctrlProp393.xml"/><Relationship Id="rId3" Type="http://schemas.openxmlformats.org/officeDocument/2006/relationships/vmlDrawing" Target="../drawings/vmlDrawing6.vml"/><Relationship Id="rId25" Type="http://schemas.openxmlformats.org/officeDocument/2006/relationships/ctrlProp" Target="../ctrlProps/ctrlProp255.xml"/><Relationship Id="rId46" Type="http://schemas.openxmlformats.org/officeDocument/2006/relationships/ctrlProp" Target="../ctrlProps/ctrlProp276.xml"/><Relationship Id="rId67" Type="http://schemas.openxmlformats.org/officeDocument/2006/relationships/ctrlProp" Target="../ctrlProps/ctrlProp297.xml"/><Relationship Id="rId116" Type="http://schemas.openxmlformats.org/officeDocument/2006/relationships/ctrlProp" Target="../ctrlProps/ctrlProp346.xml"/><Relationship Id="rId137" Type="http://schemas.openxmlformats.org/officeDocument/2006/relationships/ctrlProp" Target="../ctrlProps/ctrlProp367.xml"/><Relationship Id="rId158" Type="http://schemas.openxmlformats.org/officeDocument/2006/relationships/ctrlProp" Target="../ctrlProps/ctrlProp388.xml"/><Relationship Id="rId20" Type="http://schemas.openxmlformats.org/officeDocument/2006/relationships/ctrlProp" Target="../ctrlProps/ctrlProp250.xml"/><Relationship Id="rId41" Type="http://schemas.openxmlformats.org/officeDocument/2006/relationships/ctrlProp" Target="../ctrlProps/ctrlProp271.xml"/><Relationship Id="rId62" Type="http://schemas.openxmlformats.org/officeDocument/2006/relationships/ctrlProp" Target="../ctrlProps/ctrlProp292.xml"/><Relationship Id="rId83" Type="http://schemas.openxmlformats.org/officeDocument/2006/relationships/ctrlProp" Target="../ctrlProps/ctrlProp313.xml"/><Relationship Id="rId88" Type="http://schemas.openxmlformats.org/officeDocument/2006/relationships/ctrlProp" Target="../ctrlProps/ctrlProp318.xml"/><Relationship Id="rId111" Type="http://schemas.openxmlformats.org/officeDocument/2006/relationships/ctrlProp" Target="../ctrlProps/ctrlProp341.xml"/><Relationship Id="rId132" Type="http://schemas.openxmlformats.org/officeDocument/2006/relationships/ctrlProp" Target="../ctrlProps/ctrlProp362.xml"/><Relationship Id="rId153" Type="http://schemas.openxmlformats.org/officeDocument/2006/relationships/ctrlProp" Target="../ctrlProps/ctrlProp383.xml"/><Relationship Id="rId15" Type="http://schemas.openxmlformats.org/officeDocument/2006/relationships/ctrlProp" Target="../ctrlProps/ctrlProp245.xml"/><Relationship Id="rId36" Type="http://schemas.openxmlformats.org/officeDocument/2006/relationships/ctrlProp" Target="../ctrlProps/ctrlProp266.xml"/><Relationship Id="rId57" Type="http://schemas.openxmlformats.org/officeDocument/2006/relationships/ctrlProp" Target="../ctrlProps/ctrlProp287.xml"/><Relationship Id="rId106" Type="http://schemas.openxmlformats.org/officeDocument/2006/relationships/ctrlProp" Target="../ctrlProps/ctrlProp336.xml"/><Relationship Id="rId127" Type="http://schemas.openxmlformats.org/officeDocument/2006/relationships/ctrlProp" Target="../ctrlProps/ctrlProp357.xml"/><Relationship Id="rId10" Type="http://schemas.openxmlformats.org/officeDocument/2006/relationships/ctrlProp" Target="../ctrlProps/ctrlProp240.xml"/><Relationship Id="rId31" Type="http://schemas.openxmlformats.org/officeDocument/2006/relationships/ctrlProp" Target="../ctrlProps/ctrlProp261.xml"/><Relationship Id="rId52" Type="http://schemas.openxmlformats.org/officeDocument/2006/relationships/ctrlProp" Target="../ctrlProps/ctrlProp282.xml"/><Relationship Id="rId73" Type="http://schemas.openxmlformats.org/officeDocument/2006/relationships/ctrlProp" Target="../ctrlProps/ctrlProp303.xml"/><Relationship Id="rId78" Type="http://schemas.openxmlformats.org/officeDocument/2006/relationships/ctrlProp" Target="../ctrlProps/ctrlProp308.xml"/><Relationship Id="rId94" Type="http://schemas.openxmlformats.org/officeDocument/2006/relationships/ctrlProp" Target="../ctrlProps/ctrlProp324.xml"/><Relationship Id="rId99" Type="http://schemas.openxmlformats.org/officeDocument/2006/relationships/ctrlProp" Target="../ctrlProps/ctrlProp329.xml"/><Relationship Id="rId101" Type="http://schemas.openxmlformats.org/officeDocument/2006/relationships/ctrlProp" Target="../ctrlProps/ctrlProp331.xml"/><Relationship Id="rId122" Type="http://schemas.openxmlformats.org/officeDocument/2006/relationships/ctrlProp" Target="../ctrlProps/ctrlProp352.xml"/><Relationship Id="rId143" Type="http://schemas.openxmlformats.org/officeDocument/2006/relationships/ctrlProp" Target="../ctrlProps/ctrlProp373.xml"/><Relationship Id="rId148" Type="http://schemas.openxmlformats.org/officeDocument/2006/relationships/ctrlProp" Target="../ctrlProps/ctrlProp378.xml"/><Relationship Id="rId164" Type="http://schemas.openxmlformats.org/officeDocument/2006/relationships/ctrlProp" Target="../ctrlProps/ctrlProp394.xml"/><Relationship Id="rId169" Type="http://schemas.openxmlformats.org/officeDocument/2006/relationships/ctrlProp" Target="../ctrlProps/ctrlProp399.xml"/><Relationship Id="rId4" Type="http://schemas.openxmlformats.org/officeDocument/2006/relationships/ctrlProp" Target="../ctrlProps/ctrlProp234.xml"/><Relationship Id="rId9" Type="http://schemas.openxmlformats.org/officeDocument/2006/relationships/ctrlProp" Target="../ctrlProps/ctrlProp239.xml"/><Relationship Id="rId26" Type="http://schemas.openxmlformats.org/officeDocument/2006/relationships/ctrlProp" Target="../ctrlProps/ctrlProp256.xml"/><Relationship Id="rId47" Type="http://schemas.openxmlformats.org/officeDocument/2006/relationships/ctrlProp" Target="../ctrlProps/ctrlProp277.xml"/><Relationship Id="rId68" Type="http://schemas.openxmlformats.org/officeDocument/2006/relationships/ctrlProp" Target="../ctrlProps/ctrlProp298.xml"/><Relationship Id="rId89" Type="http://schemas.openxmlformats.org/officeDocument/2006/relationships/ctrlProp" Target="../ctrlProps/ctrlProp319.xml"/><Relationship Id="rId112" Type="http://schemas.openxmlformats.org/officeDocument/2006/relationships/ctrlProp" Target="../ctrlProps/ctrlProp342.xml"/><Relationship Id="rId133" Type="http://schemas.openxmlformats.org/officeDocument/2006/relationships/ctrlProp" Target="../ctrlProps/ctrlProp363.xml"/><Relationship Id="rId154" Type="http://schemas.openxmlformats.org/officeDocument/2006/relationships/ctrlProp" Target="../ctrlProps/ctrlProp384.xml"/><Relationship Id="rId16" Type="http://schemas.openxmlformats.org/officeDocument/2006/relationships/ctrlProp" Target="../ctrlProps/ctrlProp246.xml"/><Relationship Id="rId37" Type="http://schemas.openxmlformats.org/officeDocument/2006/relationships/ctrlProp" Target="../ctrlProps/ctrlProp267.xml"/><Relationship Id="rId58" Type="http://schemas.openxmlformats.org/officeDocument/2006/relationships/ctrlProp" Target="../ctrlProps/ctrlProp288.xml"/><Relationship Id="rId79" Type="http://schemas.openxmlformats.org/officeDocument/2006/relationships/ctrlProp" Target="../ctrlProps/ctrlProp309.xml"/><Relationship Id="rId102" Type="http://schemas.openxmlformats.org/officeDocument/2006/relationships/ctrlProp" Target="../ctrlProps/ctrlProp332.xml"/><Relationship Id="rId123" Type="http://schemas.openxmlformats.org/officeDocument/2006/relationships/ctrlProp" Target="../ctrlProps/ctrlProp353.xml"/><Relationship Id="rId144" Type="http://schemas.openxmlformats.org/officeDocument/2006/relationships/ctrlProp" Target="../ctrlProps/ctrlProp374.xml"/><Relationship Id="rId90" Type="http://schemas.openxmlformats.org/officeDocument/2006/relationships/ctrlProp" Target="../ctrlProps/ctrlProp320.xml"/><Relationship Id="rId165" Type="http://schemas.openxmlformats.org/officeDocument/2006/relationships/ctrlProp" Target="../ctrlProps/ctrlProp395.xml"/><Relationship Id="rId27" Type="http://schemas.openxmlformats.org/officeDocument/2006/relationships/ctrlProp" Target="../ctrlProps/ctrlProp257.xml"/><Relationship Id="rId48" Type="http://schemas.openxmlformats.org/officeDocument/2006/relationships/ctrlProp" Target="../ctrlProps/ctrlProp278.xml"/><Relationship Id="rId69" Type="http://schemas.openxmlformats.org/officeDocument/2006/relationships/ctrlProp" Target="../ctrlProps/ctrlProp299.xml"/><Relationship Id="rId113" Type="http://schemas.openxmlformats.org/officeDocument/2006/relationships/ctrlProp" Target="../ctrlProps/ctrlProp343.xml"/><Relationship Id="rId134" Type="http://schemas.openxmlformats.org/officeDocument/2006/relationships/ctrlProp" Target="../ctrlProps/ctrlProp364.xml"/><Relationship Id="rId80" Type="http://schemas.openxmlformats.org/officeDocument/2006/relationships/ctrlProp" Target="../ctrlProps/ctrlProp310.xml"/><Relationship Id="rId155" Type="http://schemas.openxmlformats.org/officeDocument/2006/relationships/ctrlProp" Target="../ctrlProps/ctrlProp385.xml"/><Relationship Id="rId17" Type="http://schemas.openxmlformats.org/officeDocument/2006/relationships/ctrlProp" Target="../ctrlProps/ctrlProp247.xml"/><Relationship Id="rId38" Type="http://schemas.openxmlformats.org/officeDocument/2006/relationships/ctrlProp" Target="../ctrlProps/ctrlProp268.xml"/><Relationship Id="rId59" Type="http://schemas.openxmlformats.org/officeDocument/2006/relationships/ctrlProp" Target="../ctrlProps/ctrlProp289.xml"/><Relationship Id="rId103" Type="http://schemas.openxmlformats.org/officeDocument/2006/relationships/ctrlProp" Target="../ctrlProps/ctrlProp333.xml"/><Relationship Id="rId124" Type="http://schemas.openxmlformats.org/officeDocument/2006/relationships/ctrlProp" Target="../ctrlProps/ctrlProp35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11.emf"/><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0.emf"/><Relationship Id="rId4" Type="http://schemas.openxmlformats.org/officeDocument/2006/relationships/oleObject" Target="../embeddings/oleObject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www.api.org/~/media/Files/Policy/ESG/GHG/2021-API-GHG-Compendium-110921.pdf)."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3" Type="http://schemas.openxmlformats.org/officeDocument/2006/relationships/hyperlink" Target="https://www.epa.gov/natural-gas-star-program/optimize-glycol-circulation" TargetMode="External"/><Relationship Id="rId18" Type="http://schemas.openxmlformats.org/officeDocument/2006/relationships/hyperlink" Target="https://www.epa.gov/natural-gas-star-program/storage-tanks" TargetMode="External"/><Relationship Id="rId26" Type="http://schemas.openxmlformats.org/officeDocument/2006/relationships/drawing" Target="../drawings/drawing4.xml"/><Relationship Id="rId3" Type="http://schemas.openxmlformats.org/officeDocument/2006/relationships/hyperlink" Target="https://www.epa.gov/natural-gas-star-program/advanced-methane-detection" TargetMode="External"/><Relationship Id="rId21" Type="http://schemas.openxmlformats.org/officeDocument/2006/relationships/hyperlink" Target="https://www.epa.gov/natural-gas-star-program/route-blowdown-gas-low-pressure-system" TargetMode="External"/><Relationship Id="rId34" Type="http://schemas.openxmlformats.org/officeDocument/2006/relationships/ctrlProp" Target="../ctrlProps/ctrlProp7.xml"/><Relationship Id="rId7" Type="http://schemas.openxmlformats.org/officeDocument/2006/relationships/hyperlink" Target="https://www.epa.gov/natural-gas-star-program/pneumatic-controllers" TargetMode="External"/><Relationship Id="rId12" Type="http://schemas.openxmlformats.org/officeDocument/2006/relationships/hyperlink" Target="https://www.epa.gov/natural-gas-star-program/methanol-injection" TargetMode="External"/><Relationship Id="rId17" Type="http://schemas.openxmlformats.org/officeDocument/2006/relationships/hyperlink" Target="https://www.epa.gov/natural-gas-star-program/vapor-recovery-units" TargetMode="External"/><Relationship Id="rId25" Type="http://schemas.openxmlformats.org/officeDocument/2006/relationships/printerSettings" Target="../printerSettings/printerSettings3.bin"/><Relationship Id="rId33" Type="http://schemas.openxmlformats.org/officeDocument/2006/relationships/ctrlProp" Target="../ctrlProps/ctrlProp6.xml"/><Relationship Id="rId2" Type="http://schemas.openxmlformats.org/officeDocument/2006/relationships/hyperlink" Target="https://www.epa.gov/natural-gas-star-program/centrifugal-compressors" TargetMode="External"/><Relationship Id="rId16" Type="http://schemas.openxmlformats.org/officeDocument/2006/relationships/hyperlink" Target="https://www.epa.gov/natural-gas-star-program/reroute-glycol-skimmer-gas" TargetMode="External"/><Relationship Id="rId20" Type="http://schemas.openxmlformats.org/officeDocument/2006/relationships/hyperlink" Target="https://www.epa.gov/natural-gas-star-program/compressor-station-blowdowns" TargetMode="External"/><Relationship Id="rId29" Type="http://schemas.openxmlformats.org/officeDocument/2006/relationships/ctrlProp" Target="../ctrlProps/ctrlProp2.xml"/><Relationship Id="rId1" Type="http://schemas.openxmlformats.org/officeDocument/2006/relationships/hyperlink" Target="https://www.epa.gov/natural-gas-star-program/equipment-leaks" TargetMode="External"/><Relationship Id="rId6" Type="http://schemas.openxmlformats.org/officeDocument/2006/relationships/hyperlink" Target="https://www.epa.gov/natural-gas-star-program/air-starters" TargetMode="External"/><Relationship Id="rId11" Type="http://schemas.openxmlformats.org/officeDocument/2006/relationships/hyperlink" Target="https://www.epa.gov/natural-gas-star-program/electric-glycol-circulation-pumps" TargetMode="External"/><Relationship Id="rId24" Type="http://schemas.openxmlformats.org/officeDocument/2006/relationships/hyperlink" Target="https://www.epa.gov/natural-gas-star-program/plunger-lift-system-without-planned-atmospheric-venting" TargetMode="External"/><Relationship Id="rId32" Type="http://schemas.openxmlformats.org/officeDocument/2006/relationships/ctrlProp" Target="../ctrlProps/ctrlProp5.xml"/><Relationship Id="rId5" Type="http://schemas.openxmlformats.org/officeDocument/2006/relationships/hyperlink" Target="https://www.epa.gov/natural-gas-star-program/compressor-starts" TargetMode="External"/><Relationship Id="rId15" Type="http://schemas.openxmlformats.org/officeDocument/2006/relationships/hyperlink" Target="https://www.epa.gov/natural-gas-star-program/desiccant-dehydrators" TargetMode="External"/><Relationship Id="rId23" Type="http://schemas.openxmlformats.org/officeDocument/2006/relationships/hyperlink" Target="https://www.epa.gov/natural-gas-star-program/pipeline-pig-launching-and-receiving" TargetMode="External"/><Relationship Id="rId28" Type="http://schemas.openxmlformats.org/officeDocument/2006/relationships/ctrlProp" Target="../ctrlProps/ctrlProp1.xml"/><Relationship Id="rId10" Type="http://schemas.openxmlformats.org/officeDocument/2006/relationships/hyperlink" Target="https://www.epa.gov/natural-gas-star-program/glycol-dehydrators" TargetMode="External"/><Relationship Id="rId19" Type="http://schemas.openxmlformats.org/officeDocument/2006/relationships/hyperlink" Target="https://www.epa.gov/natural-gas-star-program/pressurized-storage-tank" TargetMode="External"/><Relationship Id="rId31" Type="http://schemas.openxmlformats.org/officeDocument/2006/relationships/ctrlProp" Target="../ctrlProps/ctrlProp4.xml"/><Relationship Id="rId4" Type="http://schemas.openxmlformats.org/officeDocument/2006/relationships/hyperlink" Target="https://www.epa.gov/natural-gas-star-program/reciprocating-compressors" TargetMode="External"/><Relationship Id="rId9" Type="http://schemas.openxmlformats.org/officeDocument/2006/relationships/hyperlink" Target="https://www.epa.gov/natural-gas-star-program/mechanical-controllers" TargetMode="External"/><Relationship Id="rId14" Type="http://schemas.openxmlformats.org/officeDocument/2006/relationships/hyperlink" Target="https://www.epa.gov/natural-gas-star-program/flash-tank-separators" TargetMode="External"/><Relationship Id="rId22" Type="http://schemas.openxmlformats.org/officeDocument/2006/relationships/hyperlink" Target="https://www.epa.gov/natural-gas-star-program/pipeline-hot-taps" TargetMode="External"/><Relationship Id="rId27" Type="http://schemas.openxmlformats.org/officeDocument/2006/relationships/vmlDrawing" Target="../drawings/vmlDrawing2.vml"/><Relationship Id="rId30" Type="http://schemas.openxmlformats.org/officeDocument/2006/relationships/ctrlProp" Target="../ctrlProps/ctrlProp3.xml"/><Relationship Id="rId35" Type="http://schemas.openxmlformats.org/officeDocument/2006/relationships/ctrlProp" Target="../ctrlProps/ctrlProp8.xml"/><Relationship Id="rId8" Type="http://schemas.openxmlformats.org/officeDocument/2006/relationships/hyperlink" Target="https://www.epa.gov/natural-gas-star-program/instrument-air-controller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www.epa.gov/natural-gas-star-program/plunger-lift-system-without-planned-atmospheric-venting" TargetMode="Externa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31.xml"/><Relationship Id="rId21" Type="http://schemas.openxmlformats.org/officeDocument/2006/relationships/ctrlProp" Target="../ctrlProps/ctrlProp26.xml"/><Relationship Id="rId42" Type="http://schemas.openxmlformats.org/officeDocument/2006/relationships/ctrlProp" Target="../ctrlProps/ctrlProp47.xml"/><Relationship Id="rId47" Type="http://schemas.openxmlformats.org/officeDocument/2006/relationships/ctrlProp" Target="../ctrlProps/ctrlProp52.xml"/><Relationship Id="rId63" Type="http://schemas.openxmlformats.org/officeDocument/2006/relationships/ctrlProp" Target="../ctrlProps/ctrlProp68.xml"/><Relationship Id="rId68" Type="http://schemas.openxmlformats.org/officeDocument/2006/relationships/ctrlProp" Target="../ctrlProps/ctrlProp73.xml"/><Relationship Id="rId84" Type="http://schemas.openxmlformats.org/officeDocument/2006/relationships/ctrlProp" Target="../ctrlProps/ctrlProp89.xml"/><Relationship Id="rId89" Type="http://schemas.openxmlformats.org/officeDocument/2006/relationships/ctrlProp" Target="../ctrlProps/ctrlProp94.xml"/><Relationship Id="rId16" Type="http://schemas.openxmlformats.org/officeDocument/2006/relationships/ctrlProp" Target="../ctrlProps/ctrlProp21.xml"/><Relationship Id="rId11" Type="http://schemas.openxmlformats.org/officeDocument/2006/relationships/ctrlProp" Target="../ctrlProps/ctrlProp16.xml"/><Relationship Id="rId32" Type="http://schemas.openxmlformats.org/officeDocument/2006/relationships/ctrlProp" Target="../ctrlProps/ctrlProp37.xml"/><Relationship Id="rId37" Type="http://schemas.openxmlformats.org/officeDocument/2006/relationships/ctrlProp" Target="../ctrlProps/ctrlProp42.xml"/><Relationship Id="rId53" Type="http://schemas.openxmlformats.org/officeDocument/2006/relationships/ctrlProp" Target="../ctrlProps/ctrlProp58.xml"/><Relationship Id="rId58" Type="http://schemas.openxmlformats.org/officeDocument/2006/relationships/ctrlProp" Target="../ctrlProps/ctrlProp63.xml"/><Relationship Id="rId74" Type="http://schemas.openxmlformats.org/officeDocument/2006/relationships/ctrlProp" Target="../ctrlProps/ctrlProp79.xml"/><Relationship Id="rId79" Type="http://schemas.openxmlformats.org/officeDocument/2006/relationships/ctrlProp" Target="../ctrlProps/ctrlProp84.xml"/><Relationship Id="rId5" Type="http://schemas.openxmlformats.org/officeDocument/2006/relationships/ctrlProp" Target="../ctrlProps/ctrlProp10.xml"/><Relationship Id="rId90" Type="http://schemas.openxmlformats.org/officeDocument/2006/relationships/ctrlProp" Target="../ctrlProps/ctrlProp95.xml"/><Relationship Id="rId95" Type="http://schemas.openxmlformats.org/officeDocument/2006/relationships/ctrlProp" Target="../ctrlProps/ctrlProp100.xml"/><Relationship Id="rId22" Type="http://schemas.openxmlformats.org/officeDocument/2006/relationships/ctrlProp" Target="../ctrlProps/ctrlProp27.xml"/><Relationship Id="rId27" Type="http://schemas.openxmlformats.org/officeDocument/2006/relationships/ctrlProp" Target="../ctrlProps/ctrlProp32.xml"/><Relationship Id="rId43" Type="http://schemas.openxmlformats.org/officeDocument/2006/relationships/ctrlProp" Target="../ctrlProps/ctrlProp48.xml"/><Relationship Id="rId48" Type="http://schemas.openxmlformats.org/officeDocument/2006/relationships/ctrlProp" Target="../ctrlProps/ctrlProp53.xml"/><Relationship Id="rId64" Type="http://schemas.openxmlformats.org/officeDocument/2006/relationships/ctrlProp" Target="../ctrlProps/ctrlProp69.xml"/><Relationship Id="rId69" Type="http://schemas.openxmlformats.org/officeDocument/2006/relationships/ctrlProp" Target="../ctrlProps/ctrlProp74.xml"/><Relationship Id="rId80" Type="http://schemas.openxmlformats.org/officeDocument/2006/relationships/ctrlProp" Target="../ctrlProps/ctrlProp85.xml"/><Relationship Id="rId85" Type="http://schemas.openxmlformats.org/officeDocument/2006/relationships/ctrlProp" Target="../ctrlProps/ctrlProp90.xml"/><Relationship Id="rId3" Type="http://schemas.openxmlformats.org/officeDocument/2006/relationships/vmlDrawing" Target="../drawings/vmlDrawing3.v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59" Type="http://schemas.openxmlformats.org/officeDocument/2006/relationships/ctrlProp" Target="../ctrlProps/ctrlProp64.xml"/><Relationship Id="rId67" Type="http://schemas.openxmlformats.org/officeDocument/2006/relationships/ctrlProp" Target="../ctrlProps/ctrlProp72.xml"/><Relationship Id="rId20" Type="http://schemas.openxmlformats.org/officeDocument/2006/relationships/ctrlProp" Target="../ctrlProps/ctrlProp25.xml"/><Relationship Id="rId41" Type="http://schemas.openxmlformats.org/officeDocument/2006/relationships/ctrlProp" Target="../ctrlProps/ctrlProp46.xml"/><Relationship Id="rId54" Type="http://schemas.openxmlformats.org/officeDocument/2006/relationships/ctrlProp" Target="../ctrlProps/ctrlProp59.xml"/><Relationship Id="rId62" Type="http://schemas.openxmlformats.org/officeDocument/2006/relationships/ctrlProp" Target="../ctrlProps/ctrlProp67.xml"/><Relationship Id="rId70" Type="http://schemas.openxmlformats.org/officeDocument/2006/relationships/ctrlProp" Target="../ctrlProps/ctrlProp75.xml"/><Relationship Id="rId75" Type="http://schemas.openxmlformats.org/officeDocument/2006/relationships/ctrlProp" Target="../ctrlProps/ctrlProp80.xml"/><Relationship Id="rId83" Type="http://schemas.openxmlformats.org/officeDocument/2006/relationships/ctrlProp" Target="../ctrlProps/ctrlProp88.xml"/><Relationship Id="rId88" Type="http://schemas.openxmlformats.org/officeDocument/2006/relationships/ctrlProp" Target="../ctrlProps/ctrlProp93.xml"/><Relationship Id="rId91" Type="http://schemas.openxmlformats.org/officeDocument/2006/relationships/ctrlProp" Target="../ctrlProps/ctrlProp96.xml"/><Relationship Id="rId96" Type="http://schemas.openxmlformats.org/officeDocument/2006/relationships/ctrlProp" Target="../ctrlProps/ctrlProp101.xml"/><Relationship Id="rId1" Type="http://schemas.openxmlformats.org/officeDocument/2006/relationships/printerSettings" Target="../printerSettings/printerSettings5.bin"/><Relationship Id="rId6" Type="http://schemas.openxmlformats.org/officeDocument/2006/relationships/ctrlProp" Target="../ctrlProps/ctrlProp11.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57" Type="http://schemas.openxmlformats.org/officeDocument/2006/relationships/ctrlProp" Target="../ctrlProps/ctrlProp62.xml"/><Relationship Id="rId10" Type="http://schemas.openxmlformats.org/officeDocument/2006/relationships/ctrlProp" Target="../ctrlProps/ctrlProp15.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60" Type="http://schemas.openxmlformats.org/officeDocument/2006/relationships/ctrlProp" Target="../ctrlProps/ctrlProp65.xml"/><Relationship Id="rId65" Type="http://schemas.openxmlformats.org/officeDocument/2006/relationships/ctrlProp" Target="../ctrlProps/ctrlProp70.xml"/><Relationship Id="rId73" Type="http://schemas.openxmlformats.org/officeDocument/2006/relationships/ctrlProp" Target="../ctrlProps/ctrlProp78.xml"/><Relationship Id="rId78" Type="http://schemas.openxmlformats.org/officeDocument/2006/relationships/ctrlProp" Target="../ctrlProps/ctrlProp83.xml"/><Relationship Id="rId81" Type="http://schemas.openxmlformats.org/officeDocument/2006/relationships/ctrlProp" Target="../ctrlProps/ctrlProp86.xml"/><Relationship Id="rId86" Type="http://schemas.openxmlformats.org/officeDocument/2006/relationships/ctrlProp" Target="../ctrlProps/ctrlProp91.xml"/><Relationship Id="rId94" Type="http://schemas.openxmlformats.org/officeDocument/2006/relationships/ctrlProp" Target="../ctrlProps/ctrlProp99.xml"/><Relationship Id="rId99" Type="http://schemas.openxmlformats.org/officeDocument/2006/relationships/ctrlProp" Target="../ctrlProps/ctrlProp104.xml"/><Relationship Id="rId4" Type="http://schemas.openxmlformats.org/officeDocument/2006/relationships/ctrlProp" Target="../ctrlProps/ctrlProp9.xml"/><Relationship Id="rId9" Type="http://schemas.openxmlformats.org/officeDocument/2006/relationships/ctrlProp" Target="../ctrlProps/ctrlProp14.xml"/><Relationship Id="rId13" Type="http://schemas.openxmlformats.org/officeDocument/2006/relationships/ctrlProp" Target="../ctrlProps/ctrlProp18.xml"/><Relationship Id="rId18" Type="http://schemas.openxmlformats.org/officeDocument/2006/relationships/ctrlProp" Target="../ctrlProps/ctrlProp23.xml"/><Relationship Id="rId39" Type="http://schemas.openxmlformats.org/officeDocument/2006/relationships/ctrlProp" Target="../ctrlProps/ctrlProp44.xml"/><Relationship Id="rId34" Type="http://schemas.openxmlformats.org/officeDocument/2006/relationships/ctrlProp" Target="../ctrlProps/ctrlProp39.xml"/><Relationship Id="rId50" Type="http://schemas.openxmlformats.org/officeDocument/2006/relationships/ctrlProp" Target="../ctrlProps/ctrlProp55.xml"/><Relationship Id="rId55" Type="http://schemas.openxmlformats.org/officeDocument/2006/relationships/ctrlProp" Target="../ctrlProps/ctrlProp60.xml"/><Relationship Id="rId76" Type="http://schemas.openxmlformats.org/officeDocument/2006/relationships/ctrlProp" Target="../ctrlProps/ctrlProp81.xml"/><Relationship Id="rId97" Type="http://schemas.openxmlformats.org/officeDocument/2006/relationships/ctrlProp" Target="../ctrlProps/ctrlProp102.xml"/><Relationship Id="rId7" Type="http://schemas.openxmlformats.org/officeDocument/2006/relationships/ctrlProp" Target="../ctrlProps/ctrlProp12.xml"/><Relationship Id="rId71" Type="http://schemas.openxmlformats.org/officeDocument/2006/relationships/ctrlProp" Target="../ctrlProps/ctrlProp76.xml"/><Relationship Id="rId92" Type="http://schemas.openxmlformats.org/officeDocument/2006/relationships/ctrlProp" Target="../ctrlProps/ctrlProp97.xml"/><Relationship Id="rId2" Type="http://schemas.openxmlformats.org/officeDocument/2006/relationships/drawing" Target="../drawings/drawing6.xml"/><Relationship Id="rId29" Type="http://schemas.openxmlformats.org/officeDocument/2006/relationships/ctrlProp" Target="../ctrlProps/ctrlProp34.xml"/><Relationship Id="rId24" Type="http://schemas.openxmlformats.org/officeDocument/2006/relationships/ctrlProp" Target="../ctrlProps/ctrlProp29.xml"/><Relationship Id="rId40" Type="http://schemas.openxmlformats.org/officeDocument/2006/relationships/ctrlProp" Target="../ctrlProps/ctrlProp45.xml"/><Relationship Id="rId45" Type="http://schemas.openxmlformats.org/officeDocument/2006/relationships/ctrlProp" Target="../ctrlProps/ctrlProp50.xml"/><Relationship Id="rId66" Type="http://schemas.openxmlformats.org/officeDocument/2006/relationships/ctrlProp" Target="../ctrlProps/ctrlProp71.xml"/><Relationship Id="rId87" Type="http://schemas.openxmlformats.org/officeDocument/2006/relationships/ctrlProp" Target="../ctrlProps/ctrlProp92.xml"/><Relationship Id="rId61" Type="http://schemas.openxmlformats.org/officeDocument/2006/relationships/ctrlProp" Target="../ctrlProps/ctrlProp66.xml"/><Relationship Id="rId82" Type="http://schemas.openxmlformats.org/officeDocument/2006/relationships/ctrlProp" Target="../ctrlProps/ctrlProp87.xml"/><Relationship Id="rId19" Type="http://schemas.openxmlformats.org/officeDocument/2006/relationships/ctrlProp" Target="../ctrlProps/ctrlProp24.xml"/><Relationship Id="rId14" Type="http://schemas.openxmlformats.org/officeDocument/2006/relationships/ctrlProp" Target="../ctrlProps/ctrlProp19.xml"/><Relationship Id="rId30" Type="http://schemas.openxmlformats.org/officeDocument/2006/relationships/ctrlProp" Target="../ctrlProps/ctrlProp35.xml"/><Relationship Id="rId35" Type="http://schemas.openxmlformats.org/officeDocument/2006/relationships/ctrlProp" Target="../ctrlProps/ctrlProp40.xml"/><Relationship Id="rId56" Type="http://schemas.openxmlformats.org/officeDocument/2006/relationships/ctrlProp" Target="../ctrlProps/ctrlProp61.xml"/><Relationship Id="rId77" Type="http://schemas.openxmlformats.org/officeDocument/2006/relationships/ctrlProp" Target="../ctrlProps/ctrlProp82.xml"/><Relationship Id="rId100" Type="http://schemas.openxmlformats.org/officeDocument/2006/relationships/ctrlProp" Target="../ctrlProps/ctrlProp105.xml"/><Relationship Id="rId8" Type="http://schemas.openxmlformats.org/officeDocument/2006/relationships/ctrlProp" Target="../ctrlProps/ctrlProp13.xml"/><Relationship Id="rId51" Type="http://schemas.openxmlformats.org/officeDocument/2006/relationships/ctrlProp" Target="../ctrlProps/ctrlProp56.xml"/><Relationship Id="rId72" Type="http://schemas.openxmlformats.org/officeDocument/2006/relationships/ctrlProp" Target="../ctrlProps/ctrlProp77.xml"/><Relationship Id="rId93" Type="http://schemas.openxmlformats.org/officeDocument/2006/relationships/ctrlProp" Target="../ctrlProps/ctrlProp98.xml"/><Relationship Id="rId98" Type="http://schemas.openxmlformats.org/officeDocument/2006/relationships/ctrlProp" Target="../ctrlProps/ctrlProp103.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28.xml"/><Relationship Id="rId117" Type="http://schemas.openxmlformats.org/officeDocument/2006/relationships/ctrlProp" Target="../ctrlProps/ctrlProp219.xml"/><Relationship Id="rId21" Type="http://schemas.openxmlformats.org/officeDocument/2006/relationships/ctrlProp" Target="../ctrlProps/ctrlProp123.xml"/><Relationship Id="rId42" Type="http://schemas.openxmlformats.org/officeDocument/2006/relationships/ctrlProp" Target="../ctrlProps/ctrlProp144.xml"/><Relationship Id="rId47" Type="http://schemas.openxmlformats.org/officeDocument/2006/relationships/ctrlProp" Target="../ctrlProps/ctrlProp149.xml"/><Relationship Id="rId63" Type="http://schemas.openxmlformats.org/officeDocument/2006/relationships/ctrlProp" Target="../ctrlProps/ctrlProp165.xml"/><Relationship Id="rId68" Type="http://schemas.openxmlformats.org/officeDocument/2006/relationships/ctrlProp" Target="../ctrlProps/ctrlProp170.xml"/><Relationship Id="rId84" Type="http://schemas.openxmlformats.org/officeDocument/2006/relationships/ctrlProp" Target="../ctrlProps/ctrlProp186.xml"/><Relationship Id="rId89" Type="http://schemas.openxmlformats.org/officeDocument/2006/relationships/ctrlProp" Target="../ctrlProps/ctrlProp191.xml"/><Relationship Id="rId112" Type="http://schemas.openxmlformats.org/officeDocument/2006/relationships/ctrlProp" Target="../ctrlProps/ctrlProp214.xml"/><Relationship Id="rId16" Type="http://schemas.openxmlformats.org/officeDocument/2006/relationships/ctrlProp" Target="../ctrlProps/ctrlProp118.xml"/><Relationship Id="rId107" Type="http://schemas.openxmlformats.org/officeDocument/2006/relationships/ctrlProp" Target="../ctrlProps/ctrlProp209.xml"/><Relationship Id="rId11" Type="http://schemas.openxmlformats.org/officeDocument/2006/relationships/ctrlProp" Target="../ctrlProps/ctrlProp113.xml"/><Relationship Id="rId32" Type="http://schemas.openxmlformats.org/officeDocument/2006/relationships/ctrlProp" Target="../ctrlProps/ctrlProp134.xml"/><Relationship Id="rId37" Type="http://schemas.openxmlformats.org/officeDocument/2006/relationships/ctrlProp" Target="../ctrlProps/ctrlProp139.xml"/><Relationship Id="rId53" Type="http://schemas.openxmlformats.org/officeDocument/2006/relationships/ctrlProp" Target="../ctrlProps/ctrlProp155.xml"/><Relationship Id="rId58" Type="http://schemas.openxmlformats.org/officeDocument/2006/relationships/ctrlProp" Target="../ctrlProps/ctrlProp160.xml"/><Relationship Id="rId74" Type="http://schemas.openxmlformats.org/officeDocument/2006/relationships/ctrlProp" Target="../ctrlProps/ctrlProp176.xml"/><Relationship Id="rId79" Type="http://schemas.openxmlformats.org/officeDocument/2006/relationships/ctrlProp" Target="../ctrlProps/ctrlProp181.xml"/><Relationship Id="rId102" Type="http://schemas.openxmlformats.org/officeDocument/2006/relationships/ctrlProp" Target="../ctrlProps/ctrlProp204.xml"/><Relationship Id="rId123" Type="http://schemas.openxmlformats.org/officeDocument/2006/relationships/ctrlProp" Target="../ctrlProps/ctrlProp225.xml"/><Relationship Id="rId5" Type="http://schemas.openxmlformats.org/officeDocument/2006/relationships/ctrlProp" Target="../ctrlProps/ctrlProp107.xml"/><Relationship Id="rId90" Type="http://schemas.openxmlformats.org/officeDocument/2006/relationships/ctrlProp" Target="../ctrlProps/ctrlProp192.xml"/><Relationship Id="rId95" Type="http://schemas.openxmlformats.org/officeDocument/2006/relationships/ctrlProp" Target="../ctrlProps/ctrlProp197.xml"/><Relationship Id="rId22" Type="http://schemas.openxmlformats.org/officeDocument/2006/relationships/ctrlProp" Target="../ctrlProps/ctrlProp124.xml"/><Relationship Id="rId27" Type="http://schemas.openxmlformats.org/officeDocument/2006/relationships/ctrlProp" Target="../ctrlProps/ctrlProp129.xml"/><Relationship Id="rId43" Type="http://schemas.openxmlformats.org/officeDocument/2006/relationships/ctrlProp" Target="../ctrlProps/ctrlProp145.xml"/><Relationship Id="rId48" Type="http://schemas.openxmlformats.org/officeDocument/2006/relationships/ctrlProp" Target="../ctrlProps/ctrlProp150.xml"/><Relationship Id="rId64" Type="http://schemas.openxmlformats.org/officeDocument/2006/relationships/ctrlProp" Target="../ctrlProps/ctrlProp166.xml"/><Relationship Id="rId69" Type="http://schemas.openxmlformats.org/officeDocument/2006/relationships/ctrlProp" Target="../ctrlProps/ctrlProp171.xml"/><Relationship Id="rId113" Type="http://schemas.openxmlformats.org/officeDocument/2006/relationships/ctrlProp" Target="../ctrlProps/ctrlProp215.xml"/><Relationship Id="rId118" Type="http://schemas.openxmlformats.org/officeDocument/2006/relationships/ctrlProp" Target="../ctrlProps/ctrlProp220.xml"/><Relationship Id="rId80" Type="http://schemas.openxmlformats.org/officeDocument/2006/relationships/ctrlProp" Target="../ctrlProps/ctrlProp182.xml"/><Relationship Id="rId85" Type="http://schemas.openxmlformats.org/officeDocument/2006/relationships/ctrlProp" Target="../ctrlProps/ctrlProp187.xml"/><Relationship Id="rId12" Type="http://schemas.openxmlformats.org/officeDocument/2006/relationships/ctrlProp" Target="../ctrlProps/ctrlProp114.xml"/><Relationship Id="rId17" Type="http://schemas.openxmlformats.org/officeDocument/2006/relationships/ctrlProp" Target="../ctrlProps/ctrlProp119.xml"/><Relationship Id="rId33" Type="http://schemas.openxmlformats.org/officeDocument/2006/relationships/ctrlProp" Target="../ctrlProps/ctrlProp135.xml"/><Relationship Id="rId38" Type="http://schemas.openxmlformats.org/officeDocument/2006/relationships/ctrlProp" Target="../ctrlProps/ctrlProp140.xml"/><Relationship Id="rId59" Type="http://schemas.openxmlformats.org/officeDocument/2006/relationships/ctrlProp" Target="../ctrlProps/ctrlProp161.xml"/><Relationship Id="rId103" Type="http://schemas.openxmlformats.org/officeDocument/2006/relationships/ctrlProp" Target="../ctrlProps/ctrlProp205.xml"/><Relationship Id="rId108" Type="http://schemas.openxmlformats.org/officeDocument/2006/relationships/ctrlProp" Target="../ctrlProps/ctrlProp210.xml"/><Relationship Id="rId124" Type="http://schemas.openxmlformats.org/officeDocument/2006/relationships/ctrlProp" Target="../ctrlProps/ctrlProp226.xml"/><Relationship Id="rId54" Type="http://schemas.openxmlformats.org/officeDocument/2006/relationships/ctrlProp" Target="../ctrlProps/ctrlProp156.xml"/><Relationship Id="rId70" Type="http://schemas.openxmlformats.org/officeDocument/2006/relationships/ctrlProp" Target="../ctrlProps/ctrlProp172.xml"/><Relationship Id="rId75" Type="http://schemas.openxmlformats.org/officeDocument/2006/relationships/ctrlProp" Target="../ctrlProps/ctrlProp177.xml"/><Relationship Id="rId91" Type="http://schemas.openxmlformats.org/officeDocument/2006/relationships/ctrlProp" Target="../ctrlProps/ctrlProp193.xml"/><Relationship Id="rId96" Type="http://schemas.openxmlformats.org/officeDocument/2006/relationships/ctrlProp" Target="../ctrlProps/ctrlProp198.xml"/><Relationship Id="rId1" Type="http://schemas.openxmlformats.org/officeDocument/2006/relationships/printerSettings" Target="../printerSettings/printerSettings6.bin"/><Relationship Id="rId6" Type="http://schemas.openxmlformats.org/officeDocument/2006/relationships/ctrlProp" Target="../ctrlProps/ctrlProp108.xml"/><Relationship Id="rId23" Type="http://schemas.openxmlformats.org/officeDocument/2006/relationships/ctrlProp" Target="../ctrlProps/ctrlProp125.xml"/><Relationship Id="rId28" Type="http://schemas.openxmlformats.org/officeDocument/2006/relationships/ctrlProp" Target="../ctrlProps/ctrlProp130.xml"/><Relationship Id="rId49" Type="http://schemas.openxmlformats.org/officeDocument/2006/relationships/ctrlProp" Target="../ctrlProps/ctrlProp151.xml"/><Relationship Id="rId114" Type="http://schemas.openxmlformats.org/officeDocument/2006/relationships/ctrlProp" Target="../ctrlProps/ctrlProp216.xml"/><Relationship Id="rId119" Type="http://schemas.openxmlformats.org/officeDocument/2006/relationships/ctrlProp" Target="../ctrlProps/ctrlProp221.xml"/><Relationship Id="rId44" Type="http://schemas.openxmlformats.org/officeDocument/2006/relationships/ctrlProp" Target="../ctrlProps/ctrlProp146.xml"/><Relationship Id="rId60" Type="http://schemas.openxmlformats.org/officeDocument/2006/relationships/ctrlProp" Target="../ctrlProps/ctrlProp162.xml"/><Relationship Id="rId65" Type="http://schemas.openxmlformats.org/officeDocument/2006/relationships/ctrlProp" Target="../ctrlProps/ctrlProp167.xml"/><Relationship Id="rId81" Type="http://schemas.openxmlformats.org/officeDocument/2006/relationships/ctrlProp" Target="../ctrlProps/ctrlProp183.xml"/><Relationship Id="rId86" Type="http://schemas.openxmlformats.org/officeDocument/2006/relationships/ctrlProp" Target="../ctrlProps/ctrlProp188.xml"/><Relationship Id="rId13" Type="http://schemas.openxmlformats.org/officeDocument/2006/relationships/ctrlProp" Target="../ctrlProps/ctrlProp115.xml"/><Relationship Id="rId18" Type="http://schemas.openxmlformats.org/officeDocument/2006/relationships/ctrlProp" Target="../ctrlProps/ctrlProp120.xml"/><Relationship Id="rId39" Type="http://schemas.openxmlformats.org/officeDocument/2006/relationships/ctrlProp" Target="../ctrlProps/ctrlProp141.xml"/><Relationship Id="rId109" Type="http://schemas.openxmlformats.org/officeDocument/2006/relationships/ctrlProp" Target="../ctrlProps/ctrlProp211.xml"/><Relationship Id="rId34" Type="http://schemas.openxmlformats.org/officeDocument/2006/relationships/ctrlProp" Target="../ctrlProps/ctrlProp136.xml"/><Relationship Id="rId50" Type="http://schemas.openxmlformats.org/officeDocument/2006/relationships/ctrlProp" Target="../ctrlProps/ctrlProp152.xml"/><Relationship Id="rId55" Type="http://schemas.openxmlformats.org/officeDocument/2006/relationships/ctrlProp" Target="../ctrlProps/ctrlProp157.xml"/><Relationship Id="rId76" Type="http://schemas.openxmlformats.org/officeDocument/2006/relationships/ctrlProp" Target="../ctrlProps/ctrlProp178.xml"/><Relationship Id="rId97" Type="http://schemas.openxmlformats.org/officeDocument/2006/relationships/ctrlProp" Target="../ctrlProps/ctrlProp199.xml"/><Relationship Id="rId104" Type="http://schemas.openxmlformats.org/officeDocument/2006/relationships/ctrlProp" Target="../ctrlProps/ctrlProp206.xml"/><Relationship Id="rId120" Type="http://schemas.openxmlformats.org/officeDocument/2006/relationships/ctrlProp" Target="../ctrlProps/ctrlProp222.xml"/><Relationship Id="rId125" Type="http://schemas.openxmlformats.org/officeDocument/2006/relationships/ctrlProp" Target="../ctrlProps/ctrlProp227.xml"/><Relationship Id="rId7" Type="http://schemas.openxmlformats.org/officeDocument/2006/relationships/ctrlProp" Target="../ctrlProps/ctrlProp109.xml"/><Relationship Id="rId71" Type="http://schemas.openxmlformats.org/officeDocument/2006/relationships/ctrlProp" Target="../ctrlProps/ctrlProp173.xml"/><Relationship Id="rId92" Type="http://schemas.openxmlformats.org/officeDocument/2006/relationships/ctrlProp" Target="../ctrlProps/ctrlProp194.xml"/><Relationship Id="rId2" Type="http://schemas.openxmlformats.org/officeDocument/2006/relationships/drawing" Target="../drawings/drawing7.xml"/><Relationship Id="rId29" Type="http://schemas.openxmlformats.org/officeDocument/2006/relationships/ctrlProp" Target="../ctrlProps/ctrlProp131.xml"/><Relationship Id="rId24" Type="http://schemas.openxmlformats.org/officeDocument/2006/relationships/ctrlProp" Target="../ctrlProps/ctrlProp126.xml"/><Relationship Id="rId40" Type="http://schemas.openxmlformats.org/officeDocument/2006/relationships/ctrlProp" Target="../ctrlProps/ctrlProp142.xml"/><Relationship Id="rId45" Type="http://schemas.openxmlformats.org/officeDocument/2006/relationships/ctrlProp" Target="../ctrlProps/ctrlProp147.xml"/><Relationship Id="rId66" Type="http://schemas.openxmlformats.org/officeDocument/2006/relationships/ctrlProp" Target="../ctrlProps/ctrlProp168.xml"/><Relationship Id="rId87" Type="http://schemas.openxmlformats.org/officeDocument/2006/relationships/ctrlProp" Target="../ctrlProps/ctrlProp189.xml"/><Relationship Id="rId110" Type="http://schemas.openxmlformats.org/officeDocument/2006/relationships/ctrlProp" Target="../ctrlProps/ctrlProp212.xml"/><Relationship Id="rId115" Type="http://schemas.openxmlformats.org/officeDocument/2006/relationships/ctrlProp" Target="../ctrlProps/ctrlProp217.xml"/><Relationship Id="rId61" Type="http://schemas.openxmlformats.org/officeDocument/2006/relationships/ctrlProp" Target="../ctrlProps/ctrlProp163.xml"/><Relationship Id="rId82" Type="http://schemas.openxmlformats.org/officeDocument/2006/relationships/ctrlProp" Target="../ctrlProps/ctrlProp184.xml"/><Relationship Id="rId19" Type="http://schemas.openxmlformats.org/officeDocument/2006/relationships/ctrlProp" Target="../ctrlProps/ctrlProp121.xml"/><Relationship Id="rId14" Type="http://schemas.openxmlformats.org/officeDocument/2006/relationships/ctrlProp" Target="../ctrlProps/ctrlProp116.xml"/><Relationship Id="rId30" Type="http://schemas.openxmlformats.org/officeDocument/2006/relationships/ctrlProp" Target="../ctrlProps/ctrlProp132.xml"/><Relationship Id="rId35" Type="http://schemas.openxmlformats.org/officeDocument/2006/relationships/ctrlProp" Target="../ctrlProps/ctrlProp137.xml"/><Relationship Id="rId56" Type="http://schemas.openxmlformats.org/officeDocument/2006/relationships/ctrlProp" Target="../ctrlProps/ctrlProp158.xml"/><Relationship Id="rId77" Type="http://schemas.openxmlformats.org/officeDocument/2006/relationships/ctrlProp" Target="../ctrlProps/ctrlProp179.xml"/><Relationship Id="rId100" Type="http://schemas.openxmlformats.org/officeDocument/2006/relationships/ctrlProp" Target="../ctrlProps/ctrlProp202.xml"/><Relationship Id="rId105" Type="http://schemas.openxmlformats.org/officeDocument/2006/relationships/ctrlProp" Target="../ctrlProps/ctrlProp207.xml"/><Relationship Id="rId126" Type="http://schemas.openxmlformats.org/officeDocument/2006/relationships/ctrlProp" Target="../ctrlProps/ctrlProp228.xml"/><Relationship Id="rId8" Type="http://schemas.openxmlformats.org/officeDocument/2006/relationships/ctrlProp" Target="../ctrlProps/ctrlProp110.xml"/><Relationship Id="rId51" Type="http://schemas.openxmlformats.org/officeDocument/2006/relationships/ctrlProp" Target="../ctrlProps/ctrlProp153.xml"/><Relationship Id="rId72" Type="http://schemas.openxmlformats.org/officeDocument/2006/relationships/ctrlProp" Target="../ctrlProps/ctrlProp174.xml"/><Relationship Id="rId93" Type="http://schemas.openxmlformats.org/officeDocument/2006/relationships/ctrlProp" Target="../ctrlProps/ctrlProp195.xml"/><Relationship Id="rId98" Type="http://schemas.openxmlformats.org/officeDocument/2006/relationships/ctrlProp" Target="../ctrlProps/ctrlProp200.xml"/><Relationship Id="rId121" Type="http://schemas.openxmlformats.org/officeDocument/2006/relationships/ctrlProp" Target="../ctrlProps/ctrlProp223.xml"/><Relationship Id="rId3" Type="http://schemas.openxmlformats.org/officeDocument/2006/relationships/vmlDrawing" Target="../drawings/vmlDrawing4.vml"/><Relationship Id="rId25" Type="http://schemas.openxmlformats.org/officeDocument/2006/relationships/ctrlProp" Target="../ctrlProps/ctrlProp127.xml"/><Relationship Id="rId46" Type="http://schemas.openxmlformats.org/officeDocument/2006/relationships/ctrlProp" Target="../ctrlProps/ctrlProp148.xml"/><Relationship Id="rId67" Type="http://schemas.openxmlformats.org/officeDocument/2006/relationships/ctrlProp" Target="../ctrlProps/ctrlProp169.xml"/><Relationship Id="rId116" Type="http://schemas.openxmlformats.org/officeDocument/2006/relationships/ctrlProp" Target="../ctrlProps/ctrlProp218.xml"/><Relationship Id="rId20" Type="http://schemas.openxmlformats.org/officeDocument/2006/relationships/ctrlProp" Target="../ctrlProps/ctrlProp122.xml"/><Relationship Id="rId41" Type="http://schemas.openxmlformats.org/officeDocument/2006/relationships/ctrlProp" Target="../ctrlProps/ctrlProp143.xml"/><Relationship Id="rId62" Type="http://schemas.openxmlformats.org/officeDocument/2006/relationships/ctrlProp" Target="../ctrlProps/ctrlProp164.xml"/><Relationship Id="rId83" Type="http://schemas.openxmlformats.org/officeDocument/2006/relationships/ctrlProp" Target="../ctrlProps/ctrlProp185.xml"/><Relationship Id="rId88" Type="http://schemas.openxmlformats.org/officeDocument/2006/relationships/ctrlProp" Target="../ctrlProps/ctrlProp190.xml"/><Relationship Id="rId111" Type="http://schemas.openxmlformats.org/officeDocument/2006/relationships/ctrlProp" Target="../ctrlProps/ctrlProp213.xml"/><Relationship Id="rId15" Type="http://schemas.openxmlformats.org/officeDocument/2006/relationships/ctrlProp" Target="../ctrlProps/ctrlProp117.xml"/><Relationship Id="rId36" Type="http://schemas.openxmlformats.org/officeDocument/2006/relationships/ctrlProp" Target="../ctrlProps/ctrlProp138.xml"/><Relationship Id="rId57" Type="http://schemas.openxmlformats.org/officeDocument/2006/relationships/ctrlProp" Target="../ctrlProps/ctrlProp159.xml"/><Relationship Id="rId106" Type="http://schemas.openxmlformats.org/officeDocument/2006/relationships/ctrlProp" Target="../ctrlProps/ctrlProp208.xml"/><Relationship Id="rId127" Type="http://schemas.openxmlformats.org/officeDocument/2006/relationships/ctrlProp" Target="../ctrlProps/ctrlProp229.xml"/><Relationship Id="rId10" Type="http://schemas.openxmlformats.org/officeDocument/2006/relationships/ctrlProp" Target="../ctrlProps/ctrlProp112.xml"/><Relationship Id="rId31" Type="http://schemas.openxmlformats.org/officeDocument/2006/relationships/ctrlProp" Target="../ctrlProps/ctrlProp133.xml"/><Relationship Id="rId52" Type="http://schemas.openxmlformats.org/officeDocument/2006/relationships/ctrlProp" Target="../ctrlProps/ctrlProp154.xml"/><Relationship Id="rId73" Type="http://schemas.openxmlformats.org/officeDocument/2006/relationships/ctrlProp" Target="../ctrlProps/ctrlProp175.xml"/><Relationship Id="rId78" Type="http://schemas.openxmlformats.org/officeDocument/2006/relationships/ctrlProp" Target="../ctrlProps/ctrlProp180.xml"/><Relationship Id="rId94" Type="http://schemas.openxmlformats.org/officeDocument/2006/relationships/ctrlProp" Target="../ctrlProps/ctrlProp196.xml"/><Relationship Id="rId99" Type="http://schemas.openxmlformats.org/officeDocument/2006/relationships/ctrlProp" Target="../ctrlProps/ctrlProp201.xml"/><Relationship Id="rId101" Type="http://schemas.openxmlformats.org/officeDocument/2006/relationships/ctrlProp" Target="../ctrlProps/ctrlProp203.xml"/><Relationship Id="rId122" Type="http://schemas.openxmlformats.org/officeDocument/2006/relationships/ctrlProp" Target="../ctrlProps/ctrlProp224.xml"/><Relationship Id="rId4" Type="http://schemas.openxmlformats.org/officeDocument/2006/relationships/ctrlProp" Target="../ctrlProps/ctrlProp106.xml"/><Relationship Id="rId9" Type="http://schemas.openxmlformats.org/officeDocument/2006/relationships/ctrlProp" Target="../ctrlProps/ctrlProp111.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30.xml"/><Relationship Id="rId2" Type="http://schemas.openxmlformats.org/officeDocument/2006/relationships/vmlDrawing" Target="../drawings/vmlDrawing5.vml"/><Relationship Id="rId1" Type="http://schemas.openxmlformats.org/officeDocument/2006/relationships/drawing" Target="../drawings/drawing8.xml"/><Relationship Id="rId6" Type="http://schemas.openxmlformats.org/officeDocument/2006/relationships/ctrlProp" Target="../ctrlProps/ctrlProp233.xml"/><Relationship Id="rId5" Type="http://schemas.openxmlformats.org/officeDocument/2006/relationships/ctrlProp" Target="../ctrlProps/ctrlProp232.xml"/><Relationship Id="rId4" Type="http://schemas.openxmlformats.org/officeDocument/2006/relationships/ctrlProp" Target="../ctrlProps/ctrlProp23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4574C-EFBB-4E36-A1DF-F5A4027C81B8}">
  <sheetPr codeName="Sheet1">
    <tabColor rgb="FF00A9B5"/>
  </sheetPr>
  <dimension ref="A24:L25"/>
  <sheetViews>
    <sheetView showGridLines="0" tabSelected="1" workbookViewId="0">
      <selection activeCell="Q16" sqref="Q16"/>
    </sheetView>
  </sheetViews>
  <sheetFormatPr defaultRowHeight="14.5" x14ac:dyDescent="0.35"/>
  <cols>
    <col min="6" max="6" width="15.1796875" customWidth="1"/>
  </cols>
  <sheetData>
    <row r="24" spans="1:12" ht="16.399999999999999" customHeight="1" x14ac:dyDescent="0.35"/>
    <row r="25" spans="1:12" x14ac:dyDescent="0.35">
      <c r="A25" s="159" t="str">
        <f ca="1">'Translation Table'!H4</f>
        <v>Prepared for US Environmental Protection Agency by Tetra Tech and Clearstone Engineering Ltd.</v>
      </c>
      <c r="L25" s="1142" t="s">
        <v>3444</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E67942"/>
  </sheetPr>
  <dimension ref="A1:BX101"/>
  <sheetViews>
    <sheetView showGridLines="0" zoomScale="85" zoomScaleNormal="85" workbookViewId="0">
      <pane xSplit="2" ySplit="2" topLeftCell="AB3" activePane="bottomRight" state="frozen"/>
      <selection activeCell="B1" sqref="B1"/>
      <selection pane="topRight" activeCell="C1" sqref="C1"/>
      <selection pane="bottomLeft" activeCell="B4" sqref="B4"/>
      <selection pane="bottomRight" activeCell="AC36" sqref="AC36"/>
    </sheetView>
  </sheetViews>
  <sheetFormatPr defaultColWidth="9.1796875" defaultRowHeight="14" x14ac:dyDescent="0.35"/>
  <cols>
    <col min="1" max="1" width="15.7265625" style="358" hidden="1" customWidth="1"/>
    <col min="2" max="2" width="37.7265625" style="257" customWidth="1"/>
    <col min="3" max="3" width="18" style="257" customWidth="1"/>
    <col min="4" max="4" width="19.453125" style="257" customWidth="1"/>
    <col min="5" max="5" width="13.26953125" style="257" customWidth="1"/>
    <col min="6" max="6" width="31.1796875" style="257" customWidth="1"/>
    <col min="7" max="7" width="15.81640625" style="257" customWidth="1"/>
    <col min="8" max="8" width="16.81640625" style="257" customWidth="1"/>
    <col min="9" max="9" width="29.54296875" style="257" customWidth="1"/>
    <col min="10" max="10" width="33.453125" style="257" bestFit="1" customWidth="1"/>
    <col min="11" max="11" width="16.26953125" style="257" customWidth="1"/>
    <col min="12" max="12" width="29.7265625" style="257" customWidth="1"/>
    <col min="13" max="13" width="20.1796875" style="257" bestFit="1" customWidth="1"/>
    <col min="14" max="14" width="10.26953125" style="257" bestFit="1" customWidth="1"/>
    <col min="15" max="15" width="29.1796875" style="257" bestFit="1" customWidth="1"/>
    <col min="16" max="16" width="22.26953125" style="257" customWidth="1"/>
    <col min="17" max="17" width="18.453125" style="257" customWidth="1"/>
    <col min="18" max="18" width="19.26953125" style="257" customWidth="1"/>
    <col min="19" max="19" width="26.453125" style="257" customWidth="1"/>
    <col min="20" max="20" width="18.1796875" style="257" bestFit="1" customWidth="1"/>
    <col min="21" max="21" width="23.81640625" style="257" customWidth="1"/>
    <col min="22" max="22" width="16.81640625" style="257" bestFit="1" customWidth="1"/>
    <col min="23" max="23" width="16.81640625" style="257" customWidth="1"/>
    <col min="24" max="24" width="18.81640625" style="257" customWidth="1"/>
    <col min="25" max="25" width="18.1796875" style="257" bestFit="1" customWidth="1"/>
    <col min="26" max="26" width="18.54296875" style="257" customWidth="1"/>
    <col min="27" max="27" width="24" style="257" customWidth="1"/>
    <col min="28" max="28" width="18.1796875" style="257" bestFit="1" customWidth="1"/>
    <col min="29" max="29" width="24.1796875" style="257" bestFit="1" customWidth="1"/>
    <col min="30" max="30" width="22.7265625" style="257" bestFit="1" customWidth="1"/>
    <col min="31" max="31" width="18.1796875" style="257" bestFit="1" customWidth="1"/>
    <col min="32" max="32" width="22.7265625" style="257" bestFit="1" customWidth="1"/>
    <col min="33" max="33" width="24" style="257" customWidth="1"/>
    <col min="34" max="34" width="17.81640625" style="257" customWidth="1"/>
    <col min="35" max="35" width="23.54296875" style="257" customWidth="1"/>
    <col min="36" max="36" width="18.1796875" style="257" bestFit="1" customWidth="1"/>
    <col min="37" max="37" width="23.7265625" style="257" bestFit="1" customWidth="1"/>
    <col min="38" max="38" width="29.1796875" style="257" bestFit="1" customWidth="1"/>
    <col min="39" max="39" width="18.26953125" style="257" customWidth="1"/>
    <col min="40" max="40" width="22.7265625" style="257" bestFit="1" customWidth="1"/>
    <col min="41" max="41" width="18.1796875" style="257" bestFit="1" customWidth="1"/>
    <col min="42" max="43" width="10.26953125" style="257" bestFit="1" customWidth="1"/>
    <col min="44" max="44" width="18.81640625" style="257" customWidth="1"/>
    <col min="45" max="45" width="10.26953125" style="257" bestFit="1" customWidth="1"/>
    <col min="46" max="46" width="14.453125" style="257" customWidth="1"/>
    <col min="47" max="48" width="9.7265625" style="257" bestFit="1" customWidth="1"/>
    <col min="49" max="54" width="9.7265625" style="257" customWidth="1"/>
    <col min="55" max="64" width="9.1796875" style="257" customWidth="1"/>
    <col min="65" max="74" width="9.1796875" style="358" customWidth="1"/>
    <col min="75" max="75" width="9.1796875" style="257" customWidth="1"/>
    <col min="76" max="16384" width="9.1796875" style="257"/>
  </cols>
  <sheetData>
    <row r="1" spans="1:74" ht="30" customHeight="1" x14ac:dyDescent="0.35">
      <c r="B1" s="1008" t="str">
        <f ca="1">'Translation Table'!H266</f>
        <v>Solid Fuel Properties</v>
      </c>
      <c r="C1" s="1008"/>
      <c r="I1" s="245">
        <f>1.37/1.53</f>
        <v>0.89542483660130723</v>
      </c>
    </row>
    <row r="2" spans="1:74" ht="14.25" customHeight="1" x14ac:dyDescent="0.35">
      <c r="B2" s="246"/>
    </row>
    <row r="3" spans="1:74" s="139" customFormat="1" ht="15.5" x14ac:dyDescent="0.35">
      <c r="A3" s="191"/>
      <c r="B3" s="993" t="str">
        <f ca="1">'Translation Table'!H268</f>
        <v>Fuel Type</v>
      </c>
      <c r="C3" s="196" t="str">
        <f ca="1">'Translation Table'!H269</f>
        <v xml:space="preserve">Combusted </v>
      </c>
      <c r="D3" s="984" t="str">
        <f ca="1">'Translation Table'!H270</f>
        <v>Higher Heating Value</v>
      </c>
      <c r="E3" s="999"/>
      <c r="F3" s="1000"/>
      <c r="G3" s="984" t="str">
        <f ca="1">'Translation Table'!H271</f>
        <v>Lower Heating Value</v>
      </c>
      <c r="H3" s="761"/>
      <c r="I3" s="762"/>
      <c r="J3" s="984" t="str">
        <f ca="1">'Translation Table'!H272</f>
        <v>Density</v>
      </c>
      <c r="K3" s="999"/>
      <c r="L3" s="1000"/>
      <c r="M3" s="984" t="str">
        <f ca="1">'Translation Table'!H273</f>
        <v>Carbon Content</v>
      </c>
      <c r="N3" s="985"/>
      <c r="O3" s="986"/>
      <c r="P3" s="196" t="str">
        <f ca="1">'Translation Table'!H274</f>
        <v>Application</v>
      </c>
      <c r="Q3" s="984" t="str">
        <f ca="1">'Translation Table'!H275</f>
        <v>Carbon Oxidation Rate</v>
      </c>
      <c r="R3" s="999"/>
      <c r="S3" s="1000"/>
      <c r="T3" s="984" t="str">
        <f ca="1">'Translation Table'!H276</f>
        <v>CH4 Emission Factor</v>
      </c>
      <c r="U3" s="985"/>
      <c r="V3" s="985"/>
      <c r="W3" s="985"/>
      <c r="X3" s="986"/>
      <c r="Y3" s="984" t="str">
        <f ca="1">'Translation Table'!H277</f>
        <v>N2O Emission Factor</v>
      </c>
      <c r="Z3" s="985"/>
      <c r="AA3" s="985"/>
      <c r="AB3" s="985"/>
      <c r="AC3" s="986"/>
      <c r="AD3" s="984" t="str">
        <f ca="1">'Translation Table'!H278</f>
        <v>NOx Emission Factor</v>
      </c>
      <c r="AE3" s="985"/>
      <c r="AF3" s="985"/>
      <c r="AG3" s="985"/>
      <c r="AH3" s="986"/>
      <c r="AI3" s="984" t="str">
        <f ca="1">'Translation Table'!H279</f>
        <v>CO Emission Factor</v>
      </c>
      <c r="AJ3" s="985"/>
      <c r="AK3" s="985"/>
      <c r="AL3" s="985"/>
      <c r="AM3" s="986"/>
      <c r="AN3" s="984" t="str">
        <f ca="1">'Translation Table'!H280</f>
        <v>NMVOC Emission Factor</v>
      </c>
      <c r="AO3" s="985"/>
      <c r="AP3" s="985"/>
      <c r="AQ3" s="985"/>
      <c r="AR3" s="986"/>
      <c r="AS3" s="995" t="str">
        <f ca="1">'Translation Table'!H282</f>
        <v>Emissions</v>
      </c>
      <c r="AT3" s="1009"/>
      <c r="AU3" s="1009"/>
      <c r="AV3" s="996"/>
      <c r="AW3" s="996"/>
      <c r="AX3" s="996"/>
      <c r="AY3" s="996"/>
      <c r="BM3" s="191"/>
      <c r="BN3" s="191"/>
      <c r="BO3" s="191"/>
      <c r="BP3" s="191"/>
      <c r="BQ3" s="191"/>
      <c r="BR3" s="191"/>
      <c r="BS3" s="191"/>
      <c r="BT3" s="191"/>
    </row>
    <row r="4" spans="1:74" s="139" customFormat="1" ht="15.5" x14ac:dyDescent="0.35">
      <c r="A4" s="191"/>
      <c r="B4" s="997"/>
      <c r="C4" s="196" t="str">
        <f ca="1">'Translation Table'!H283</f>
        <v>Amount</v>
      </c>
      <c r="D4" s="196" t="str">
        <f ca="1">'Translation Table'!H284</f>
        <v>Value</v>
      </c>
      <c r="E4" s="993" t="str">
        <f ca="1">'Translation Table'!H285</f>
        <v>Source</v>
      </c>
      <c r="F4" s="993" t="str">
        <f ca="1">'Translation Table'!H286</f>
        <v>Reference</v>
      </c>
      <c r="G4" s="196" t="str">
        <f ca="1">'Translation Table'!H284</f>
        <v>Value</v>
      </c>
      <c r="H4" s="993" t="str">
        <f ca="1">'Translation Table'!H285</f>
        <v>Source</v>
      </c>
      <c r="I4" s="993" t="str">
        <f ca="1">'Translation Table'!H286</f>
        <v>Reference</v>
      </c>
      <c r="J4" s="196" t="str">
        <f ca="1">'Translation Table'!H332</f>
        <v>Value</v>
      </c>
      <c r="K4" s="993" t="str">
        <f ca="1">'Translation Table'!H333</f>
        <v>Source</v>
      </c>
      <c r="L4" s="993" t="str">
        <f ca="1">'Translation Table'!H334</f>
        <v>Reference</v>
      </c>
      <c r="M4" s="196" t="str">
        <f ca="1">'Translation Table'!H287</f>
        <v>Value</v>
      </c>
      <c r="N4" s="993" t="str">
        <f ca="1">'Translation Table'!H288</f>
        <v>Source</v>
      </c>
      <c r="O4" s="993" t="str">
        <f ca="1">'Translation Table'!H289</f>
        <v>Reference</v>
      </c>
      <c r="P4" s="993"/>
      <c r="Q4" s="196" t="str">
        <f ca="1">'Translation Table'!H290</f>
        <v>Value</v>
      </c>
      <c r="R4" s="993" t="str">
        <f ca="1">'Translation Table'!H293</f>
        <v>Source</v>
      </c>
      <c r="S4" s="993" t="str">
        <f ca="1">'Translation Table'!H294</f>
        <v>Reference</v>
      </c>
      <c r="T4" s="993" t="str">
        <f ca="1">'Translation Table'!H290</f>
        <v>Value</v>
      </c>
      <c r="U4" s="993" t="str">
        <f ca="1">'Translation Table'!H292</f>
        <v>Units of Measure</v>
      </c>
      <c r="V4" s="993" t="str">
        <f ca="1">'Translation Table'!H293</f>
        <v>Source</v>
      </c>
      <c r="W4" s="993" t="str">
        <f ca="1">'Translation Table'!H294</f>
        <v>Reference</v>
      </c>
      <c r="X4" s="197" t="str">
        <f ca="1">'Translation Table'!H295</f>
        <v>Conversion Factor</v>
      </c>
      <c r="Y4" s="993" t="str">
        <f ca="1">'Translation Table'!H290</f>
        <v>Value</v>
      </c>
      <c r="Z4" s="993" t="str">
        <f ca="1">'Translation Table'!H292</f>
        <v>Units of Measure</v>
      </c>
      <c r="AA4" s="993" t="str">
        <f ca="1">'Translation Table'!H293</f>
        <v>Source</v>
      </c>
      <c r="AB4" s="993" t="str">
        <f ca="1">'Translation Table'!H294</f>
        <v>Reference</v>
      </c>
      <c r="AC4" s="197" t="str">
        <f ca="1">'Translation Table'!H295</f>
        <v>Conversion Factor</v>
      </c>
      <c r="AD4" s="993" t="str">
        <f ca="1">'Translation Table'!H290</f>
        <v>Value</v>
      </c>
      <c r="AE4" s="993" t="str">
        <f ca="1">'Translation Table'!H292</f>
        <v>Units of Measure</v>
      </c>
      <c r="AF4" s="993" t="str">
        <f ca="1">'Translation Table'!H293</f>
        <v>Source</v>
      </c>
      <c r="AG4" s="993" t="str">
        <f ca="1">'Translation Table'!H294</f>
        <v>Reference</v>
      </c>
      <c r="AH4" s="197" t="str">
        <f ca="1">'Translation Table'!H295</f>
        <v>Conversion Factor</v>
      </c>
      <c r="AI4" s="993" t="str">
        <f ca="1">'Translation Table'!H290</f>
        <v>Value</v>
      </c>
      <c r="AJ4" s="993" t="str">
        <f ca="1">'Translation Table'!H292</f>
        <v>Units of Measure</v>
      </c>
      <c r="AK4" s="993" t="str">
        <f ca="1">'Translation Table'!H293</f>
        <v>Source</v>
      </c>
      <c r="AL4" s="993" t="str">
        <f ca="1">'Translation Table'!H294</f>
        <v>Reference</v>
      </c>
      <c r="AM4" s="197" t="str">
        <f ca="1">'Translation Table'!H295</f>
        <v>Conversion Factor</v>
      </c>
      <c r="AN4" s="993" t="str">
        <f ca="1">'Translation Table'!H290</f>
        <v>Value</v>
      </c>
      <c r="AO4" s="993" t="str">
        <f ca="1">'Translation Table'!H292</f>
        <v>Units of Measure</v>
      </c>
      <c r="AP4" s="993" t="str">
        <f ca="1">'Translation Table'!H293</f>
        <v>Source</v>
      </c>
      <c r="AQ4" s="993" t="str">
        <f ca="1">'Translation Table'!H294</f>
        <v>Reference</v>
      </c>
      <c r="AR4" s="197" t="str">
        <f ca="1">'Translation Table'!H295</f>
        <v>Conversion Factor</v>
      </c>
      <c r="AS4" s="196" t="str">
        <f ca="1">'Translation Table'!H296</f>
        <v>CO2</v>
      </c>
      <c r="AT4" s="196" t="str">
        <f ca="1">'Translation Table'!H297</f>
        <v>CH4</v>
      </c>
      <c r="AU4" s="196" t="str">
        <f ca="1">'Translation Table'!H298</f>
        <v>N2O</v>
      </c>
      <c r="AV4" s="196" t="str">
        <f ca="1">'Translation Table'!H299</f>
        <v>NOx</v>
      </c>
      <c r="AW4" s="196" t="str">
        <f ca="1">'Translation Table'!H300</f>
        <v>CO</v>
      </c>
      <c r="AX4" s="196" t="str">
        <f ca="1">'Translation Table'!H301</f>
        <v>NMVOC</v>
      </c>
      <c r="AY4" s="196" t="str">
        <f ca="1">'Translation Table'!H302</f>
        <v>SO2</v>
      </c>
      <c r="BM4" s="191"/>
      <c r="BN4" s="191"/>
      <c r="BO4" s="191"/>
      <c r="BP4" s="191"/>
      <c r="BQ4" s="191"/>
      <c r="BR4" s="191"/>
      <c r="BS4" s="191"/>
      <c r="BT4" s="191"/>
    </row>
    <row r="5" spans="1:74" s="139" customFormat="1" ht="15.5" x14ac:dyDescent="0.35">
      <c r="A5" s="191"/>
      <c r="B5" s="994"/>
      <c r="C5" s="196" t="str">
        <f ca="1">'Translation Table'!H307</f>
        <v>(tonnes/y)</v>
      </c>
      <c r="D5" s="196" t="str">
        <f ca="1">'Translation Table'!H308</f>
        <v>(GJ/Tonne)</v>
      </c>
      <c r="E5" s="994"/>
      <c r="F5" s="994"/>
      <c r="G5" s="196" t="str">
        <f ca="1">'Translation Table'!H308</f>
        <v>(GJ/Tonne)</v>
      </c>
      <c r="H5" s="994"/>
      <c r="I5" s="994"/>
      <c r="J5" s="196" t="str">
        <f ca="1">'Translation Table'!H309</f>
        <v>(kg/m3)</v>
      </c>
      <c r="K5" s="1006"/>
      <c r="L5" s="994"/>
      <c r="M5" s="196" t="str">
        <f ca="1">'Translation Table'!H310</f>
        <v>(Tonne C/GJ)</v>
      </c>
      <c r="N5" s="994"/>
      <c r="O5" s="994"/>
      <c r="P5" s="994"/>
      <c r="Q5" s="196" t="str">
        <f ca="1">'Translation Table'!H311</f>
        <v>(%)</v>
      </c>
      <c r="R5" s="994"/>
      <c r="S5" s="994"/>
      <c r="T5" s="994"/>
      <c r="U5" s="994"/>
      <c r="V5" s="994"/>
      <c r="W5" s="994"/>
      <c r="X5" s="196" t="str">
        <f ca="1">'Translation Table'!H290</f>
        <v>Value</v>
      </c>
      <c r="Y5" s="994"/>
      <c r="Z5" s="994"/>
      <c r="AA5" s="994"/>
      <c r="AB5" s="994"/>
      <c r="AC5" s="196" t="str">
        <f ca="1">'Translation Table'!H290</f>
        <v>Value</v>
      </c>
      <c r="AD5" s="994"/>
      <c r="AE5" s="994"/>
      <c r="AF5" s="994"/>
      <c r="AG5" s="994"/>
      <c r="AH5" s="196" t="str">
        <f ca="1">'Translation Table'!H290</f>
        <v>Value</v>
      </c>
      <c r="AI5" s="994"/>
      <c r="AJ5" s="994"/>
      <c r="AK5" s="994"/>
      <c r="AL5" s="994"/>
      <c r="AM5" s="196" t="str">
        <f ca="1">'Translation Table'!H290</f>
        <v>Value</v>
      </c>
      <c r="AN5" s="994"/>
      <c r="AO5" s="994"/>
      <c r="AP5" s="994"/>
      <c r="AQ5" s="994"/>
      <c r="AR5" s="196" t="str">
        <f ca="1">'Translation Table'!H290</f>
        <v>Value</v>
      </c>
      <c r="AS5" s="196" t="str">
        <f ca="1">'Translation Table'!H312</f>
        <v>(tonnes/y)</v>
      </c>
      <c r="AT5" s="196" t="str">
        <f ca="1">'Translation Table'!H313</f>
        <v>(tonnes/y)</v>
      </c>
      <c r="AU5" s="196" t="str">
        <f ca="1">'Translation Table'!H420</f>
        <v>(tonnes/y)</v>
      </c>
      <c r="AV5" s="196" t="str">
        <f ca="1">'Translation Table'!H312</f>
        <v>(tonnes/y)</v>
      </c>
      <c r="AW5" s="196" t="str">
        <f ca="1">'Translation Table'!H312</f>
        <v>(tonnes/y)</v>
      </c>
      <c r="AX5" s="196" t="str">
        <f ca="1">'Translation Table'!H312</f>
        <v>(tonnes/y)</v>
      </c>
      <c r="AY5" s="196" t="str">
        <f ca="1">'Translation Table'!H312</f>
        <v>(tonnes/y)</v>
      </c>
      <c r="BM5" s="191"/>
      <c r="BN5" s="191"/>
      <c r="BO5" s="191"/>
      <c r="BP5" s="191"/>
      <c r="BQ5" s="191"/>
      <c r="BR5" s="191"/>
      <c r="BS5" s="191"/>
      <c r="BT5" s="191"/>
    </row>
    <row r="6" spans="1:74" ht="16.149999999999999" customHeight="1" x14ac:dyDescent="0.35">
      <c r="B6" s="238" t="str">
        <f ca="1">'Translation Table'!H314</f>
        <v>Anthracite</v>
      </c>
      <c r="C6" s="457">
        <f ca="1">'Setup - Fuel Use'!AK6</f>
        <v>0</v>
      </c>
      <c r="D6" s="225">
        <v>23.968</v>
      </c>
      <c r="E6" s="225" t="s">
        <v>596</v>
      </c>
      <c r="F6" s="225" t="s">
        <v>2888</v>
      </c>
      <c r="G6" s="225">
        <v>23.968</v>
      </c>
      <c r="H6" s="225" t="s">
        <v>596</v>
      </c>
      <c r="I6" s="225" t="s">
        <v>2888</v>
      </c>
      <c r="J6" s="225">
        <f t="shared" ref="J6:J11" si="0">(700+1100)/2</f>
        <v>900</v>
      </c>
      <c r="K6" s="225" t="s">
        <v>596</v>
      </c>
      <c r="L6" s="225" t="s">
        <v>2887</v>
      </c>
      <c r="M6" s="461">
        <v>2.7490000000000001E-2</v>
      </c>
      <c r="N6" s="225" t="s">
        <v>596</v>
      </c>
      <c r="O6" s="225" t="s">
        <v>667</v>
      </c>
      <c r="P6" s="371" t="s">
        <v>49</v>
      </c>
      <c r="Q6" s="225">
        <v>94</v>
      </c>
      <c r="R6" s="225" t="s">
        <v>596</v>
      </c>
      <c r="S6" s="225" t="s">
        <v>667</v>
      </c>
      <c r="T6" s="225">
        <v>276</v>
      </c>
      <c r="U6" s="225" t="s">
        <v>2288</v>
      </c>
      <c r="V6" s="225" t="s">
        <v>596</v>
      </c>
      <c r="W6" s="225" t="s">
        <v>2291</v>
      </c>
      <c r="X6" s="238">
        <f t="shared" ref="X6:X13" si="1">g_per_ton_to_tonne_per_tonne</f>
        <v>1.1023113595279991E-6</v>
      </c>
      <c r="Y6" s="225">
        <v>40</v>
      </c>
      <c r="Z6" s="225" t="s">
        <v>2288</v>
      </c>
      <c r="AA6" s="225" t="s">
        <v>596</v>
      </c>
      <c r="AB6" s="225" t="s">
        <v>2291</v>
      </c>
      <c r="AC6" s="238">
        <f t="shared" ref="AC6:AC13" si="2">g_per_ton_to_tonne_per_tonne</f>
        <v>1.1023113595279991E-6</v>
      </c>
      <c r="AD6" s="225">
        <v>9</v>
      </c>
      <c r="AE6" s="225" t="s">
        <v>2595</v>
      </c>
      <c r="AF6" s="225" t="s">
        <v>596</v>
      </c>
      <c r="AG6" s="225" t="s">
        <v>2647</v>
      </c>
      <c r="AH6" s="238">
        <f t="shared" ref="AH6:AH13" si="3">lb_per_ton_to_tonne_per_tonne</f>
        <v>5.0000005511556794E-4</v>
      </c>
      <c r="AI6" s="225">
        <v>0.6</v>
      </c>
      <c r="AJ6" s="225" t="s">
        <v>2595</v>
      </c>
      <c r="AK6" s="225" t="s">
        <v>596</v>
      </c>
      <c r="AL6" s="225" t="s">
        <v>2651</v>
      </c>
      <c r="AM6" s="238">
        <f t="shared" ref="AM6:AM13" si="4">lb_per_ton_to_tonne_per_tonne</f>
        <v>5.0000005511556794E-4</v>
      </c>
      <c r="AN6" s="225">
        <v>0.3</v>
      </c>
      <c r="AO6" s="225" t="s">
        <v>2595</v>
      </c>
      <c r="AP6" s="225" t="s">
        <v>596</v>
      </c>
      <c r="AQ6" s="225" t="s">
        <v>2597</v>
      </c>
      <c r="AR6" s="238">
        <f t="shared" ref="AR6:AR13" si="5">lb_per_ton_to_tonne_per_tonne</f>
        <v>5.0000005511556794E-4</v>
      </c>
      <c r="AS6" s="462">
        <f t="shared" ref="AS6:AS13" ca="1" si="6">C6*D6*M6*(Q6/100)*M_CO2/M_C</f>
        <v>0</v>
      </c>
      <c r="AT6" s="462">
        <f t="shared" ref="AT6:AT13" ca="1" si="7">C6*T6*X6</f>
        <v>0</v>
      </c>
      <c r="AU6" s="463">
        <f t="shared" ref="AU6:AU13" ca="1" si="8">C6*Y6*AC6</f>
        <v>0</v>
      </c>
      <c r="AV6" s="462">
        <f t="shared" ref="AV6:AV13" ca="1" si="9">C6*AD6*AH6</f>
        <v>0</v>
      </c>
      <c r="AW6" s="462">
        <f t="shared" ref="AW6:AW13" ca="1" si="10">C6*AI6*AM6</f>
        <v>0</v>
      </c>
      <c r="AX6" s="463">
        <f t="shared" ref="AX6:AX13" ca="1" si="11">C6*AN6*AR6</f>
        <v>0</v>
      </c>
      <c r="AY6" s="462">
        <f t="shared" ref="AY6:AY13" ca="1" si="12">C6*SolidFuel_S*M_SO2/M_S</f>
        <v>0</v>
      </c>
      <c r="BU6" s="257"/>
      <c r="BV6" s="257"/>
    </row>
    <row r="7" spans="1:74" ht="16.149999999999999" customHeight="1" x14ac:dyDescent="0.35">
      <c r="B7" s="237" t="str">
        <f ca="1">'Translation Table'!H315</f>
        <v>Bituminous</v>
      </c>
      <c r="C7" s="260">
        <f ca="1">'Setup - Fuel Use'!AK7</f>
        <v>0</v>
      </c>
      <c r="D7" s="225">
        <v>27.266999999999999</v>
      </c>
      <c r="E7" s="225" t="s">
        <v>596</v>
      </c>
      <c r="F7" s="225" t="s">
        <v>2888</v>
      </c>
      <c r="G7" s="225">
        <v>26.122</v>
      </c>
      <c r="H7" s="225" t="s">
        <v>596</v>
      </c>
      <c r="I7" s="225" t="s">
        <v>2888</v>
      </c>
      <c r="J7" s="225">
        <f t="shared" si="0"/>
        <v>900</v>
      </c>
      <c r="K7" s="225" t="s">
        <v>596</v>
      </c>
      <c r="L7" s="225" t="s">
        <v>2887</v>
      </c>
      <c r="M7" s="464">
        <v>2.6179999999999998E-2</v>
      </c>
      <c r="N7" s="225" t="s">
        <v>596</v>
      </c>
      <c r="O7" s="225" t="s">
        <v>667</v>
      </c>
      <c r="P7" s="371" t="s">
        <v>49</v>
      </c>
      <c r="Q7" s="225">
        <v>93</v>
      </c>
      <c r="R7" s="225" t="s">
        <v>596</v>
      </c>
      <c r="S7" s="225" t="s">
        <v>667</v>
      </c>
      <c r="T7" s="225">
        <v>274</v>
      </c>
      <c r="U7" s="225" t="s">
        <v>2288</v>
      </c>
      <c r="V7" s="225" t="s">
        <v>596</v>
      </c>
      <c r="W7" s="225" t="s">
        <v>2291</v>
      </c>
      <c r="X7" s="237">
        <f t="shared" si="1"/>
        <v>1.1023113595279991E-6</v>
      </c>
      <c r="Y7" s="225">
        <v>40</v>
      </c>
      <c r="Z7" s="225" t="s">
        <v>2288</v>
      </c>
      <c r="AA7" s="225" t="s">
        <v>596</v>
      </c>
      <c r="AB7" s="225" t="s">
        <v>2291</v>
      </c>
      <c r="AC7" s="237">
        <f t="shared" si="2"/>
        <v>1.1023113595279991E-6</v>
      </c>
      <c r="AD7" s="225">
        <v>22</v>
      </c>
      <c r="AE7" s="225" t="s">
        <v>2595</v>
      </c>
      <c r="AF7" s="225" t="s">
        <v>596</v>
      </c>
      <c r="AG7" s="225" t="s">
        <v>2648</v>
      </c>
      <c r="AH7" s="237">
        <f t="shared" si="3"/>
        <v>5.0000005511556794E-4</v>
      </c>
      <c r="AI7" s="225">
        <v>0.5</v>
      </c>
      <c r="AJ7" s="225" t="s">
        <v>2595</v>
      </c>
      <c r="AK7" s="225" t="s">
        <v>596</v>
      </c>
      <c r="AL7" s="225" t="s">
        <v>2648</v>
      </c>
      <c r="AM7" s="237">
        <f t="shared" si="4"/>
        <v>5.0000005511556794E-4</v>
      </c>
      <c r="AN7" s="225">
        <v>0.06</v>
      </c>
      <c r="AO7" s="225" t="s">
        <v>2595</v>
      </c>
      <c r="AP7" s="225" t="s">
        <v>596</v>
      </c>
      <c r="AQ7" s="225" t="s">
        <v>2596</v>
      </c>
      <c r="AR7" s="237">
        <f t="shared" si="5"/>
        <v>5.0000005511556794E-4</v>
      </c>
      <c r="AS7" s="465">
        <f t="shared" ca="1" si="6"/>
        <v>0</v>
      </c>
      <c r="AT7" s="465">
        <f t="shared" ca="1" si="7"/>
        <v>0</v>
      </c>
      <c r="AU7" s="407">
        <f t="shared" ca="1" si="8"/>
        <v>0</v>
      </c>
      <c r="AV7" s="465">
        <f t="shared" ca="1" si="9"/>
        <v>0</v>
      </c>
      <c r="AW7" s="465">
        <f t="shared" ca="1" si="10"/>
        <v>0</v>
      </c>
      <c r="AX7" s="407">
        <f t="shared" ca="1" si="11"/>
        <v>0</v>
      </c>
      <c r="AY7" s="466">
        <f t="shared" ca="1" si="12"/>
        <v>0</v>
      </c>
      <c r="BU7" s="257"/>
      <c r="BV7" s="257"/>
    </row>
    <row r="8" spans="1:74" ht="16.149999999999999" customHeight="1" x14ac:dyDescent="0.35">
      <c r="B8" s="238" t="str">
        <f ca="1">'Translation Table'!H316</f>
        <v>Lignite</v>
      </c>
      <c r="C8" s="457">
        <f ca="1">'Setup - Fuel Use'!AK8</f>
        <v>0</v>
      </c>
      <c r="D8" s="467">
        <v>15</v>
      </c>
      <c r="E8" s="225" t="s">
        <v>596</v>
      </c>
      <c r="F8" s="225" t="s">
        <v>2084</v>
      </c>
      <c r="G8" s="225">
        <v>14.2</v>
      </c>
      <c r="H8" s="225" t="s">
        <v>596</v>
      </c>
      <c r="I8" s="225" t="s">
        <v>2084</v>
      </c>
      <c r="J8" s="225">
        <f t="shared" si="0"/>
        <v>900</v>
      </c>
      <c r="K8" s="225" t="s">
        <v>596</v>
      </c>
      <c r="L8" s="225" t="s">
        <v>2887</v>
      </c>
      <c r="M8" s="464">
        <v>2.8000000000000001E-2</v>
      </c>
      <c r="N8" s="225" t="s">
        <v>596</v>
      </c>
      <c r="O8" s="225" t="s">
        <v>667</v>
      </c>
      <c r="P8" s="371" t="s">
        <v>49</v>
      </c>
      <c r="Q8" s="225">
        <v>96</v>
      </c>
      <c r="R8" s="225" t="s">
        <v>596</v>
      </c>
      <c r="S8" s="225" t="s">
        <v>667</v>
      </c>
      <c r="T8" s="225">
        <v>156</v>
      </c>
      <c r="U8" s="225" t="s">
        <v>2288</v>
      </c>
      <c r="V8" s="225" t="s">
        <v>596</v>
      </c>
      <c r="W8" s="225" t="s">
        <v>2291</v>
      </c>
      <c r="X8" s="238">
        <f t="shared" si="1"/>
        <v>1.1023113595279991E-6</v>
      </c>
      <c r="Y8" s="225">
        <v>23</v>
      </c>
      <c r="Z8" s="225" t="s">
        <v>2288</v>
      </c>
      <c r="AA8" s="225" t="s">
        <v>596</v>
      </c>
      <c r="AB8" s="225" t="s">
        <v>2291</v>
      </c>
      <c r="AC8" s="238">
        <f t="shared" si="2"/>
        <v>1.1023113595279991E-6</v>
      </c>
      <c r="AD8" s="225">
        <v>5.8</v>
      </c>
      <c r="AE8" s="225" t="s">
        <v>2595</v>
      </c>
      <c r="AF8" s="225" t="s">
        <v>596</v>
      </c>
      <c r="AG8" s="225" t="s">
        <v>2649</v>
      </c>
      <c r="AH8" s="238">
        <f t="shared" si="3"/>
        <v>5.0000005511556794E-4</v>
      </c>
      <c r="AI8" s="225">
        <v>0.25</v>
      </c>
      <c r="AJ8" s="225" t="s">
        <v>2595</v>
      </c>
      <c r="AK8" s="225" t="s">
        <v>596</v>
      </c>
      <c r="AL8" s="225" t="s">
        <v>2598</v>
      </c>
      <c r="AM8" s="238">
        <f t="shared" si="4"/>
        <v>5.0000005511556794E-4</v>
      </c>
      <c r="AN8" s="225">
        <v>0.03</v>
      </c>
      <c r="AO8" s="225" t="s">
        <v>2595</v>
      </c>
      <c r="AP8" s="225" t="s">
        <v>596</v>
      </c>
      <c r="AQ8" s="225" t="s">
        <v>2598</v>
      </c>
      <c r="AR8" s="238">
        <f t="shared" si="5"/>
        <v>5.0000005511556794E-4</v>
      </c>
      <c r="AS8" s="462">
        <f t="shared" ca="1" si="6"/>
        <v>0</v>
      </c>
      <c r="AT8" s="462">
        <f t="shared" ca="1" si="7"/>
        <v>0</v>
      </c>
      <c r="AU8" s="463">
        <f t="shared" ca="1" si="8"/>
        <v>0</v>
      </c>
      <c r="AV8" s="462">
        <f t="shared" ca="1" si="9"/>
        <v>0</v>
      </c>
      <c r="AW8" s="462">
        <f t="shared" ca="1" si="10"/>
        <v>0</v>
      </c>
      <c r="AX8" s="463">
        <f t="shared" ca="1" si="11"/>
        <v>0</v>
      </c>
      <c r="AY8" s="462">
        <f t="shared" ca="1" si="12"/>
        <v>0</v>
      </c>
      <c r="BU8" s="257"/>
      <c r="BV8" s="257"/>
    </row>
    <row r="9" spans="1:74" ht="16.149999999999999" customHeight="1" x14ac:dyDescent="0.35">
      <c r="B9" s="237" t="str">
        <f ca="1">'Translation Table'!H317</f>
        <v>Cleaned Coal</v>
      </c>
      <c r="C9" s="260">
        <f ca="1">'Setup - Fuel Use'!AK9</f>
        <v>0</v>
      </c>
      <c r="D9" s="225">
        <v>23.968</v>
      </c>
      <c r="E9" s="225" t="s">
        <v>596</v>
      </c>
      <c r="F9" s="225" t="s">
        <v>2888</v>
      </c>
      <c r="G9" s="225">
        <v>23.968</v>
      </c>
      <c r="H9" s="225" t="s">
        <v>596</v>
      </c>
      <c r="I9" s="225" t="s">
        <v>2888</v>
      </c>
      <c r="J9" s="225">
        <f t="shared" si="0"/>
        <v>900</v>
      </c>
      <c r="K9" s="225" t="s">
        <v>596</v>
      </c>
      <c r="L9" s="225" t="s">
        <v>2887</v>
      </c>
      <c r="M9" s="464">
        <v>2.5399999999999999E-2</v>
      </c>
      <c r="N9" s="225" t="s">
        <v>596</v>
      </c>
      <c r="O9" s="225" t="s">
        <v>667</v>
      </c>
      <c r="P9" s="371" t="s">
        <v>49</v>
      </c>
      <c r="Q9" s="225">
        <v>93</v>
      </c>
      <c r="R9" s="225" t="s">
        <v>596</v>
      </c>
      <c r="S9" s="225" t="s">
        <v>667</v>
      </c>
      <c r="T9" s="225">
        <v>235</v>
      </c>
      <c r="U9" s="225" t="s">
        <v>2288</v>
      </c>
      <c r="V9" s="225" t="s">
        <v>596</v>
      </c>
      <c r="W9" s="225" t="s">
        <v>2291</v>
      </c>
      <c r="X9" s="237">
        <f t="shared" si="1"/>
        <v>1.1023113595279991E-6</v>
      </c>
      <c r="Y9" s="225">
        <v>34</v>
      </c>
      <c r="Z9" s="225" t="s">
        <v>2288</v>
      </c>
      <c r="AA9" s="225" t="s">
        <v>596</v>
      </c>
      <c r="AB9" s="225" t="s">
        <v>2291</v>
      </c>
      <c r="AC9" s="237">
        <f t="shared" si="2"/>
        <v>1.1023113595279991E-6</v>
      </c>
      <c r="AD9" s="225"/>
      <c r="AE9" s="225"/>
      <c r="AF9" s="225" t="s">
        <v>596</v>
      </c>
      <c r="AG9" s="225"/>
      <c r="AH9" s="237">
        <f t="shared" si="3"/>
        <v>5.0000005511556794E-4</v>
      </c>
      <c r="AI9" s="225"/>
      <c r="AJ9" s="225"/>
      <c r="AK9" s="225" t="s">
        <v>596</v>
      </c>
      <c r="AL9" s="225"/>
      <c r="AM9" s="237">
        <f t="shared" si="4"/>
        <v>5.0000005511556794E-4</v>
      </c>
      <c r="AN9" s="225"/>
      <c r="AO9" s="225"/>
      <c r="AP9" s="225" t="s">
        <v>596</v>
      </c>
      <c r="AQ9" s="225"/>
      <c r="AR9" s="237">
        <f t="shared" si="5"/>
        <v>5.0000005511556794E-4</v>
      </c>
      <c r="AS9" s="465">
        <f t="shared" ca="1" si="6"/>
        <v>0</v>
      </c>
      <c r="AT9" s="465">
        <f t="shared" ca="1" si="7"/>
        <v>0</v>
      </c>
      <c r="AU9" s="407">
        <f t="shared" ca="1" si="8"/>
        <v>0</v>
      </c>
      <c r="AV9" s="465">
        <f t="shared" ca="1" si="9"/>
        <v>0</v>
      </c>
      <c r="AW9" s="465">
        <f t="shared" ca="1" si="10"/>
        <v>0</v>
      </c>
      <c r="AX9" s="407">
        <f t="shared" ca="1" si="11"/>
        <v>0</v>
      </c>
      <c r="AY9" s="466">
        <f t="shared" ca="1" si="12"/>
        <v>0</v>
      </c>
      <c r="BU9" s="257"/>
      <c r="BV9" s="257"/>
    </row>
    <row r="10" spans="1:74" ht="16.149999999999999" customHeight="1" x14ac:dyDescent="0.35">
      <c r="B10" s="238" t="str">
        <f ca="1">'Translation Table'!H318</f>
        <v>Other Washed Coal</v>
      </c>
      <c r="C10" s="457">
        <f ca="1">'Setup - Fuel Use'!AK10</f>
        <v>0</v>
      </c>
      <c r="D10" s="225">
        <v>23.968</v>
      </c>
      <c r="E10" s="225" t="s">
        <v>596</v>
      </c>
      <c r="F10" s="225" t="s">
        <v>2888</v>
      </c>
      <c r="G10" s="225">
        <v>23.968</v>
      </c>
      <c r="H10" s="225" t="s">
        <v>596</v>
      </c>
      <c r="I10" s="225" t="s">
        <v>2888</v>
      </c>
      <c r="J10" s="225">
        <f t="shared" si="0"/>
        <v>900</v>
      </c>
      <c r="K10" s="225" t="s">
        <v>596</v>
      </c>
      <c r="L10" s="225" t="s">
        <v>2887</v>
      </c>
      <c r="M10" s="464">
        <v>2.5399999999999999E-2</v>
      </c>
      <c r="N10" s="225" t="s">
        <v>596</v>
      </c>
      <c r="O10" s="225" t="s">
        <v>667</v>
      </c>
      <c r="P10" s="371" t="s">
        <v>49</v>
      </c>
      <c r="Q10" s="225">
        <v>90</v>
      </c>
      <c r="R10" s="225" t="s">
        <v>596</v>
      </c>
      <c r="S10" s="225" t="s">
        <v>667</v>
      </c>
      <c r="T10" s="225">
        <v>235</v>
      </c>
      <c r="U10" s="225" t="s">
        <v>2288</v>
      </c>
      <c r="V10" s="225" t="s">
        <v>596</v>
      </c>
      <c r="W10" s="225" t="s">
        <v>2291</v>
      </c>
      <c r="X10" s="238">
        <f t="shared" si="1"/>
        <v>1.1023113595279991E-6</v>
      </c>
      <c r="Y10" s="225">
        <v>34</v>
      </c>
      <c r="Z10" s="225" t="s">
        <v>2288</v>
      </c>
      <c r="AA10" s="225" t="s">
        <v>596</v>
      </c>
      <c r="AB10" s="225" t="s">
        <v>2291</v>
      </c>
      <c r="AC10" s="238">
        <f t="shared" si="2"/>
        <v>1.1023113595279991E-6</v>
      </c>
      <c r="AD10" s="225"/>
      <c r="AE10" s="225"/>
      <c r="AF10" s="225" t="s">
        <v>596</v>
      </c>
      <c r="AG10" s="225"/>
      <c r="AH10" s="238">
        <f t="shared" si="3"/>
        <v>5.0000005511556794E-4</v>
      </c>
      <c r="AI10" s="225"/>
      <c r="AJ10" s="225"/>
      <c r="AK10" s="225" t="s">
        <v>596</v>
      </c>
      <c r="AL10" s="225"/>
      <c r="AM10" s="238">
        <f t="shared" si="4"/>
        <v>5.0000005511556794E-4</v>
      </c>
      <c r="AN10" s="225"/>
      <c r="AO10" s="225"/>
      <c r="AP10" s="225" t="s">
        <v>596</v>
      </c>
      <c r="AQ10" s="225"/>
      <c r="AR10" s="238">
        <f t="shared" si="5"/>
        <v>5.0000005511556794E-4</v>
      </c>
      <c r="AS10" s="462">
        <f t="shared" ca="1" si="6"/>
        <v>0</v>
      </c>
      <c r="AT10" s="462">
        <f t="shared" ca="1" si="7"/>
        <v>0</v>
      </c>
      <c r="AU10" s="463">
        <f t="shared" ca="1" si="8"/>
        <v>0</v>
      </c>
      <c r="AV10" s="462">
        <f t="shared" ca="1" si="9"/>
        <v>0</v>
      </c>
      <c r="AW10" s="462">
        <f t="shared" ca="1" si="10"/>
        <v>0</v>
      </c>
      <c r="AX10" s="463">
        <f t="shared" ca="1" si="11"/>
        <v>0</v>
      </c>
      <c r="AY10" s="462">
        <f t="shared" ca="1" si="12"/>
        <v>0</v>
      </c>
      <c r="BU10" s="257"/>
      <c r="BV10" s="257"/>
    </row>
    <row r="11" spans="1:74" ht="16.149999999999999" customHeight="1" x14ac:dyDescent="0.35">
      <c r="B11" s="237" t="str">
        <f ca="1">'Translation Table'!H319</f>
        <v>Briquette Coal</v>
      </c>
      <c r="C11" s="260">
        <f ca="1">'Setup - Fuel Use'!AK11</f>
        <v>0</v>
      </c>
      <c r="D11" s="225">
        <v>23.968</v>
      </c>
      <c r="E11" s="225" t="s">
        <v>596</v>
      </c>
      <c r="F11" s="225" t="s">
        <v>2888</v>
      </c>
      <c r="G11" s="225">
        <v>23.968</v>
      </c>
      <c r="H11" s="225" t="s">
        <v>596</v>
      </c>
      <c r="I11" s="225" t="s">
        <v>2888</v>
      </c>
      <c r="J11" s="225">
        <f t="shared" si="0"/>
        <v>900</v>
      </c>
      <c r="K11" s="225" t="s">
        <v>596</v>
      </c>
      <c r="L11" s="225" t="s">
        <v>2887</v>
      </c>
      <c r="M11" s="464">
        <v>3.3599999999999998E-2</v>
      </c>
      <c r="N11" s="225" t="s">
        <v>596</v>
      </c>
      <c r="O11" s="225" t="s">
        <v>667</v>
      </c>
      <c r="P11" s="371" t="s">
        <v>49</v>
      </c>
      <c r="Q11" s="225">
        <v>90</v>
      </c>
      <c r="R11" s="225" t="s">
        <v>596</v>
      </c>
      <c r="S11" s="225" t="s">
        <v>667</v>
      </c>
      <c r="T11" s="225">
        <v>235</v>
      </c>
      <c r="U11" s="225" t="s">
        <v>2288</v>
      </c>
      <c r="V11" s="225" t="s">
        <v>596</v>
      </c>
      <c r="W11" s="225" t="s">
        <v>2291</v>
      </c>
      <c r="X11" s="237">
        <f t="shared" si="1"/>
        <v>1.1023113595279991E-6</v>
      </c>
      <c r="Y11" s="225">
        <v>34</v>
      </c>
      <c r="Z11" s="225" t="s">
        <v>2288</v>
      </c>
      <c r="AA11" s="225" t="s">
        <v>596</v>
      </c>
      <c r="AB11" s="225" t="s">
        <v>2291</v>
      </c>
      <c r="AC11" s="237">
        <f t="shared" si="2"/>
        <v>1.1023113595279991E-6</v>
      </c>
      <c r="AD11" s="225"/>
      <c r="AE11" s="225"/>
      <c r="AF11" s="225" t="s">
        <v>596</v>
      </c>
      <c r="AG11" s="225"/>
      <c r="AH11" s="237">
        <f t="shared" si="3"/>
        <v>5.0000005511556794E-4</v>
      </c>
      <c r="AI11" s="225"/>
      <c r="AJ11" s="225"/>
      <c r="AK11" s="225" t="s">
        <v>596</v>
      </c>
      <c r="AL11" s="225"/>
      <c r="AM11" s="237">
        <f t="shared" si="4"/>
        <v>5.0000005511556794E-4</v>
      </c>
      <c r="AN11" s="225"/>
      <c r="AO11" s="225"/>
      <c r="AP11" s="225" t="s">
        <v>596</v>
      </c>
      <c r="AQ11" s="225"/>
      <c r="AR11" s="237">
        <f t="shared" si="5"/>
        <v>5.0000005511556794E-4</v>
      </c>
      <c r="AS11" s="465">
        <f t="shared" ca="1" si="6"/>
        <v>0</v>
      </c>
      <c r="AT11" s="465">
        <f t="shared" ca="1" si="7"/>
        <v>0</v>
      </c>
      <c r="AU11" s="407">
        <f t="shared" ca="1" si="8"/>
        <v>0</v>
      </c>
      <c r="AV11" s="465">
        <f t="shared" ca="1" si="9"/>
        <v>0</v>
      </c>
      <c r="AW11" s="465">
        <f t="shared" ca="1" si="10"/>
        <v>0</v>
      </c>
      <c r="AX11" s="407">
        <f t="shared" ca="1" si="11"/>
        <v>0</v>
      </c>
      <c r="AY11" s="466">
        <f t="shared" ca="1" si="12"/>
        <v>0</v>
      </c>
      <c r="BU11" s="257"/>
      <c r="BV11" s="257"/>
    </row>
    <row r="12" spans="1:74" ht="16.149999999999999" customHeight="1" x14ac:dyDescent="0.35">
      <c r="B12" s="238" t="str">
        <f ca="1">'Translation Table'!H320</f>
        <v>Coke</v>
      </c>
      <c r="C12" s="457">
        <f ca="1">'Setup - Fuel Use'!AK12</f>
        <v>0</v>
      </c>
      <c r="D12" s="225">
        <v>29.864999999999998</v>
      </c>
      <c r="E12" s="225" t="s">
        <v>596</v>
      </c>
      <c r="F12" s="225" t="s">
        <v>2888</v>
      </c>
      <c r="G12" s="225">
        <v>28.61</v>
      </c>
      <c r="H12" s="225" t="s">
        <v>596</v>
      </c>
      <c r="I12" s="225" t="s">
        <v>2888</v>
      </c>
      <c r="J12" s="225">
        <f>(599+800)/2</f>
        <v>699.5</v>
      </c>
      <c r="K12" s="225" t="s">
        <v>596</v>
      </c>
      <c r="L12" s="225" t="s">
        <v>2887</v>
      </c>
      <c r="M12" s="464">
        <v>2.9399999999999999E-2</v>
      </c>
      <c r="N12" s="225" t="s">
        <v>596</v>
      </c>
      <c r="O12" s="225" t="s">
        <v>667</v>
      </c>
      <c r="P12" s="371" t="s">
        <v>49</v>
      </c>
      <c r="Q12" s="225">
        <v>93</v>
      </c>
      <c r="R12" s="225" t="s">
        <v>596</v>
      </c>
      <c r="S12" s="225" t="s">
        <v>667</v>
      </c>
      <c r="T12" s="225">
        <v>289</v>
      </c>
      <c r="U12" s="225" t="s">
        <v>2288</v>
      </c>
      <c r="V12" s="225" t="s">
        <v>596</v>
      </c>
      <c r="W12" s="225" t="s">
        <v>2291</v>
      </c>
      <c r="X12" s="238">
        <f t="shared" si="1"/>
        <v>1.1023113595279991E-6</v>
      </c>
      <c r="Y12" s="225">
        <v>42</v>
      </c>
      <c r="Z12" s="225" t="s">
        <v>2288</v>
      </c>
      <c r="AA12" s="225" t="s">
        <v>596</v>
      </c>
      <c r="AB12" s="225" t="s">
        <v>2291</v>
      </c>
      <c r="AC12" s="238">
        <f t="shared" si="2"/>
        <v>1.1023113595279991E-6</v>
      </c>
      <c r="AD12" s="225"/>
      <c r="AE12" s="225"/>
      <c r="AF12" s="225" t="s">
        <v>596</v>
      </c>
      <c r="AG12" s="225"/>
      <c r="AH12" s="238">
        <f t="shared" si="3"/>
        <v>5.0000005511556794E-4</v>
      </c>
      <c r="AI12" s="225"/>
      <c r="AJ12" s="225"/>
      <c r="AK12" s="225" t="s">
        <v>596</v>
      </c>
      <c r="AL12" s="225"/>
      <c r="AM12" s="238">
        <f t="shared" si="4"/>
        <v>5.0000005511556794E-4</v>
      </c>
      <c r="AN12" s="225"/>
      <c r="AO12" s="225"/>
      <c r="AP12" s="225" t="s">
        <v>596</v>
      </c>
      <c r="AQ12" s="225"/>
      <c r="AR12" s="238">
        <f t="shared" si="5"/>
        <v>5.0000005511556794E-4</v>
      </c>
      <c r="AS12" s="462">
        <f t="shared" ca="1" si="6"/>
        <v>0</v>
      </c>
      <c r="AT12" s="462">
        <f t="shared" ca="1" si="7"/>
        <v>0</v>
      </c>
      <c r="AU12" s="463">
        <f t="shared" ca="1" si="8"/>
        <v>0</v>
      </c>
      <c r="AV12" s="462">
        <f t="shared" ca="1" si="9"/>
        <v>0</v>
      </c>
      <c r="AW12" s="462">
        <f t="shared" ca="1" si="10"/>
        <v>0</v>
      </c>
      <c r="AX12" s="463">
        <f t="shared" ca="1" si="11"/>
        <v>0</v>
      </c>
      <c r="AY12" s="462">
        <f t="shared" ca="1" si="12"/>
        <v>0</v>
      </c>
      <c r="BU12" s="257"/>
      <c r="BV12" s="257"/>
    </row>
    <row r="13" spans="1:74" ht="16.149999999999999" customHeight="1" x14ac:dyDescent="0.35">
      <c r="B13" s="237" t="str">
        <f ca="1">'Translation Table'!H321</f>
        <v>Petroleum Coke</v>
      </c>
      <c r="C13" s="260">
        <f ca="1">'Setup - Fuel Use'!AK13</f>
        <v>0</v>
      </c>
      <c r="D13" s="225">
        <v>31.308</v>
      </c>
      <c r="E13" s="225" t="s">
        <v>596</v>
      </c>
      <c r="F13" s="225" t="s">
        <v>2888</v>
      </c>
      <c r="G13" s="225">
        <v>29.504999999999999</v>
      </c>
      <c r="H13" s="225" t="s">
        <v>596</v>
      </c>
      <c r="I13" s="225" t="s">
        <v>2888</v>
      </c>
      <c r="J13" s="225">
        <f>(599+800)/2</f>
        <v>699.5</v>
      </c>
      <c r="K13" s="225" t="s">
        <v>596</v>
      </c>
      <c r="L13" s="225" t="s">
        <v>2887</v>
      </c>
      <c r="M13" s="464">
        <v>2.9399999999999999E-2</v>
      </c>
      <c r="N13" s="225" t="s">
        <v>596</v>
      </c>
      <c r="O13" s="225" t="s">
        <v>667</v>
      </c>
      <c r="P13" s="371" t="s">
        <v>49</v>
      </c>
      <c r="Q13" s="225">
        <v>93</v>
      </c>
      <c r="R13" s="225" t="s">
        <v>596</v>
      </c>
      <c r="S13" s="225" t="s">
        <v>667</v>
      </c>
      <c r="T13" s="225">
        <v>273</v>
      </c>
      <c r="U13" s="225" t="s">
        <v>2288</v>
      </c>
      <c r="V13" s="225" t="s">
        <v>596</v>
      </c>
      <c r="W13" s="225" t="s">
        <v>2291</v>
      </c>
      <c r="X13" s="237">
        <f t="shared" si="1"/>
        <v>1.1023113595279991E-6</v>
      </c>
      <c r="Y13" s="225">
        <v>40</v>
      </c>
      <c r="Z13" s="225" t="s">
        <v>2288</v>
      </c>
      <c r="AA13" s="225" t="s">
        <v>596</v>
      </c>
      <c r="AB13" s="225" t="s">
        <v>2291</v>
      </c>
      <c r="AC13" s="237">
        <f t="shared" si="2"/>
        <v>1.1023113595279991E-6</v>
      </c>
      <c r="AD13" s="468"/>
      <c r="AE13" s="468"/>
      <c r="AF13" s="225" t="s">
        <v>596</v>
      </c>
      <c r="AG13" s="468"/>
      <c r="AH13" s="237">
        <f t="shared" si="3"/>
        <v>5.0000005511556794E-4</v>
      </c>
      <c r="AI13" s="468"/>
      <c r="AJ13" s="468"/>
      <c r="AK13" s="225" t="s">
        <v>596</v>
      </c>
      <c r="AL13" s="468"/>
      <c r="AM13" s="237">
        <f t="shared" si="4"/>
        <v>5.0000005511556794E-4</v>
      </c>
      <c r="AN13" s="468"/>
      <c r="AO13" s="468"/>
      <c r="AP13" s="225" t="s">
        <v>596</v>
      </c>
      <c r="AQ13" s="468"/>
      <c r="AR13" s="237">
        <f t="shared" si="5"/>
        <v>5.0000005511556794E-4</v>
      </c>
      <c r="AS13" s="465">
        <f t="shared" ca="1" si="6"/>
        <v>0</v>
      </c>
      <c r="AT13" s="465">
        <f t="shared" ca="1" si="7"/>
        <v>0</v>
      </c>
      <c r="AU13" s="407">
        <f t="shared" ca="1" si="8"/>
        <v>0</v>
      </c>
      <c r="AV13" s="465">
        <f t="shared" ca="1" si="9"/>
        <v>0</v>
      </c>
      <c r="AW13" s="465">
        <f t="shared" ca="1" si="10"/>
        <v>0</v>
      </c>
      <c r="AX13" s="407">
        <f t="shared" ca="1" si="11"/>
        <v>0</v>
      </c>
      <c r="AY13" s="466">
        <f t="shared" ca="1" si="12"/>
        <v>0</v>
      </c>
      <c r="BU13" s="257"/>
      <c r="BV13" s="257"/>
    </row>
    <row r="14" spans="1:74" x14ac:dyDescent="0.35">
      <c r="AA14" s="247"/>
      <c r="AB14" s="247"/>
      <c r="AC14" s="247"/>
      <c r="AD14" s="247"/>
      <c r="AE14" s="247"/>
      <c r="AF14" s="247"/>
      <c r="AG14" s="247"/>
      <c r="AH14" s="247"/>
      <c r="AI14" s="247"/>
      <c r="AJ14" s="247"/>
      <c r="AK14" s="247"/>
      <c r="AL14" s="247"/>
      <c r="AM14" s="247"/>
      <c r="AN14" s="247"/>
      <c r="AO14" s="247"/>
      <c r="AP14" s="247"/>
      <c r="AQ14" s="247"/>
      <c r="AR14" s="248" t="str">
        <f ca="1">'Translation Table'!H455</f>
        <v>Total:</v>
      </c>
      <c r="AS14" s="214">
        <f t="shared" ref="AS14:AY14" ca="1" si="13">SUM(AS6:AS13)</f>
        <v>0</v>
      </c>
      <c r="AT14" s="214">
        <f t="shared" ca="1" si="13"/>
        <v>0</v>
      </c>
      <c r="AU14" s="214">
        <f t="shared" ca="1" si="13"/>
        <v>0</v>
      </c>
      <c r="AV14" s="214">
        <f t="shared" ca="1" si="13"/>
        <v>0</v>
      </c>
      <c r="AW14" s="214">
        <f t="shared" ca="1" si="13"/>
        <v>0</v>
      </c>
      <c r="AX14" s="214">
        <f t="shared" ca="1" si="13"/>
        <v>0</v>
      </c>
      <c r="AY14" s="214">
        <f t="shared" ca="1" si="13"/>
        <v>0</v>
      </c>
      <c r="BU14" s="257"/>
      <c r="BV14" s="257"/>
    </row>
    <row r="15" spans="1:74" ht="22.5" x14ac:dyDescent="0.35">
      <c r="B15" s="249" t="str">
        <f ca="1">'Translation Table'!H323</f>
        <v>Liquid Fuel Properties</v>
      </c>
      <c r="BR15" s="257"/>
      <c r="BS15" s="257"/>
      <c r="BT15" s="257"/>
      <c r="BU15" s="257"/>
      <c r="BV15" s="257"/>
    </row>
    <row r="16" spans="1:74" x14ac:dyDescent="0.35">
      <c r="BR16" s="257"/>
      <c r="BS16" s="257"/>
      <c r="BT16" s="257"/>
      <c r="BU16" s="257"/>
      <c r="BV16" s="257"/>
    </row>
    <row r="17" spans="1:76" s="139" customFormat="1" ht="15.5" x14ac:dyDescent="0.35">
      <c r="A17" s="191"/>
      <c r="B17" s="993" t="str">
        <f ca="1">'Translation Table'!H324</f>
        <v>Fuel Type</v>
      </c>
      <c r="C17" s="196" t="str">
        <f ca="1">'Translation Table'!H325</f>
        <v xml:space="preserve">Combusted </v>
      </c>
      <c r="D17" s="984" t="str">
        <f ca="1">'Translation Table'!H326</f>
        <v>Higher Heating Value</v>
      </c>
      <c r="E17" s="999"/>
      <c r="F17" s="1000"/>
      <c r="G17" s="984" t="str">
        <f ca="1">'Translation Table'!H271</f>
        <v>Lower Heating Value</v>
      </c>
      <c r="H17" s="761"/>
      <c r="I17" s="762"/>
      <c r="J17" s="984" t="str">
        <f ca="1">'Translation Table'!H327</f>
        <v>Density</v>
      </c>
      <c r="K17" s="999"/>
      <c r="L17" s="1000"/>
      <c r="M17" s="984" t="str">
        <f ca="1">'Translation Table'!H328</f>
        <v>Carbon Content</v>
      </c>
      <c r="N17" s="985"/>
      <c r="O17" s="986"/>
      <c r="P17" s="196" t="str">
        <f ca="1">'Translation Table'!H274</f>
        <v>Application</v>
      </c>
      <c r="Q17" s="984" t="str">
        <f ca="1">'Translation Table'!H329</f>
        <v>Carbon Oxidation Rate</v>
      </c>
      <c r="R17" s="999"/>
      <c r="S17" s="1000"/>
      <c r="T17" s="984" t="str">
        <f ca="1">'Translation Table'!H276</f>
        <v>CH4 Emission Factor</v>
      </c>
      <c r="U17" s="985"/>
      <c r="V17" s="985"/>
      <c r="W17" s="985"/>
      <c r="X17" s="986"/>
      <c r="Y17" s="984" t="str">
        <f ca="1">'Translation Table'!H277</f>
        <v>N2O Emission Factor</v>
      </c>
      <c r="Z17" s="985"/>
      <c r="AA17" s="985"/>
      <c r="AB17" s="985"/>
      <c r="AC17" s="986"/>
      <c r="AD17" s="984" t="str">
        <f ca="1">'Translation Table'!H278</f>
        <v>NOx Emission Factor</v>
      </c>
      <c r="AE17" s="985"/>
      <c r="AF17" s="985"/>
      <c r="AG17" s="985"/>
      <c r="AH17" s="986"/>
      <c r="AI17" s="984" t="str">
        <f ca="1">'Translation Table'!H279</f>
        <v>CO Emission Factor</v>
      </c>
      <c r="AJ17" s="985"/>
      <c r="AK17" s="985"/>
      <c r="AL17" s="985"/>
      <c r="AM17" s="986"/>
      <c r="AN17" s="984" t="str">
        <f ca="1">'Translation Table'!H280</f>
        <v>NMVOC Emission Factor</v>
      </c>
      <c r="AO17" s="985"/>
      <c r="AP17" s="985"/>
      <c r="AQ17" s="985"/>
      <c r="AR17" s="986"/>
      <c r="AS17" s="984" t="str">
        <f ca="1">'Translation Table'!H330</f>
        <v>Emissions</v>
      </c>
      <c r="AT17" s="1010"/>
      <c r="AU17" s="1010"/>
      <c r="AV17" s="991"/>
      <c r="AW17" s="991"/>
      <c r="AX17" s="991"/>
      <c r="AY17" s="992"/>
      <c r="BM17" s="191"/>
      <c r="BN17" s="191"/>
      <c r="BO17" s="191"/>
      <c r="BP17" s="191"/>
      <c r="BQ17" s="191"/>
      <c r="BR17" s="191"/>
      <c r="BS17" s="191"/>
      <c r="BT17" s="191"/>
    </row>
    <row r="18" spans="1:76" s="139" customFormat="1" ht="15.5" x14ac:dyDescent="0.35">
      <c r="A18" s="191"/>
      <c r="B18" s="997"/>
      <c r="C18" s="196" t="str">
        <f ca="1">'Translation Table'!H331</f>
        <v>Amount</v>
      </c>
      <c r="D18" s="196" t="str">
        <f ca="1">'Translation Table'!H332</f>
        <v>Value</v>
      </c>
      <c r="E18" s="993" t="str">
        <f ca="1">'Translation Table'!H333</f>
        <v>Source</v>
      </c>
      <c r="F18" s="993" t="str">
        <f ca="1">'Translation Table'!H334</f>
        <v>Reference</v>
      </c>
      <c r="G18" s="196" t="str">
        <f ca="1">'Translation Table'!H284</f>
        <v>Value</v>
      </c>
      <c r="H18" s="993" t="str">
        <f ca="1">'Translation Table'!H285</f>
        <v>Source</v>
      </c>
      <c r="I18" s="993" t="str">
        <f ca="1">'Translation Table'!H286</f>
        <v>Reference</v>
      </c>
      <c r="J18" s="196" t="str">
        <f ca="1">'Translation Table'!H332</f>
        <v>Value</v>
      </c>
      <c r="K18" s="993" t="str">
        <f ca="1">'Translation Table'!H333</f>
        <v>Source</v>
      </c>
      <c r="L18" s="993" t="str">
        <f ca="1">'Translation Table'!H334</f>
        <v>Reference</v>
      </c>
      <c r="M18" s="196" t="str">
        <f ca="1">'Translation Table'!H335</f>
        <v>Value</v>
      </c>
      <c r="N18" s="993" t="str">
        <f ca="1">'Translation Table'!H336</f>
        <v>Source</v>
      </c>
      <c r="O18" s="993" t="str">
        <f ca="1">'Translation Table'!H337</f>
        <v>Reference</v>
      </c>
      <c r="P18" s="993"/>
      <c r="Q18" s="196" t="str">
        <f ca="1">'Translation Table'!H338</f>
        <v>Value</v>
      </c>
      <c r="R18" s="993" t="str">
        <f ca="1">'Translation Table'!H339</f>
        <v>Source</v>
      </c>
      <c r="S18" s="993" t="str">
        <f ca="1">'Translation Table'!H340</f>
        <v>Reference</v>
      </c>
      <c r="T18" s="993" t="str">
        <f ca="1">'Translation Table'!H290</f>
        <v>Value</v>
      </c>
      <c r="U18" s="993" t="str">
        <f ca="1">'Translation Table'!H292</f>
        <v>Units of Measure</v>
      </c>
      <c r="V18" s="993" t="str">
        <f ca="1">'Translation Table'!H339</f>
        <v>Source</v>
      </c>
      <c r="W18" s="993" t="str">
        <f ca="1">'Translation Table'!H340</f>
        <v>Reference</v>
      </c>
      <c r="X18" s="197" t="str">
        <f ca="1">'Translation Table'!H295</f>
        <v>Conversion Factor</v>
      </c>
      <c r="Y18" s="993" t="str">
        <f ca="1">'Translation Table'!H338</f>
        <v>Value</v>
      </c>
      <c r="Z18" s="993" t="str">
        <f ca="1">'Translation Table'!H292</f>
        <v>Units of Measure</v>
      </c>
      <c r="AA18" s="993" t="str">
        <f ca="1">'Translation Table'!H339</f>
        <v>Source</v>
      </c>
      <c r="AB18" s="993" t="str">
        <f ca="1">'Translation Table'!H340</f>
        <v>Reference</v>
      </c>
      <c r="AC18" s="197" t="str">
        <f ca="1">'Translation Table'!H295</f>
        <v>Conversion Factor</v>
      </c>
      <c r="AD18" s="993" t="str">
        <f ca="1">'Translation Table'!H290</f>
        <v>Value</v>
      </c>
      <c r="AE18" s="993" t="str">
        <f ca="1">'Translation Table'!H292</f>
        <v>Units of Measure</v>
      </c>
      <c r="AF18" s="993" t="str">
        <f ca="1">'Translation Table'!H293</f>
        <v>Source</v>
      </c>
      <c r="AG18" s="993" t="str">
        <f ca="1">'Translation Table'!H294</f>
        <v>Reference</v>
      </c>
      <c r="AH18" s="197" t="str">
        <f ca="1">'Translation Table'!H295</f>
        <v>Conversion Factor</v>
      </c>
      <c r="AI18" s="993" t="str">
        <f ca="1">'Translation Table'!H290</f>
        <v>Value</v>
      </c>
      <c r="AJ18" s="993" t="str">
        <f ca="1">'Translation Table'!H292</f>
        <v>Units of Measure</v>
      </c>
      <c r="AK18" s="993" t="str">
        <f ca="1">'Translation Table'!H293</f>
        <v>Source</v>
      </c>
      <c r="AL18" s="993" t="str">
        <f ca="1">'Translation Table'!H294</f>
        <v>Reference</v>
      </c>
      <c r="AM18" s="197" t="str">
        <f ca="1">'Translation Table'!H295</f>
        <v>Conversion Factor</v>
      </c>
      <c r="AN18" s="993" t="str">
        <f ca="1">'Translation Table'!H290</f>
        <v>Value</v>
      </c>
      <c r="AO18" s="993" t="str">
        <f ca="1">'Translation Table'!H292</f>
        <v>Units of Measure</v>
      </c>
      <c r="AP18" s="993" t="str">
        <f ca="1">'Translation Table'!H293</f>
        <v>Source</v>
      </c>
      <c r="AQ18" s="993" t="str">
        <f ca="1">'Translation Table'!H294</f>
        <v>Reference</v>
      </c>
      <c r="AR18" s="197" t="str">
        <f ca="1">'Translation Table'!H295</f>
        <v>Conversion Factor</v>
      </c>
      <c r="AS18" s="196" t="str">
        <f ca="1">'Translation Table'!H296</f>
        <v>CO2</v>
      </c>
      <c r="AT18" s="196" t="str">
        <f ca="1">'Translation Table'!H297</f>
        <v>CH4</v>
      </c>
      <c r="AU18" s="196" t="str">
        <f ca="1">'Translation Table'!H298</f>
        <v>N2O</v>
      </c>
      <c r="AV18" s="196" t="str">
        <f ca="1">'Translation Table'!H299</f>
        <v>NOx</v>
      </c>
      <c r="AW18" s="196" t="str">
        <f ca="1">'Translation Table'!H300</f>
        <v>CO</v>
      </c>
      <c r="AX18" s="196" t="str">
        <f ca="1">'Translation Table'!H301</f>
        <v>NMVOC</v>
      </c>
      <c r="AY18" s="196" t="str">
        <f ca="1">'Translation Table'!H302</f>
        <v>SO2</v>
      </c>
      <c r="BM18" s="191"/>
      <c r="BN18" s="191"/>
      <c r="BO18" s="191"/>
      <c r="BP18" s="191"/>
      <c r="BQ18" s="191"/>
      <c r="BR18" s="191"/>
      <c r="BS18" s="191"/>
      <c r="BT18" s="191"/>
    </row>
    <row r="19" spans="1:76" s="139" customFormat="1" ht="15.5" x14ac:dyDescent="0.35">
      <c r="A19" s="191"/>
      <c r="B19" s="994"/>
      <c r="C19" s="196" t="str">
        <f ca="1">'Translation Table'!H341</f>
        <v>(tonnes/y)</v>
      </c>
      <c r="D19" s="196" t="str">
        <f ca="1">'Translation Table'!H342</f>
        <v>(GJ/Tonne)</v>
      </c>
      <c r="E19" s="994"/>
      <c r="F19" s="994"/>
      <c r="G19" s="196" t="str">
        <f ca="1">'Translation Table'!H308</f>
        <v>(GJ/Tonne)</v>
      </c>
      <c r="H19" s="994"/>
      <c r="I19" s="994"/>
      <c r="J19" s="196" t="str">
        <f ca="1">'Translation Table'!H343</f>
        <v>(kg/m3)</v>
      </c>
      <c r="K19" s="994"/>
      <c r="L19" s="994"/>
      <c r="M19" s="196" t="str">
        <f ca="1">'Translation Table'!H344</f>
        <v>(Tonne C/GJ)</v>
      </c>
      <c r="N19" s="994"/>
      <c r="O19" s="994"/>
      <c r="P19" s="994"/>
      <c r="Q19" s="196" t="str">
        <f ca="1">'Translation Table'!H345</f>
        <v>(%)</v>
      </c>
      <c r="R19" s="994"/>
      <c r="S19" s="994"/>
      <c r="T19" s="994"/>
      <c r="U19" s="994"/>
      <c r="V19" s="994"/>
      <c r="W19" s="994"/>
      <c r="X19" s="196" t="str">
        <f ca="1">'Translation Table'!H290</f>
        <v>Value</v>
      </c>
      <c r="Y19" s="994"/>
      <c r="Z19" s="994"/>
      <c r="AA19" s="994"/>
      <c r="AB19" s="994"/>
      <c r="AC19" s="196" t="str">
        <f ca="1">'Translation Table'!H290</f>
        <v>Value</v>
      </c>
      <c r="AD19" s="994"/>
      <c r="AE19" s="994"/>
      <c r="AF19" s="994"/>
      <c r="AG19" s="994"/>
      <c r="AH19" s="196" t="str">
        <f ca="1">'Translation Table'!H290</f>
        <v>Value</v>
      </c>
      <c r="AI19" s="994"/>
      <c r="AJ19" s="994"/>
      <c r="AK19" s="994"/>
      <c r="AL19" s="994"/>
      <c r="AM19" s="196" t="str">
        <f ca="1">'Translation Table'!H290</f>
        <v>Value</v>
      </c>
      <c r="AN19" s="994"/>
      <c r="AO19" s="994"/>
      <c r="AP19" s="994"/>
      <c r="AQ19" s="994"/>
      <c r="AR19" s="196" t="str">
        <f ca="1">'Translation Table'!H290</f>
        <v>Value</v>
      </c>
      <c r="AS19" s="196" t="str">
        <f ca="1">'Translation Table'!H346</f>
        <v>(tonnes/y)</v>
      </c>
      <c r="AT19" s="196" t="str">
        <f ca="1">'Translation Table'!H347</f>
        <v>(tonnes/y)</v>
      </c>
      <c r="AU19" s="196" t="str">
        <f ca="1">'Translation Table'!H420</f>
        <v>(tonnes/y)</v>
      </c>
      <c r="AV19" s="196" t="str">
        <f ca="1">'Translation Table'!H346</f>
        <v>(tonnes/y)</v>
      </c>
      <c r="AW19" s="196" t="str">
        <f ca="1">'Translation Table'!H346</f>
        <v>(tonnes/y)</v>
      </c>
      <c r="AX19" s="196" t="str">
        <f ca="1">'Translation Table'!H346</f>
        <v>(tonnes/y)</v>
      </c>
      <c r="AY19" s="196" t="str">
        <f ca="1">'Translation Table'!H346</f>
        <v>(tonnes/y)</v>
      </c>
      <c r="BM19" s="191"/>
      <c r="BN19" s="191"/>
      <c r="BO19" s="191"/>
      <c r="BP19" s="191"/>
      <c r="BQ19" s="191"/>
      <c r="BR19" s="191"/>
      <c r="BS19" s="191"/>
      <c r="BT19" s="191"/>
    </row>
    <row r="20" spans="1:76" ht="16.149999999999999" customHeight="1" x14ac:dyDescent="0.35">
      <c r="B20" s="238" t="str">
        <f ca="1">'Translation Table'!H348</f>
        <v>Crude Oil</v>
      </c>
      <c r="C20" s="457">
        <f ca="1">'Setup - Fuel Use'!AK14*J20/1000</f>
        <v>0</v>
      </c>
      <c r="D20" s="469">
        <v>45.542999999999999</v>
      </c>
      <c r="E20" s="225" t="s">
        <v>596</v>
      </c>
      <c r="F20" s="225" t="s">
        <v>2888</v>
      </c>
      <c r="G20" s="225">
        <v>42.686</v>
      </c>
      <c r="H20" s="225" t="s">
        <v>596</v>
      </c>
      <c r="I20" s="225" t="s">
        <v>2888</v>
      </c>
      <c r="J20" s="225">
        <v>873.46</v>
      </c>
      <c r="K20" s="225" t="s">
        <v>596</v>
      </c>
      <c r="L20" s="225" t="s">
        <v>2084</v>
      </c>
      <c r="M20" s="464">
        <f>0.848/D20</f>
        <v>1.8619765935489536E-2</v>
      </c>
      <c r="N20" s="225" t="s">
        <v>596</v>
      </c>
      <c r="O20" s="225" t="s">
        <v>2084</v>
      </c>
      <c r="P20" s="371" t="s">
        <v>49</v>
      </c>
      <c r="Q20" s="225">
        <v>98</v>
      </c>
      <c r="R20" s="225" t="s">
        <v>596</v>
      </c>
      <c r="S20" s="225" t="s">
        <v>667</v>
      </c>
      <c r="T20" s="225">
        <v>0.41</v>
      </c>
      <c r="U20" s="225" t="s">
        <v>2292</v>
      </c>
      <c r="V20" s="225" t="s">
        <v>596</v>
      </c>
      <c r="W20" s="225" t="s">
        <v>2291</v>
      </c>
      <c r="X20" s="238">
        <f t="shared" ref="X20:X26" si="14">g_per_gal_to_tonne_per_m3</f>
        <v>2.6417203728418466E-4</v>
      </c>
      <c r="Y20" s="225">
        <v>0.08</v>
      </c>
      <c r="Z20" s="225" t="s">
        <v>2292</v>
      </c>
      <c r="AA20" s="225" t="s">
        <v>596</v>
      </c>
      <c r="AB20" s="225" t="s">
        <v>2291</v>
      </c>
      <c r="AC20" s="238">
        <f t="shared" ref="AC20:AC26" si="15">g_per_gal_to_tonne_per_m3</f>
        <v>2.6417203728418466E-4</v>
      </c>
      <c r="AD20" s="225"/>
      <c r="AE20" s="225"/>
      <c r="AF20" s="225" t="s">
        <v>596</v>
      </c>
      <c r="AG20" s="225"/>
      <c r="AH20" s="238">
        <f>g_per_gal_to_tonne_per_m3</f>
        <v>2.6417203728418466E-4</v>
      </c>
      <c r="AI20" s="225"/>
      <c r="AJ20" s="225"/>
      <c r="AK20" s="225" t="s">
        <v>596</v>
      </c>
      <c r="AL20" s="225"/>
      <c r="AM20" s="238">
        <f>g_per_gal_to_tonne_per_m3</f>
        <v>2.6417203728418466E-4</v>
      </c>
      <c r="AN20" s="225"/>
      <c r="AO20" s="225"/>
      <c r="AP20" s="225" t="s">
        <v>596</v>
      </c>
      <c r="AQ20" s="225"/>
      <c r="AR20" s="238">
        <f>g_per_gal_to_tonne_per_m3</f>
        <v>2.6417203728418466E-4</v>
      </c>
      <c r="AS20" s="462">
        <f t="shared" ref="AS20:AS29" ca="1" si="16">C20*D20*M20*(Q20/100)*M_CO2/M_C</f>
        <v>0</v>
      </c>
      <c r="AT20" s="462">
        <f t="shared" ref="AT20:AT29" ca="1" si="17">C20*1000/J20*T20*X20</f>
        <v>0</v>
      </c>
      <c r="AU20" s="463">
        <f t="shared" ref="AU20:AU29" ca="1" si="18">C20*1000/J20*Y20*AC20</f>
        <v>0</v>
      </c>
      <c r="AV20" s="462">
        <f t="shared" ref="AV20:AV29" ca="1" si="19">C20*1000/J20*AD20*AH20</f>
        <v>0</v>
      </c>
      <c r="AW20" s="462">
        <f t="shared" ref="AW20:AW29" ca="1" si="20">C20*1000/J20*AI20*AM20</f>
        <v>0</v>
      </c>
      <c r="AX20" s="463">
        <f t="shared" ref="AX20:AX29" ca="1" si="21">C20*1000/J20*AN20*AR20</f>
        <v>0</v>
      </c>
      <c r="AY20" s="462">
        <f t="shared" ref="AY20:AY29" ca="1" si="22">C20*LiquidFuel_S*M_SO2/M_S</f>
        <v>0</v>
      </c>
      <c r="BU20" s="257"/>
      <c r="BV20" s="257"/>
    </row>
    <row r="21" spans="1:76" ht="16.149999999999999" customHeight="1" x14ac:dyDescent="0.35">
      <c r="B21" s="237" t="str">
        <f ca="1">'Translation Table'!H349</f>
        <v>Fuel Oil</v>
      </c>
      <c r="C21" s="260">
        <f ca="1">'Setup - Fuel Use'!AK15*J21/1000</f>
        <v>0</v>
      </c>
      <c r="D21" s="469">
        <v>42.21</v>
      </c>
      <c r="E21" s="225" t="s">
        <v>596</v>
      </c>
      <c r="F21" s="225" t="s">
        <v>2888</v>
      </c>
      <c r="G21" s="225">
        <v>39.466000000000001</v>
      </c>
      <c r="H21" s="225" t="s">
        <v>596</v>
      </c>
      <c r="I21" s="225" t="s">
        <v>2888</v>
      </c>
      <c r="J21" s="225">
        <v>909.48</v>
      </c>
      <c r="K21" s="225" t="s">
        <v>596</v>
      </c>
      <c r="L21" s="225" t="s">
        <v>2084</v>
      </c>
      <c r="M21" s="464">
        <f>0.864/D21</f>
        <v>2.0469083155650318E-2</v>
      </c>
      <c r="N21" s="225" t="s">
        <v>596</v>
      </c>
      <c r="O21" s="225" t="s">
        <v>2084</v>
      </c>
      <c r="P21" s="371" t="s">
        <v>49</v>
      </c>
      <c r="Q21" s="225">
        <v>99</v>
      </c>
      <c r="R21" s="225" t="s">
        <v>596</v>
      </c>
      <c r="S21" s="225" t="s">
        <v>2272</v>
      </c>
      <c r="T21" s="225">
        <v>0.42</v>
      </c>
      <c r="U21" s="225" t="s">
        <v>2292</v>
      </c>
      <c r="V21" s="225" t="s">
        <v>596</v>
      </c>
      <c r="W21" s="225" t="s">
        <v>2291</v>
      </c>
      <c r="X21" s="237">
        <f t="shared" si="14"/>
        <v>2.6417203728418466E-4</v>
      </c>
      <c r="Y21" s="225">
        <v>0.08</v>
      </c>
      <c r="Z21" s="225" t="s">
        <v>2292</v>
      </c>
      <c r="AA21" s="225" t="s">
        <v>596</v>
      </c>
      <c r="AB21" s="225" t="s">
        <v>2291</v>
      </c>
      <c r="AC21" s="237">
        <f t="shared" si="15"/>
        <v>2.6417203728418466E-4</v>
      </c>
      <c r="AD21" s="225">
        <v>55</v>
      </c>
      <c r="AE21" s="225" t="s">
        <v>2599</v>
      </c>
      <c r="AF21" s="225" t="s">
        <v>596</v>
      </c>
      <c r="AG21" s="225" t="s">
        <v>2650</v>
      </c>
      <c r="AH21" s="237">
        <f>lb_per_E3gal_to_tonne_per_m3</f>
        <v>1.198264284046228E-4</v>
      </c>
      <c r="AI21" s="225">
        <v>5</v>
      </c>
      <c r="AJ21" s="225" t="s">
        <v>2599</v>
      </c>
      <c r="AK21" s="225" t="s">
        <v>596</v>
      </c>
      <c r="AL21" s="225" t="s">
        <v>2650</v>
      </c>
      <c r="AM21" s="237">
        <f>lb_per_E3gal_to_tonne_per_m3</f>
        <v>1.198264284046228E-4</v>
      </c>
      <c r="AN21" s="225">
        <v>0.76</v>
      </c>
      <c r="AO21" s="225" t="s">
        <v>2599</v>
      </c>
      <c r="AP21" s="225" t="s">
        <v>596</v>
      </c>
      <c r="AQ21" s="225" t="s">
        <v>2677</v>
      </c>
      <c r="AR21" s="237">
        <f>lb_per_E3gal_to_tonne_per_m3</f>
        <v>1.198264284046228E-4</v>
      </c>
      <c r="AS21" s="465">
        <f t="shared" ca="1" si="16"/>
        <v>0</v>
      </c>
      <c r="AT21" s="465">
        <f t="shared" ca="1" si="17"/>
        <v>0</v>
      </c>
      <c r="AU21" s="407">
        <f t="shared" ca="1" si="18"/>
        <v>0</v>
      </c>
      <c r="AV21" s="465">
        <f t="shared" ca="1" si="19"/>
        <v>0</v>
      </c>
      <c r="AW21" s="465">
        <f t="shared" ca="1" si="20"/>
        <v>0</v>
      </c>
      <c r="AX21" s="407">
        <f t="shared" ca="1" si="21"/>
        <v>0</v>
      </c>
      <c r="AY21" s="465">
        <f t="shared" ca="1" si="22"/>
        <v>0</v>
      </c>
      <c r="BU21" s="257"/>
      <c r="BV21" s="257"/>
    </row>
    <row r="22" spans="1:76" ht="16.149999999999999" customHeight="1" x14ac:dyDescent="0.35">
      <c r="B22" s="238" t="str">
        <f ca="1">'Translation Table'!H350</f>
        <v>Gasoline</v>
      </c>
      <c r="C22" s="457">
        <f ca="1">'Setup - Fuel Use'!AK16*J22/1000</f>
        <v>0</v>
      </c>
      <c r="D22" s="469">
        <v>46.536000000000001</v>
      </c>
      <c r="E22" s="225" t="s">
        <v>596</v>
      </c>
      <c r="F22" s="225" t="s">
        <v>2888</v>
      </c>
      <c r="G22" s="225">
        <v>43.448</v>
      </c>
      <c r="H22" s="225" t="s">
        <v>596</v>
      </c>
      <c r="I22" s="225" t="s">
        <v>2888</v>
      </c>
      <c r="J22" s="225">
        <v>742.39</v>
      </c>
      <c r="K22" s="225" t="s">
        <v>596</v>
      </c>
      <c r="L22" s="225" t="s">
        <v>2084</v>
      </c>
      <c r="M22" s="464">
        <f>0.866/D22</f>
        <v>1.8609248753653086E-2</v>
      </c>
      <c r="N22" s="225" t="s">
        <v>596</v>
      </c>
      <c r="O22" s="225" t="s">
        <v>2084</v>
      </c>
      <c r="P22" s="371" t="s">
        <v>49</v>
      </c>
      <c r="Q22" s="225">
        <v>99</v>
      </c>
      <c r="R22" s="225" t="s">
        <v>596</v>
      </c>
      <c r="S22" s="225" t="s">
        <v>2271</v>
      </c>
      <c r="T22" s="225">
        <v>0.38</v>
      </c>
      <c r="U22" s="225" t="s">
        <v>2292</v>
      </c>
      <c r="V22" s="225" t="s">
        <v>596</v>
      </c>
      <c r="W22" s="225" t="s">
        <v>2291</v>
      </c>
      <c r="X22" s="238">
        <f t="shared" si="14"/>
        <v>2.6417203728418466E-4</v>
      </c>
      <c r="Y22" s="225">
        <v>0.08</v>
      </c>
      <c r="Z22" s="225" t="s">
        <v>2292</v>
      </c>
      <c r="AA22" s="225" t="s">
        <v>596</v>
      </c>
      <c r="AB22" s="225" t="s">
        <v>2291</v>
      </c>
      <c r="AC22" s="238">
        <f t="shared" si="15"/>
        <v>2.6417203728418466E-4</v>
      </c>
      <c r="AD22" s="225"/>
      <c r="AE22" s="225"/>
      <c r="AF22" s="225" t="s">
        <v>596</v>
      </c>
      <c r="AG22" s="225"/>
      <c r="AH22" s="238">
        <f>g_per_gal_to_tonne_per_m3</f>
        <v>2.6417203728418466E-4</v>
      </c>
      <c r="AI22" s="225"/>
      <c r="AJ22" s="225"/>
      <c r="AK22" s="225" t="s">
        <v>596</v>
      </c>
      <c r="AL22" s="225"/>
      <c r="AM22" s="238">
        <f>g_per_gal_to_tonne_per_m3</f>
        <v>2.6417203728418466E-4</v>
      </c>
      <c r="AN22" s="225"/>
      <c r="AO22" s="225"/>
      <c r="AP22" s="225" t="s">
        <v>596</v>
      </c>
      <c r="AQ22" s="225"/>
      <c r="AR22" s="238">
        <f>g_per_gal_to_tonne_per_m3</f>
        <v>2.6417203728418466E-4</v>
      </c>
      <c r="AS22" s="462">
        <f t="shared" ca="1" si="16"/>
        <v>0</v>
      </c>
      <c r="AT22" s="462">
        <f t="shared" ca="1" si="17"/>
        <v>0</v>
      </c>
      <c r="AU22" s="463">
        <f t="shared" ca="1" si="18"/>
        <v>0</v>
      </c>
      <c r="AV22" s="462">
        <f t="shared" ca="1" si="19"/>
        <v>0</v>
      </c>
      <c r="AW22" s="462">
        <f t="shared" ca="1" si="20"/>
        <v>0</v>
      </c>
      <c r="AX22" s="463">
        <f t="shared" ca="1" si="21"/>
        <v>0</v>
      </c>
      <c r="AY22" s="462">
        <f t="shared" ca="1" si="22"/>
        <v>0</v>
      </c>
      <c r="BU22" s="257"/>
      <c r="BV22" s="257"/>
    </row>
    <row r="23" spans="1:76" ht="16.149999999999999" customHeight="1" x14ac:dyDescent="0.35">
      <c r="A23" s="358" t="str">
        <f ca="1">'Translation Table'!H2868</f>
        <v>Default</v>
      </c>
      <c r="B23" s="237" t="str">
        <f ca="1">'Translation Table'!H352</f>
        <v>Diesel</v>
      </c>
      <c r="C23" s="260">
        <f ca="1">'Setup - Fuel Use'!AK17*J23/1000</f>
        <v>0</v>
      </c>
      <c r="D23" s="469">
        <v>45.575000000000003</v>
      </c>
      <c r="E23" s="225" t="s">
        <v>596</v>
      </c>
      <c r="F23" s="225" t="s">
        <v>2888</v>
      </c>
      <c r="G23" s="225">
        <v>42.612000000000002</v>
      </c>
      <c r="H23" s="225" t="s">
        <v>596</v>
      </c>
      <c r="I23" s="225" t="s">
        <v>2888</v>
      </c>
      <c r="J23" s="225">
        <v>847.31</v>
      </c>
      <c r="K23" s="225" t="s">
        <v>596</v>
      </c>
      <c r="L23" s="225" t="s">
        <v>2084</v>
      </c>
      <c r="M23" s="464">
        <f>0.8634/D23</f>
        <v>1.8944596818431154E-2</v>
      </c>
      <c r="N23" s="225" t="s">
        <v>596</v>
      </c>
      <c r="O23" s="225" t="s">
        <v>2084</v>
      </c>
      <c r="P23" s="371" t="s">
        <v>49</v>
      </c>
      <c r="Q23" s="225">
        <v>99</v>
      </c>
      <c r="R23" s="225" t="s">
        <v>596</v>
      </c>
      <c r="S23" s="225" t="s">
        <v>2271</v>
      </c>
      <c r="T23" s="225">
        <v>0.41</v>
      </c>
      <c r="U23" s="225" t="s">
        <v>2292</v>
      </c>
      <c r="V23" s="225" t="s">
        <v>596</v>
      </c>
      <c r="W23" s="225" t="s">
        <v>2291</v>
      </c>
      <c r="X23" s="237">
        <f t="shared" si="14"/>
        <v>2.6417203728418466E-4</v>
      </c>
      <c r="Y23" s="225">
        <v>0.08</v>
      </c>
      <c r="Z23" s="225" t="s">
        <v>2292</v>
      </c>
      <c r="AA23" s="225" t="s">
        <v>596</v>
      </c>
      <c r="AB23" s="225" t="s">
        <v>2291</v>
      </c>
      <c r="AC23" s="237">
        <f t="shared" si="15"/>
        <v>2.6417203728418466E-4</v>
      </c>
      <c r="AD23" s="225">
        <v>24</v>
      </c>
      <c r="AE23" s="225" t="s">
        <v>2599</v>
      </c>
      <c r="AF23" s="225" t="s">
        <v>596</v>
      </c>
      <c r="AG23" s="225" t="s">
        <v>2650</v>
      </c>
      <c r="AH23" s="237">
        <f>lb_per_E3gal_to_tonne_per_m3</f>
        <v>1.198264284046228E-4</v>
      </c>
      <c r="AI23" s="225">
        <v>5</v>
      </c>
      <c r="AJ23" s="225" t="s">
        <v>2599</v>
      </c>
      <c r="AK23" s="225" t="s">
        <v>596</v>
      </c>
      <c r="AL23" s="225" t="s">
        <v>2650</v>
      </c>
      <c r="AM23" s="237">
        <f>lb_per_E3gal_to_tonne_per_m3</f>
        <v>1.198264284046228E-4</v>
      </c>
      <c r="AN23" s="225"/>
      <c r="AO23" s="225"/>
      <c r="AP23" s="225" t="s">
        <v>596</v>
      </c>
      <c r="AQ23" s="225"/>
      <c r="AR23" s="237">
        <f>lb_per_E3gal_to_tonne_per_m3</f>
        <v>1.198264284046228E-4</v>
      </c>
      <c r="AS23" s="465">
        <f t="shared" ca="1" si="16"/>
        <v>0</v>
      </c>
      <c r="AT23" s="465">
        <f t="shared" ca="1" si="17"/>
        <v>0</v>
      </c>
      <c r="AU23" s="407">
        <f t="shared" ca="1" si="18"/>
        <v>0</v>
      </c>
      <c r="AV23" s="465">
        <f t="shared" ca="1" si="19"/>
        <v>0</v>
      </c>
      <c r="AW23" s="465">
        <f t="shared" ca="1" si="20"/>
        <v>0</v>
      </c>
      <c r="AX23" s="407">
        <f t="shared" ca="1" si="21"/>
        <v>0</v>
      </c>
      <c r="AY23" s="465">
        <f t="shared" ca="1" si="22"/>
        <v>0</v>
      </c>
      <c r="BU23" s="257"/>
      <c r="BV23" s="257"/>
    </row>
    <row r="24" spans="1:76" ht="16.149999999999999" customHeight="1" x14ac:dyDescent="0.35">
      <c r="A24" s="358" t="str">
        <f ca="1">'Translation Table'!H2869</f>
        <v>Measured</v>
      </c>
      <c r="B24" s="238" t="str">
        <f ca="1">'Translation Table'!H353</f>
        <v>Aviation Kerosene</v>
      </c>
      <c r="C24" s="457">
        <f ca="1">'Setup - Fuel Use'!AK18*J24/1000</f>
        <v>0</v>
      </c>
      <c r="D24" s="469">
        <f>((3.76*10^10)/815.56)/1000000</f>
        <v>46.103290990239834</v>
      </c>
      <c r="E24" s="225" t="s">
        <v>596</v>
      </c>
      <c r="F24" s="225" t="s">
        <v>2084</v>
      </c>
      <c r="G24" s="467">
        <f>((3.57*10^10)/815.56)/1000000</f>
        <v>43.773603413605379</v>
      </c>
      <c r="H24" s="225" t="s">
        <v>596</v>
      </c>
      <c r="I24" s="225" t="s">
        <v>2084</v>
      </c>
      <c r="J24" s="225">
        <v>815.56</v>
      </c>
      <c r="K24" s="225" t="s">
        <v>596</v>
      </c>
      <c r="L24" s="225" t="s">
        <v>2084</v>
      </c>
      <c r="M24" s="464">
        <f>0.863/D24</f>
        <v>1.8718837234042555E-2</v>
      </c>
      <c r="N24" s="225" t="s">
        <v>596</v>
      </c>
      <c r="O24" s="225" t="s">
        <v>2084</v>
      </c>
      <c r="P24" s="371" t="s">
        <v>49</v>
      </c>
      <c r="Q24" s="225">
        <v>99</v>
      </c>
      <c r="R24" s="225" t="s">
        <v>596</v>
      </c>
      <c r="S24" s="225" t="s">
        <v>2272</v>
      </c>
      <c r="T24" s="225">
        <v>0.41</v>
      </c>
      <c r="U24" s="225" t="s">
        <v>2292</v>
      </c>
      <c r="V24" s="225" t="s">
        <v>596</v>
      </c>
      <c r="W24" s="225" t="s">
        <v>2291</v>
      </c>
      <c r="X24" s="238">
        <f t="shared" si="14"/>
        <v>2.6417203728418466E-4</v>
      </c>
      <c r="Y24" s="225">
        <v>0.08</v>
      </c>
      <c r="Z24" s="225" t="s">
        <v>2292</v>
      </c>
      <c r="AA24" s="225" t="s">
        <v>596</v>
      </c>
      <c r="AB24" s="225" t="s">
        <v>2291</v>
      </c>
      <c r="AC24" s="238">
        <f t="shared" si="15"/>
        <v>2.6417203728418466E-4</v>
      </c>
      <c r="AD24" s="225"/>
      <c r="AE24" s="225"/>
      <c r="AF24" s="225" t="s">
        <v>596</v>
      </c>
      <c r="AG24" s="225"/>
      <c r="AH24" s="238">
        <f>g_per_gal_to_tonne_per_m3</f>
        <v>2.6417203728418466E-4</v>
      </c>
      <c r="AI24" s="225"/>
      <c r="AJ24" s="225"/>
      <c r="AK24" s="225" t="s">
        <v>596</v>
      </c>
      <c r="AL24" s="225"/>
      <c r="AM24" s="238">
        <f>g_per_gal_to_tonne_per_m3</f>
        <v>2.6417203728418466E-4</v>
      </c>
      <c r="AN24" s="225"/>
      <c r="AO24" s="225"/>
      <c r="AP24" s="225" t="s">
        <v>596</v>
      </c>
      <c r="AQ24" s="225"/>
      <c r="AR24" s="238">
        <f>g_per_gal_to_tonne_per_m3</f>
        <v>2.6417203728418466E-4</v>
      </c>
      <c r="AS24" s="462">
        <f t="shared" ca="1" si="16"/>
        <v>0</v>
      </c>
      <c r="AT24" s="462">
        <f t="shared" ca="1" si="17"/>
        <v>0</v>
      </c>
      <c r="AU24" s="463">
        <f t="shared" ca="1" si="18"/>
        <v>0</v>
      </c>
      <c r="AV24" s="462">
        <f t="shared" ca="1" si="19"/>
        <v>0</v>
      </c>
      <c r="AW24" s="462">
        <f t="shared" ca="1" si="20"/>
        <v>0</v>
      </c>
      <c r="AX24" s="463">
        <f t="shared" ca="1" si="21"/>
        <v>0</v>
      </c>
      <c r="AY24" s="462">
        <f t="shared" ca="1" si="22"/>
        <v>0</v>
      </c>
      <c r="BU24" s="257"/>
      <c r="BV24" s="257"/>
    </row>
    <row r="25" spans="1:76" ht="16.149999999999999" customHeight="1" x14ac:dyDescent="0.35">
      <c r="A25" s="358" t="str">
        <f ca="1">'Translation Table'!H2870</f>
        <v>Calculated</v>
      </c>
      <c r="B25" s="237" t="str">
        <f ca="1">'Translation Table'!H354</f>
        <v>Common Kerosene</v>
      </c>
      <c r="C25" s="260">
        <f ca="1">'Setup - Fuel Use'!AK19*J25/1000</f>
        <v>0</v>
      </c>
      <c r="D25" s="469">
        <f>((3.76*10^10)/818.39)/1000000</f>
        <v>45.943865394249684</v>
      </c>
      <c r="E25" s="225" t="s">
        <v>596</v>
      </c>
      <c r="F25" s="225" t="s">
        <v>2084</v>
      </c>
      <c r="G25" s="467">
        <f>((3.57*10^10)/815.56)/1000000</f>
        <v>43.773603413605379</v>
      </c>
      <c r="H25" s="225" t="s">
        <v>596</v>
      </c>
      <c r="I25" s="225" t="s">
        <v>2084</v>
      </c>
      <c r="J25" s="225">
        <v>818.39</v>
      </c>
      <c r="K25" s="225" t="s">
        <v>596</v>
      </c>
      <c r="L25" s="225" t="s">
        <v>2084</v>
      </c>
      <c r="M25" s="464">
        <f>0.8601/D25</f>
        <v>1.8720671250000001E-2</v>
      </c>
      <c r="N25" s="225" t="s">
        <v>596</v>
      </c>
      <c r="O25" s="225" t="s">
        <v>2084</v>
      </c>
      <c r="P25" s="371" t="s">
        <v>49</v>
      </c>
      <c r="Q25" s="225">
        <v>98</v>
      </c>
      <c r="R25" s="225" t="s">
        <v>596</v>
      </c>
      <c r="S25" s="225" t="s">
        <v>667</v>
      </c>
      <c r="T25" s="225">
        <v>0.41</v>
      </c>
      <c r="U25" s="225" t="s">
        <v>2292</v>
      </c>
      <c r="V25" s="225" t="s">
        <v>596</v>
      </c>
      <c r="W25" s="225" t="s">
        <v>2291</v>
      </c>
      <c r="X25" s="237">
        <f t="shared" si="14"/>
        <v>2.6417203728418466E-4</v>
      </c>
      <c r="Y25" s="225">
        <v>0.08</v>
      </c>
      <c r="Z25" s="225" t="s">
        <v>2292</v>
      </c>
      <c r="AA25" s="225" t="s">
        <v>596</v>
      </c>
      <c r="AB25" s="225" t="s">
        <v>2291</v>
      </c>
      <c r="AC25" s="237">
        <f t="shared" si="15"/>
        <v>2.6417203728418466E-4</v>
      </c>
      <c r="AD25" s="225"/>
      <c r="AE25" s="696" t="s">
        <v>3429</v>
      </c>
      <c r="AF25" s="225" t="s">
        <v>596</v>
      </c>
      <c r="AG25" s="225"/>
      <c r="AH25" s="237">
        <f>g_per_gal_to_tonne_per_m3</f>
        <v>2.6417203728418466E-4</v>
      </c>
      <c r="AI25" s="225"/>
      <c r="AJ25" s="225"/>
      <c r="AK25" s="225" t="s">
        <v>596</v>
      </c>
      <c r="AL25" s="225"/>
      <c r="AM25" s="237">
        <f>g_per_gal_to_tonne_per_m3</f>
        <v>2.6417203728418466E-4</v>
      </c>
      <c r="AN25" s="225"/>
      <c r="AO25" s="225"/>
      <c r="AP25" s="225" t="s">
        <v>596</v>
      </c>
      <c r="AQ25" s="225"/>
      <c r="AR25" s="237">
        <f>g_per_gal_to_tonne_per_m3</f>
        <v>2.6417203728418466E-4</v>
      </c>
      <c r="AS25" s="465">
        <f t="shared" ca="1" si="16"/>
        <v>0</v>
      </c>
      <c r="AT25" s="465">
        <f t="shared" ca="1" si="17"/>
        <v>0</v>
      </c>
      <c r="AU25" s="407">
        <f t="shared" ca="1" si="18"/>
        <v>0</v>
      </c>
      <c r="AV25" s="465">
        <f t="shared" ca="1" si="19"/>
        <v>0</v>
      </c>
      <c r="AW25" s="465">
        <f t="shared" ca="1" si="20"/>
        <v>0</v>
      </c>
      <c r="AX25" s="407">
        <f t="shared" ca="1" si="21"/>
        <v>0</v>
      </c>
      <c r="AY25" s="465">
        <f t="shared" ca="1" si="22"/>
        <v>0</v>
      </c>
      <c r="BU25" s="257"/>
      <c r="BV25" s="257"/>
    </row>
    <row r="26" spans="1:76" ht="16.149999999999999" customHeight="1" x14ac:dyDescent="0.35">
      <c r="A26" s="358" t="str">
        <f ca="1">'Translation Table'!H2875</f>
        <v>Engineering Judgement</v>
      </c>
      <c r="B26" s="238" t="str">
        <f ca="1">'Translation Table'!H355</f>
        <v>Naphtha</v>
      </c>
      <c r="C26" s="457">
        <f ca="1">'Setup - Fuel Use'!AK20*J26/1000</f>
        <v>0</v>
      </c>
      <c r="D26" s="469">
        <v>48.075000000000003</v>
      </c>
      <c r="E26" s="225" t="s">
        <v>596</v>
      </c>
      <c r="F26" s="225" t="s">
        <v>2888</v>
      </c>
      <c r="G26" s="225">
        <v>44.938000000000002</v>
      </c>
      <c r="H26" s="225" t="s">
        <v>596</v>
      </c>
      <c r="I26" s="225" t="s">
        <v>2888</v>
      </c>
      <c r="J26" s="225">
        <v>774.49</v>
      </c>
      <c r="K26" s="225" t="s">
        <v>596</v>
      </c>
      <c r="L26" s="225" t="s">
        <v>2084</v>
      </c>
      <c r="M26" s="464">
        <f>0.8476/D26</f>
        <v>1.7630785231409256E-2</v>
      </c>
      <c r="N26" s="225" t="s">
        <v>596</v>
      </c>
      <c r="O26" s="225" t="s">
        <v>2084</v>
      </c>
      <c r="P26" s="371" t="s">
        <v>49</v>
      </c>
      <c r="Q26" s="225">
        <v>98</v>
      </c>
      <c r="R26" s="225" t="s">
        <v>596</v>
      </c>
      <c r="S26" s="225" t="s">
        <v>667</v>
      </c>
      <c r="T26" s="225">
        <v>0.38</v>
      </c>
      <c r="U26" s="225" t="s">
        <v>2292</v>
      </c>
      <c r="V26" s="225" t="s">
        <v>596</v>
      </c>
      <c r="W26" s="225" t="s">
        <v>2291</v>
      </c>
      <c r="X26" s="238">
        <f t="shared" si="14"/>
        <v>2.6417203728418466E-4</v>
      </c>
      <c r="Y26" s="225">
        <v>0.08</v>
      </c>
      <c r="Z26" s="225" t="s">
        <v>2292</v>
      </c>
      <c r="AA26" s="225" t="s">
        <v>596</v>
      </c>
      <c r="AB26" s="225" t="s">
        <v>2291</v>
      </c>
      <c r="AC26" s="238">
        <f t="shared" si="15"/>
        <v>2.6417203728418466E-4</v>
      </c>
      <c r="AD26" s="225"/>
      <c r="AE26" s="225"/>
      <c r="AF26" s="225" t="s">
        <v>596</v>
      </c>
      <c r="AG26" s="225"/>
      <c r="AH26" s="238">
        <f>g_per_gal_to_tonne_per_m3</f>
        <v>2.6417203728418466E-4</v>
      </c>
      <c r="AI26" s="225"/>
      <c r="AJ26" s="225"/>
      <c r="AK26" s="225" t="s">
        <v>596</v>
      </c>
      <c r="AL26" s="225"/>
      <c r="AM26" s="238">
        <f>g_per_gal_to_tonne_per_m3</f>
        <v>2.6417203728418466E-4</v>
      </c>
      <c r="AN26" s="225"/>
      <c r="AO26" s="225"/>
      <c r="AP26" s="225" t="s">
        <v>596</v>
      </c>
      <c r="AQ26" s="225"/>
      <c r="AR26" s="238">
        <f>g_per_gal_to_tonne_per_m3</f>
        <v>2.6417203728418466E-4</v>
      </c>
      <c r="AS26" s="462">
        <f t="shared" ca="1" si="16"/>
        <v>0</v>
      </c>
      <c r="AT26" s="462">
        <f t="shared" ca="1" si="17"/>
        <v>0</v>
      </c>
      <c r="AU26" s="463">
        <f t="shared" ca="1" si="18"/>
        <v>0</v>
      </c>
      <c r="AV26" s="462">
        <f t="shared" ca="1" si="19"/>
        <v>0</v>
      </c>
      <c r="AW26" s="462">
        <f t="shared" ca="1" si="20"/>
        <v>0</v>
      </c>
      <c r="AX26" s="463">
        <f t="shared" ca="1" si="21"/>
        <v>0</v>
      </c>
      <c r="AY26" s="462">
        <f t="shared" ca="1" si="22"/>
        <v>0</v>
      </c>
      <c r="BU26" s="257"/>
      <c r="BV26" s="257"/>
    </row>
    <row r="27" spans="1:76" ht="16.149999999999999" customHeight="1" x14ac:dyDescent="0.35">
      <c r="A27" s="358" t="str">
        <f ca="1">'Translation Table'!H2876</f>
        <v>Reported by Facility</v>
      </c>
      <c r="B27" s="237" t="str">
        <f ca="1">'Translation Table'!H356</f>
        <v>Liquid Petroleum Gas</v>
      </c>
      <c r="C27" s="260">
        <f ca="1">'Setup - Fuel Use'!AK21*J27/1000</f>
        <v>0</v>
      </c>
      <c r="D27" s="469">
        <v>50.152000000000001</v>
      </c>
      <c r="E27" s="225" t="s">
        <v>596</v>
      </c>
      <c r="F27" s="225" t="s">
        <v>2888</v>
      </c>
      <c r="G27" s="225">
        <v>46.606999999999999</v>
      </c>
      <c r="H27" s="225" t="s">
        <v>596</v>
      </c>
      <c r="I27" s="225" t="s">
        <v>2888</v>
      </c>
      <c r="J27" s="225">
        <f>(525+580)/2</f>
        <v>552.5</v>
      </c>
      <c r="K27" s="225" t="s">
        <v>596</v>
      </c>
      <c r="L27" s="225" t="s">
        <v>2320</v>
      </c>
      <c r="M27" s="464">
        <v>1.72E-2</v>
      </c>
      <c r="N27" s="225" t="s">
        <v>596</v>
      </c>
      <c r="O27" s="225" t="s">
        <v>667</v>
      </c>
      <c r="P27" s="371" t="s">
        <v>49</v>
      </c>
      <c r="Q27" s="225">
        <v>99.5</v>
      </c>
      <c r="R27" s="225" t="s">
        <v>596</v>
      </c>
      <c r="S27" s="225" t="s">
        <v>2285</v>
      </c>
      <c r="T27" s="225">
        <v>0.2</v>
      </c>
      <c r="U27" s="225" t="s">
        <v>2599</v>
      </c>
      <c r="V27" s="225" t="s">
        <v>596</v>
      </c>
      <c r="W27" s="225" t="s">
        <v>2285</v>
      </c>
      <c r="X27" s="237">
        <f>lb_per_E3gal_to_tonne_per_m3</f>
        <v>1.198264284046228E-4</v>
      </c>
      <c r="Y27" s="225">
        <v>0.9</v>
      </c>
      <c r="Z27" s="225" t="s">
        <v>2599</v>
      </c>
      <c r="AA27" s="225" t="s">
        <v>596</v>
      </c>
      <c r="AB27" s="225" t="s">
        <v>2285</v>
      </c>
      <c r="AC27" s="237">
        <f>lb_per_E3gal_to_tonne_per_m3</f>
        <v>1.198264284046228E-4</v>
      </c>
      <c r="AD27" s="225">
        <v>15</v>
      </c>
      <c r="AE27" s="225" t="s">
        <v>2599</v>
      </c>
      <c r="AF27" s="225" t="s">
        <v>596</v>
      </c>
      <c r="AG27" s="225" t="s">
        <v>2600</v>
      </c>
      <c r="AH27" s="237">
        <f>lb_per_E3gal_to_tonne_per_m3</f>
        <v>1.198264284046228E-4</v>
      </c>
      <c r="AI27" s="225">
        <v>8.4</v>
      </c>
      <c r="AJ27" s="225" t="s">
        <v>2599</v>
      </c>
      <c r="AK27" s="225" t="s">
        <v>596</v>
      </c>
      <c r="AL27" s="225" t="s">
        <v>2600</v>
      </c>
      <c r="AM27" s="237">
        <f>lb_per_E3gal_to_tonne_per_m3</f>
        <v>1.198264284046228E-4</v>
      </c>
      <c r="AN27" s="225">
        <f>1.1-0.2</f>
        <v>0.90000000000000013</v>
      </c>
      <c r="AO27" s="225" t="s">
        <v>2599</v>
      </c>
      <c r="AP27" s="225" t="s">
        <v>596</v>
      </c>
      <c r="AQ27" s="225" t="s">
        <v>2600</v>
      </c>
      <c r="AR27" s="237">
        <f>lb_per_E3gal_to_tonne_per_m3</f>
        <v>1.198264284046228E-4</v>
      </c>
      <c r="AS27" s="465">
        <f t="shared" ca="1" si="16"/>
        <v>0</v>
      </c>
      <c r="AT27" s="465">
        <f t="shared" ca="1" si="17"/>
        <v>0</v>
      </c>
      <c r="AU27" s="407">
        <f t="shared" ca="1" si="18"/>
        <v>0</v>
      </c>
      <c r="AV27" s="465">
        <f t="shared" ca="1" si="19"/>
        <v>0</v>
      </c>
      <c r="AW27" s="465">
        <f t="shared" ca="1" si="20"/>
        <v>0</v>
      </c>
      <c r="AX27" s="407">
        <f t="shared" ca="1" si="21"/>
        <v>0</v>
      </c>
      <c r="AY27" s="465">
        <f t="shared" ca="1" si="22"/>
        <v>0</v>
      </c>
      <c r="BU27" s="257"/>
      <c r="BV27" s="257"/>
    </row>
    <row r="28" spans="1:76" ht="16.149999999999999" customHeight="1" x14ac:dyDescent="0.35">
      <c r="B28" s="238" t="str">
        <f ca="1">'Translation Table'!H357</f>
        <v>Liquefied Natural Gas</v>
      </c>
      <c r="C28" s="457">
        <f ca="1">'Setup - Fuel Use'!AK22*J28/1000</f>
        <v>0</v>
      </c>
      <c r="D28" s="225">
        <v>55.206000000000003</v>
      </c>
      <c r="E28" s="225" t="s">
        <v>596</v>
      </c>
      <c r="F28" s="225" t="s">
        <v>2888</v>
      </c>
      <c r="G28" s="225">
        <v>48.631999999999998</v>
      </c>
      <c r="H28" s="225" t="s">
        <v>596</v>
      </c>
      <c r="I28" s="225" t="s">
        <v>2888</v>
      </c>
      <c r="J28" s="225">
        <f>(410+500)/2</f>
        <v>455</v>
      </c>
      <c r="K28" s="225" t="s">
        <v>596</v>
      </c>
      <c r="L28" s="225" t="s">
        <v>2320</v>
      </c>
      <c r="M28" s="464">
        <v>1.72E-2</v>
      </c>
      <c r="N28" s="225" t="s">
        <v>596</v>
      </c>
      <c r="O28" s="225" t="s">
        <v>667</v>
      </c>
      <c r="P28" s="371" t="s">
        <v>49</v>
      </c>
      <c r="Q28" s="225">
        <v>99</v>
      </c>
      <c r="R28" s="225" t="s">
        <v>596</v>
      </c>
      <c r="S28" s="225" t="s">
        <v>667</v>
      </c>
      <c r="T28" s="225">
        <v>0.2</v>
      </c>
      <c r="U28" s="225" t="s">
        <v>2599</v>
      </c>
      <c r="V28" s="225" t="s">
        <v>596</v>
      </c>
      <c r="W28" s="225" t="s">
        <v>237</v>
      </c>
      <c r="X28" s="238">
        <f>lb_per_E3gal_to_tonne_per_m3</f>
        <v>1.198264284046228E-4</v>
      </c>
      <c r="Y28" s="225">
        <v>0.9</v>
      </c>
      <c r="Z28" s="225" t="s">
        <v>2599</v>
      </c>
      <c r="AA28" s="225" t="s">
        <v>596</v>
      </c>
      <c r="AB28" s="225" t="s">
        <v>237</v>
      </c>
      <c r="AC28" s="238">
        <f>lb_per_E3gal_to_tonne_per_m3</f>
        <v>1.198264284046228E-4</v>
      </c>
      <c r="AD28" s="225">
        <v>15</v>
      </c>
      <c r="AE28" s="225" t="s">
        <v>2599</v>
      </c>
      <c r="AF28" s="225" t="s">
        <v>596</v>
      </c>
      <c r="AG28" s="225" t="s">
        <v>237</v>
      </c>
      <c r="AH28" s="238">
        <f>lb_per_E3gal_to_tonne_per_m3</f>
        <v>1.198264284046228E-4</v>
      </c>
      <c r="AI28" s="225">
        <v>8.4</v>
      </c>
      <c r="AJ28" s="225" t="s">
        <v>2599</v>
      </c>
      <c r="AK28" s="225" t="s">
        <v>596</v>
      </c>
      <c r="AL28" s="225" t="s">
        <v>237</v>
      </c>
      <c r="AM28" s="238">
        <f>lb_per_E3gal_to_tonne_per_m3</f>
        <v>1.198264284046228E-4</v>
      </c>
      <c r="AN28" s="225">
        <f>1.1-0.2</f>
        <v>0.90000000000000013</v>
      </c>
      <c r="AO28" s="225" t="s">
        <v>2599</v>
      </c>
      <c r="AP28" s="225" t="s">
        <v>596</v>
      </c>
      <c r="AQ28" s="225" t="s">
        <v>237</v>
      </c>
      <c r="AR28" s="238">
        <f>lb_per_E3gal_to_tonne_per_m3</f>
        <v>1.198264284046228E-4</v>
      </c>
      <c r="AS28" s="462">
        <f t="shared" ca="1" si="16"/>
        <v>0</v>
      </c>
      <c r="AT28" s="462">
        <f t="shared" ca="1" si="17"/>
        <v>0</v>
      </c>
      <c r="AU28" s="463">
        <f t="shared" ca="1" si="18"/>
        <v>0</v>
      </c>
      <c r="AV28" s="462">
        <f t="shared" ca="1" si="19"/>
        <v>0</v>
      </c>
      <c r="AW28" s="462">
        <f t="shared" ca="1" si="20"/>
        <v>0</v>
      </c>
      <c r="AX28" s="463">
        <f t="shared" ca="1" si="21"/>
        <v>0</v>
      </c>
      <c r="AY28" s="462">
        <f t="shared" ca="1" si="22"/>
        <v>0</v>
      </c>
      <c r="BU28" s="257"/>
      <c r="BV28" s="257"/>
    </row>
    <row r="29" spans="1:76" ht="16.149999999999999" customHeight="1" x14ac:dyDescent="0.35">
      <c r="B29" s="237" t="str">
        <f ca="1">'Translation Table'!H358</f>
        <v>Propane (liquid)</v>
      </c>
      <c r="C29" s="260">
        <f ca="1">'Setup - Fuel Use'!AK23*J29/1000</f>
        <v>0</v>
      </c>
      <c r="D29" s="469">
        <v>50.234999999999999</v>
      </c>
      <c r="E29" s="225" t="s">
        <v>596</v>
      </c>
      <c r="F29" s="225" t="s">
        <v>2888</v>
      </c>
      <c r="G29" s="225">
        <v>46.295999999999999</v>
      </c>
      <c r="H29" s="225" t="s">
        <v>596</v>
      </c>
      <c r="I29" s="225" t="s">
        <v>2888</v>
      </c>
      <c r="J29" s="225">
        <v>505.61</v>
      </c>
      <c r="K29" s="225" t="s">
        <v>596</v>
      </c>
      <c r="L29" s="225" t="s">
        <v>2084</v>
      </c>
      <c r="M29" s="464">
        <f>0.818/D29</f>
        <v>1.6283467701801533E-2</v>
      </c>
      <c r="N29" s="225" t="s">
        <v>596</v>
      </c>
      <c r="O29" s="225" t="s">
        <v>2084</v>
      </c>
      <c r="P29" s="371" t="s">
        <v>49</v>
      </c>
      <c r="Q29" s="225">
        <v>99.5</v>
      </c>
      <c r="R29" s="225" t="s">
        <v>596</v>
      </c>
      <c r="S29" s="225" t="s">
        <v>2285</v>
      </c>
      <c r="T29" s="225">
        <v>0.2</v>
      </c>
      <c r="U29" s="225" t="s">
        <v>2599</v>
      </c>
      <c r="V29" s="225" t="s">
        <v>596</v>
      </c>
      <c r="W29" s="225" t="s">
        <v>2285</v>
      </c>
      <c r="X29" s="237">
        <f>lb_per_E3gal_to_tonne_per_m3</f>
        <v>1.198264284046228E-4</v>
      </c>
      <c r="Y29" s="225">
        <v>0.9</v>
      </c>
      <c r="Z29" s="225" t="s">
        <v>2599</v>
      </c>
      <c r="AA29" s="225" t="s">
        <v>596</v>
      </c>
      <c r="AB29" s="225" t="s">
        <v>2285</v>
      </c>
      <c r="AC29" s="237">
        <f>lb_per_E3gal_to_tonne_per_m3</f>
        <v>1.198264284046228E-4</v>
      </c>
      <c r="AD29" s="225">
        <v>13</v>
      </c>
      <c r="AE29" s="225" t="s">
        <v>2599</v>
      </c>
      <c r="AF29" s="225" t="s">
        <v>596</v>
      </c>
      <c r="AG29" s="225" t="s">
        <v>2600</v>
      </c>
      <c r="AH29" s="237">
        <f>lb_per_E3gal_to_tonne_per_m3</f>
        <v>1.198264284046228E-4</v>
      </c>
      <c r="AI29" s="225">
        <v>7.5</v>
      </c>
      <c r="AJ29" s="225" t="s">
        <v>2599</v>
      </c>
      <c r="AK29" s="225" t="s">
        <v>596</v>
      </c>
      <c r="AL29" s="225" t="s">
        <v>2600</v>
      </c>
      <c r="AM29" s="237">
        <f>lb_per_E3gal_to_tonne_per_m3</f>
        <v>1.198264284046228E-4</v>
      </c>
      <c r="AN29" s="225">
        <f>1-0.2</f>
        <v>0.8</v>
      </c>
      <c r="AO29" s="225" t="s">
        <v>2599</v>
      </c>
      <c r="AP29" s="225" t="s">
        <v>596</v>
      </c>
      <c r="AQ29" s="225" t="s">
        <v>2600</v>
      </c>
      <c r="AR29" s="237">
        <f>lb_per_E3gal_to_tonne_per_m3</f>
        <v>1.198264284046228E-4</v>
      </c>
      <c r="AS29" s="465">
        <f t="shared" ca="1" si="16"/>
        <v>0</v>
      </c>
      <c r="AT29" s="465">
        <f t="shared" ca="1" si="17"/>
        <v>0</v>
      </c>
      <c r="AU29" s="407">
        <f t="shared" ca="1" si="18"/>
        <v>0</v>
      </c>
      <c r="AV29" s="465">
        <f t="shared" ca="1" si="19"/>
        <v>0</v>
      </c>
      <c r="AW29" s="465">
        <f t="shared" ca="1" si="20"/>
        <v>0</v>
      </c>
      <c r="AX29" s="407">
        <f t="shared" ca="1" si="21"/>
        <v>0</v>
      </c>
      <c r="AY29" s="465">
        <f t="shared" ca="1" si="22"/>
        <v>0</v>
      </c>
      <c r="BU29" s="257"/>
      <c r="BV29" s="257"/>
    </row>
    <row r="30" spans="1:76" x14ac:dyDescent="0.35">
      <c r="AB30" s="247"/>
      <c r="AC30" s="247"/>
      <c r="AD30" s="247"/>
      <c r="AE30" s="247"/>
      <c r="AF30" s="247"/>
      <c r="AG30" s="247"/>
      <c r="AH30" s="247"/>
      <c r="AI30" s="247"/>
      <c r="AJ30" s="247"/>
      <c r="AK30" s="247"/>
      <c r="AL30" s="247"/>
      <c r="AM30" s="247"/>
      <c r="AN30" s="247"/>
      <c r="AO30" s="247"/>
      <c r="AP30" s="247"/>
      <c r="AQ30" s="247"/>
      <c r="AR30" s="248" t="str">
        <f ca="1">'Translation Table'!H455</f>
        <v>Total:</v>
      </c>
      <c r="AS30" s="214">
        <f t="shared" ref="AS30:AY30" ca="1" si="23">SUM(AS20:AS29)</f>
        <v>0</v>
      </c>
      <c r="AT30" s="214">
        <f t="shared" ca="1" si="23"/>
        <v>0</v>
      </c>
      <c r="AU30" s="214">
        <f t="shared" ca="1" si="23"/>
        <v>0</v>
      </c>
      <c r="AV30" s="214">
        <f t="shared" ca="1" si="23"/>
        <v>0</v>
      </c>
      <c r="AW30" s="214">
        <f t="shared" ca="1" si="23"/>
        <v>0</v>
      </c>
      <c r="AX30" s="214">
        <f t="shared" ca="1" si="23"/>
        <v>0</v>
      </c>
      <c r="AY30" s="214">
        <f t="shared" ca="1" si="23"/>
        <v>0</v>
      </c>
      <c r="BW30" s="358"/>
      <c r="BX30" s="358"/>
    </row>
    <row r="31" spans="1:76" ht="22.5" x14ac:dyDescent="0.35">
      <c r="A31" s="257"/>
      <c r="B31" s="249" t="str">
        <f ca="1">'Translation Table'!H360</f>
        <v>Gaseous Fuel Properties</v>
      </c>
    </row>
    <row r="32" spans="1:76" x14ac:dyDescent="0.35">
      <c r="A32" s="257"/>
    </row>
    <row r="33" spans="1:74" s="139" customFormat="1" ht="15.5" x14ac:dyDescent="0.35">
      <c r="B33" s="993" t="str">
        <f ca="1">'Translation Table'!H361</f>
        <v>Fuel Type</v>
      </c>
      <c r="C33" s="196" t="str">
        <f ca="1">'Translation Table'!H362</f>
        <v xml:space="preserve">Combusted </v>
      </c>
      <c r="D33" s="984" t="str">
        <f ca="1">'Translation Table'!H363</f>
        <v>Higher Heating Value</v>
      </c>
      <c r="E33" s="999"/>
      <c r="F33" s="1000"/>
      <c r="G33" s="984" t="str">
        <f ca="1">'Translation Table'!H364</f>
        <v>Carbon Content</v>
      </c>
      <c r="H33" s="999"/>
      <c r="I33" s="1000"/>
      <c r="J33" s="993" t="str">
        <f ca="1">'Translation Table'!H274</f>
        <v>Application</v>
      </c>
      <c r="K33" s="984" t="str">
        <f ca="1">'Translation Table'!H365</f>
        <v>Carbon Oxidation Rate</v>
      </c>
      <c r="L33" s="999"/>
      <c r="M33" s="1000"/>
      <c r="N33" s="984" t="str">
        <f ca="1">'Translation Table'!H276</f>
        <v>CH4 Emission Factor</v>
      </c>
      <c r="O33" s="985"/>
      <c r="P33" s="985"/>
      <c r="Q33" s="985"/>
      <c r="R33" s="986"/>
      <c r="S33" s="984" t="str">
        <f ca="1">'Translation Table'!H277</f>
        <v>N2O Emission Factor</v>
      </c>
      <c r="T33" s="985"/>
      <c r="U33" s="985"/>
      <c r="V33" s="985"/>
      <c r="W33" s="986"/>
      <c r="X33" s="984" t="str">
        <f ca="1">'Translation Table'!H278</f>
        <v>NOx Emission Factor</v>
      </c>
      <c r="Y33" s="985"/>
      <c r="Z33" s="985"/>
      <c r="AA33" s="985"/>
      <c r="AB33" s="986"/>
      <c r="AC33" s="984" t="str">
        <f ca="1">'Translation Table'!H279</f>
        <v>CO Emission Factor</v>
      </c>
      <c r="AD33" s="985"/>
      <c r="AE33" s="985"/>
      <c r="AF33" s="985"/>
      <c r="AG33" s="986"/>
      <c r="AH33" s="984" t="str">
        <f ca="1">'Translation Table'!H280</f>
        <v>NMVOC Emission Factor</v>
      </c>
      <c r="AI33" s="985"/>
      <c r="AJ33" s="985"/>
      <c r="AK33" s="985"/>
      <c r="AL33" s="986"/>
      <c r="AM33" s="995" t="str">
        <f ca="1">'Translation Table'!H366</f>
        <v>Emissions</v>
      </c>
      <c r="AN33" s="996"/>
      <c r="AO33" s="996"/>
      <c r="AP33" s="996"/>
      <c r="AQ33" s="996"/>
      <c r="AR33" s="996"/>
      <c r="AS33" s="996"/>
      <c r="BM33" s="191"/>
      <c r="BN33" s="191"/>
      <c r="BO33" s="191"/>
      <c r="BP33" s="191"/>
      <c r="BQ33" s="191"/>
    </row>
    <row r="34" spans="1:74" s="139" customFormat="1" ht="15.5" x14ac:dyDescent="0.35">
      <c r="B34" s="997"/>
      <c r="C34" s="196" t="str">
        <f ca="1">'Translation Table'!H367</f>
        <v>Amount</v>
      </c>
      <c r="D34" s="196" t="str">
        <f ca="1">'Translation Table'!H368</f>
        <v>Value</v>
      </c>
      <c r="E34" s="993" t="str">
        <f ca="1">'Translation Table'!H369</f>
        <v>Source</v>
      </c>
      <c r="F34" s="993" t="str">
        <f ca="1">'Translation Table'!H370</f>
        <v>Reference</v>
      </c>
      <c r="G34" s="196" t="str">
        <f ca="1">'Translation Table'!H371</f>
        <v>Value</v>
      </c>
      <c r="H34" s="993" t="str">
        <f ca="1">'Translation Table'!H372</f>
        <v>Source</v>
      </c>
      <c r="I34" s="993" t="str">
        <f ca="1">'Translation Table'!H373</f>
        <v>Reference</v>
      </c>
      <c r="J34" s="990"/>
      <c r="K34" s="196" t="str">
        <f ca="1">'Translation Table'!H374</f>
        <v>Value</v>
      </c>
      <c r="L34" s="993" t="str">
        <f ca="1">'Translation Table'!H375</f>
        <v>Source</v>
      </c>
      <c r="M34" s="993" t="str">
        <f ca="1">'Translation Table'!H376</f>
        <v>Reference</v>
      </c>
      <c r="N34" s="993" t="str">
        <f ca="1">'Translation Table'!H374</f>
        <v>Value</v>
      </c>
      <c r="O34" s="993" t="str">
        <f ca="1">'Translation Table'!H292</f>
        <v>Units of Measure</v>
      </c>
      <c r="P34" s="993" t="str">
        <f ca="1">'Translation Table'!H375</f>
        <v>Source</v>
      </c>
      <c r="Q34" s="993" t="str">
        <f ca="1">'Translation Table'!H376</f>
        <v>Reference</v>
      </c>
      <c r="R34" s="197" t="str">
        <f ca="1">'Translation Table'!H295</f>
        <v>Conversion Factor</v>
      </c>
      <c r="S34" s="993" t="str">
        <f ca="1">'Translation Table'!H374</f>
        <v>Value</v>
      </c>
      <c r="T34" s="993" t="str">
        <f ca="1">'Translation Table'!H292</f>
        <v>Units of Measure</v>
      </c>
      <c r="U34" s="993" t="str">
        <f ca="1">'Translation Table'!H375</f>
        <v>Source</v>
      </c>
      <c r="V34" s="993" t="str">
        <f ca="1">'Translation Table'!H376</f>
        <v>Reference</v>
      </c>
      <c r="W34" s="197" t="str">
        <f ca="1">'Translation Table'!H295</f>
        <v>Conversion Factor</v>
      </c>
      <c r="X34" s="993" t="str">
        <f ca="1">'Translation Table'!H374</f>
        <v>Value</v>
      </c>
      <c r="Y34" s="993" t="str">
        <f ca="1">'Translation Table'!H292</f>
        <v>Units of Measure</v>
      </c>
      <c r="Z34" s="993" t="str">
        <f ca="1">'Translation Table'!H375</f>
        <v>Source</v>
      </c>
      <c r="AA34" s="993" t="str">
        <f ca="1">'Translation Table'!H376</f>
        <v>Reference</v>
      </c>
      <c r="AB34" s="197" t="str">
        <f ca="1">'Translation Table'!H295</f>
        <v>Conversion Factor</v>
      </c>
      <c r="AC34" s="993" t="str">
        <f ca="1">'Translation Table'!H374</f>
        <v>Value</v>
      </c>
      <c r="AD34" s="993" t="str">
        <f ca="1">'Translation Table'!H292</f>
        <v>Units of Measure</v>
      </c>
      <c r="AE34" s="993" t="str">
        <f ca="1">'Translation Table'!H375</f>
        <v>Source</v>
      </c>
      <c r="AF34" s="993" t="str">
        <f ca="1">'Translation Table'!H376</f>
        <v>Reference</v>
      </c>
      <c r="AG34" s="197" t="str">
        <f ca="1">'Translation Table'!H295</f>
        <v>Conversion Factor</v>
      </c>
      <c r="AH34" s="993" t="str">
        <f ca="1">'Translation Table'!H374</f>
        <v>Value</v>
      </c>
      <c r="AI34" s="993" t="str">
        <f ca="1">'Translation Table'!H292</f>
        <v>Units of Measure</v>
      </c>
      <c r="AJ34" s="993" t="str">
        <f ca="1">'Translation Table'!H375</f>
        <v>Source</v>
      </c>
      <c r="AK34" s="993" t="str">
        <f ca="1">'Translation Table'!H376</f>
        <v>Reference</v>
      </c>
      <c r="AL34" s="197" t="str">
        <f ca="1">'Translation Table'!H295</f>
        <v>Conversion Factor</v>
      </c>
      <c r="AM34" s="196" t="str">
        <f ca="1">'Translation Table'!H296</f>
        <v>CO2</v>
      </c>
      <c r="AN34" s="196" t="str">
        <f ca="1">'Translation Table'!H297</f>
        <v>CH4</v>
      </c>
      <c r="AO34" s="196" t="str">
        <f ca="1">'Translation Table'!H298</f>
        <v>N2O</v>
      </c>
      <c r="AP34" s="196" t="str">
        <f ca="1">'Translation Table'!H299</f>
        <v>NOx</v>
      </c>
      <c r="AQ34" s="196" t="str">
        <f ca="1">'Translation Table'!H300</f>
        <v>CO</v>
      </c>
      <c r="AR34" s="196" t="str">
        <f ca="1">'Translation Table'!H301</f>
        <v>NMVOC</v>
      </c>
      <c r="AS34" s="196" t="str">
        <f ca="1">'Translation Table'!H302</f>
        <v>SO2</v>
      </c>
      <c r="BM34" s="191"/>
      <c r="BN34" s="191"/>
      <c r="BO34" s="191"/>
      <c r="BP34" s="191"/>
      <c r="BQ34" s="191"/>
    </row>
    <row r="35" spans="1:74" s="139" customFormat="1" ht="15.5" x14ac:dyDescent="0.35">
      <c r="B35" s="994"/>
      <c r="C35" s="196" t="s">
        <v>2970</v>
      </c>
      <c r="D35" s="196" t="str">
        <f ca="1">'Translation Table'!H378</f>
        <v>MJ/m3</v>
      </c>
      <c r="E35" s="994"/>
      <c r="F35" s="994"/>
      <c r="G35" s="196" t="str">
        <f ca="1">'Translation Table'!H381</f>
        <v>(Tonne C/GJ)</v>
      </c>
      <c r="H35" s="994"/>
      <c r="I35" s="994"/>
      <c r="J35" s="1006"/>
      <c r="K35" s="196" t="str">
        <f ca="1">'Translation Table'!H382</f>
        <v>(%)</v>
      </c>
      <c r="L35" s="994"/>
      <c r="M35" s="994"/>
      <c r="N35" s="994"/>
      <c r="O35" s="994"/>
      <c r="P35" s="994"/>
      <c r="Q35" s="994"/>
      <c r="R35" s="196" t="str">
        <f ca="1">'Translation Table'!H290</f>
        <v>Value</v>
      </c>
      <c r="S35" s="994"/>
      <c r="T35" s="994"/>
      <c r="U35" s="994"/>
      <c r="V35" s="994"/>
      <c r="W35" s="196" t="str">
        <f ca="1">'Translation Table'!H290</f>
        <v>Value</v>
      </c>
      <c r="X35" s="994"/>
      <c r="Y35" s="994"/>
      <c r="Z35" s="994"/>
      <c r="AA35" s="994"/>
      <c r="AB35" s="196" t="str">
        <f ca="1">'Translation Table'!H290</f>
        <v>Value</v>
      </c>
      <c r="AC35" s="994"/>
      <c r="AD35" s="994"/>
      <c r="AE35" s="994"/>
      <c r="AF35" s="994"/>
      <c r="AG35" s="196" t="str">
        <f ca="1">'Translation Table'!H290</f>
        <v>Value</v>
      </c>
      <c r="AH35" s="994"/>
      <c r="AI35" s="994"/>
      <c r="AJ35" s="994"/>
      <c r="AK35" s="994"/>
      <c r="AL35" s="196" t="str">
        <f ca="1">'Translation Table'!H290</f>
        <v>Value</v>
      </c>
      <c r="AM35" s="196" t="str">
        <f ca="1">'Translation Table'!H383</f>
        <v>(tonnes/y)</v>
      </c>
      <c r="AN35" s="196" t="str">
        <f ca="1">'Translation Table'!H384</f>
        <v>(tonnes/y)</v>
      </c>
      <c r="AO35" s="196" t="str">
        <f ca="1">'Translation Table'!H420</f>
        <v>(tonnes/y)</v>
      </c>
      <c r="AP35" s="195" t="str">
        <f ca="1">'Translation Table'!H420</f>
        <v>(tonnes/y)</v>
      </c>
      <c r="AQ35" s="195" t="str">
        <f ca="1">'Translation Table'!H420</f>
        <v>(tonnes/y)</v>
      </c>
      <c r="AR35" s="195" t="str">
        <f ca="1">'Translation Table'!H420</f>
        <v>(tonnes/y)</v>
      </c>
      <c r="AS35" s="195" t="str">
        <f ca="1">'Translation Table'!H420</f>
        <v>(tonnes/y)</v>
      </c>
      <c r="BM35" s="191"/>
      <c r="BN35" s="191"/>
      <c r="BO35" s="191"/>
      <c r="BP35" s="191"/>
      <c r="BQ35" s="191"/>
    </row>
    <row r="36" spans="1:74" ht="16.149999999999999" customHeight="1" x14ac:dyDescent="0.35">
      <c r="A36" s="257"/>
      <c r="B36" s="238" t="str">
        <f ca="1">'Translation Table'!H385</f>
        <v>Natural Gas</v>
      </c>
      <c r="C36" s="457">
        <f ca="1">'Setup - Fuel Use'!AM25</f>
        <v>0</v>
      </c>
      <c r="D36" s="470">
        <f t="shared" ref="D36:D41" si="24">FuelGas_HHV</f>
        <v>38.464308742</v>
      </c>
      <c r="E36" s="225" t="s">
        <v>580</v>
      </c>
      <c r="F36" s="225" t="s">
        <v>2689</v>
      </c>
      <c r="G36" s="464">
        <f t="shared" ref="G36:G41" si="25">FuelGas_CarbonContent</f>
        <v>1.3632111900173735E-2</v>
      </c>
      <c r="H36" s="225" t="s">
        <v>596</v>
      </c>
      <c r="I36" s="225" t="s">
        <v>2689</v>
      </c>
      <c r="J36" s="225" t="str">
        <f ca="1">'Lookup Lists'!B70</f>
        <v>Turbine</v>
      </c>
      <c r="K36" s="225">
        <v>99.5</v>
      </c>
      <c r="L36" s="225" t="s">
        <v>596</v>
      </c>
      <c r="M36" s="696" t="s">
        <v>3433</v>
      </c>
      <c r="N36" s="464">
        <v>8.6E-3</v>
      </c>
      <c r="O36" s="225" t="s">
        <v>2283</v>
      </c>
      <c r="P36" s="225" t="s">
        <v>596</v>
      </c>
      <c r="Q36" s="696" t="s">
        <v>3433</v>
      </c>
      <c r="R36" s="238">
        <f>lb_per_mmBTU_to_tonnes_per_GJ</f>
        <v>4.2992258230842723E-4</v>
      </c>
      <c r="S36" s="225">
        <v>3.0000000000000001E-3</v>
      </c>
      <c r="T36" s="225" t="s">
        <v>2283</v>
      </c>
      <c r="U36" s="225" t="s">
        <v>596</v>
      </c>
      <c r="V36" s="696" t="s">
        <v>3433</v>
      </c>
      <c r="W36" s="238">
        <f>lb_per_mmBTU_to_tonnes_per_GJ</f>
        <v>4.2992258230842723E-4</v>
      </c>
      <c r="X36" s="225">
        <v>0.32</v>
      </c>
      <c r="Y36" s="225" t="s">
        <v>2283</v>
      </c>
      <c r="Z36" s="225" t="s">
        <v>596</v>
      </c>
      <c r="AA36" s="225" t="s">
        <v>2601</v>
      </c>
      <c r="AB36" s="238">
        <f>lb_per_mmBTU_to_tonnes_per_GJ</f>
        <v>4.2992258230842723E-4</v>
      </c>
      <c r="AC36" s="225">
        <v>8.2000000000000003E-2</v>
      </c>
      <c r="AD36" s="225" t="s">
        <v>2283</v>
      </c>
      <c r="AE36" s="225" t="s">
        <v>596</v>
      </c>
      <c r="AF36" s="225" t="s">
        <v>2601</v>
      </c>
      <c r="AG36" s="238">
        <f>lb_per_mmBTU_to_tonnes_per_GJ</f>
        <v>4.2992258230842723E-4</v>
      </c>
      <c r="AH36" s="225">
        <f>0.011-0.0086</f>
        <v>2.3999999999999994E-3</v>
      </c>
      <c r="AI36" s="225" t="s">
        <v>2283</v>
      </c>
      <c r="AJ36" s="225" t="s">
        <v>596</v>
      </c>
      <c r="AK36" s="225" t="s">
        <v>2602</v>
      </c>
      <c r="AL36" s="238">
        <f>lb_per_mmBTU_to_tonnes_per_GJ</f>
        <v>4.2992258230842723E-4</v>
      </c>
      <c r="AM36" s="462">
        <f t="shared" ref="AM36:AM71" ca="1" si="26">C36*D36*G36*(K36/100)*M_CO2/M_C</f>
        <v>0</v>
      </c>
      <c r="AN36" s="462">
        <f t="shared" ref="AN36:AN71" ca="1" si="27">C36*D36*N36*R36</f>
        <v>0</v>
      </c>
      <c r="AO36" s="463">
        <f t="shared" ref="AO36:AO71" ca="1" si="28">C36*D36*S36*W36</f>
        <v>0</v>
      </c>
      <c r="AP36" s="463">
        <f t="shared" ref="AP36:AP71" ca="1" si="29">C36*D36*X36*AB36</f>
        <v>0</v>
      </c>
      <c r="AQ36" s="463">
        <f t="shared" ref="AQ36:AQ71" ca="1" si="30">C36*D36*AC36*AG36</f>
        <v>0</v>
      </c>
      <c r="AR36" s="463">
        <f t="shared" ref="AR36:AR71" ca="1" si="31">C36*D36*AH36*AL36</f>
        <v>0</v>
      </c>
      <c r="AS36" s="463">
        <f t="shared" ref="AS36:AS71" ca="1" si="32">C36*FuelGas_H2S/Vstp*M_SO2</f>
        <v>0</v>
      </c>
      <c r="BR36" s="257"/>
      <c r="BS36" s="257"/>
      <c r="BT36" s="257"/>
      <c r="BU36" s="257"/>
      <c r="BV36" s="257"/>
    </row>
    <row r="37" spans="1:74" ht="16.149999999999999" customHeight="1" x14ac:dyDescent="0.35">
      <c r="A37" s="257"/>
      <c r="B37" s="237" t="str">
        <f ca="1">'Translation Table'!H385</f>
        <v>Natural Gas</v>
      </c>
      <c r="C37" s="260">
        <f ca="1">'Setup - Fuel Use'!AM26</f>
        <v>0</v>
      </c>
      <c r="D37" s="470">
        <f t="shared" si="24"/>
        <v>38.464308742</v>
      </c>
      <c r="E37" s="225" t="s">
        <v>580</v>
      </c>
      <c r="F37" s="225" t="s">
        <v>2689</v>
      </c>
      <c r="G37" s="464">
        <f t="shared" si="25"/>
        <v>1.3632111900173735E-2</v>
      </c>
      <c r="H37" s="225" t="s">
        <v>596</v>
      </c>
      <c r="I37" s="225" t="s">
        <v>2689</v>
      </c>
      <c r="J37" s="225" t="str">
        <f ca="1">'Lookup Lists'!B71</f>
        <v>Gas Engine (2-Stroke Lean-Burn)</v>
      </c>
      <c r="K37" s="225">
        <v>99.5</v>
      </c>
      <c r="L37" s="225" t="s">
        <v>596</v>
      </c>
      <c r="M37" s="696" t="s">
        <v>3432</v>
      </c>
      <c r="N37" s="464">
        <v>1.45</v>
      </c>
      <c r="O37" s="225" t="s">
        <v>2283</v>
      </c>
      <c r="P37" s="225" t="s">
        <v>596</v>
      </c>
      <c r="Q37" s="696" t="s">
        <v>3432</v>
      </c>
      <c r="R37" s="237">
        <f>lb_per_mmBTU_to_tonnes_per_GJ</f>
        <v>4.2992258230842723E-4</v>
      </c>
      <c r="S37" s="225">
        <v>0</v>
      </c>
      <c r="T37" s="225" t="s">
        <v>2283</v>
      </c>
      <c r="U37" s="225" t="s">
        <v>596</v>
      </c>
      <c r="V37" s="696" t="s">
        <v>3432</v>
      </c>
      <c r="W37" s="237">
        <f>lb_per_mmBTU_to_tonnes_per_GJ</f>
        <v>4.2992258230842723E-4</v>
      </c>
      <c r="X37" s="225">
        <v>3.17</v>
      </c>
      <c r="Y37" s="225" t="s">
        <v>2283</v>
      </c>
      <c r="Z37" s="225" t="s">
        <v>596</v>
      </c>
      <c r="AA37" s="696" t="s">
        <v>3437</v>
      </c>
      <c r="AB37" s="237">
        <f>lb_per_mmBTU_to_tonnes_per_GJ</f>
        <v>4.2992258230842723E-4</v>
      </c>
      <c r="AC37" s="464">
        <v>0.38600000000000001</v>
      </c>
      <c r="AD37" s="225" t="s">
        <v>2283</v>
      </c>
      <c r="AE37" s="225" t="s">
        <v>596</v>
      </c>
      <c r="AF37" s="225" t="s">
        <v>2681</v>
      </c>
      <c r="AG37" s="237">
        <f>lb_per_mmBTU_to_tonnes_per_GJ</f>
        <v>4.2992258230842723E-4</v>
      </c>
      <c r="AH37" s="225">
        <f>1.64-1.45</f>
        <v>0.18999999999999995</v>
      </c>
      <c r="AI37" s="225" t="s">
        <v>2283</v>
      </c>
      <c r="AJ37" s="225" t="s">
        <v>596</v>
      </c>
      <c r="AK37" s="225" t="s">
        <v>2684</v>
      </c>
      <c r="AL37" s="237">
        <f>lb_per_mmBTU_to_tonnes_per_GJ</f>
        <v>4.2992258230842723E-4</v>
      </c>
      <c r="AM37" s="465">
        <f t="shared" ca="1" si="26"/>
        <v>0</v>
      </c>
      <c r="AN37" s="465">
        <f t="shared" ca="1" si="27"/>
        <v>0</v>
      </c>
      <c r="AO37" s="407">
        <f t="shared" ca="1" si="28"/>
        <v>0</v>
      </c>
      <c r="AP37" s="407">
        <f t="shared" ca="1" si="29"/>
        <v>0</v>
      </c>
      <c r="AQ37" s="407">
        <f t="shared" ca="1" si="30"/>
        <v>0</v>
      </c>
      <c r="AR37" s="407">
        <f t="shared" ca="1" si="31"/>
        <v>0</v>
      </c>
      <c r="AS37" s="407">
        <f t="shared" ca="1" si="32"/>
        <v>0</v>
      </c>
      <c r="BR37" s="257"/>
      <c r="BS37" s="257"/>
      <c r="BT37" s="257"/>
      <c r="BU37" s="257"/>
      <c r="BV37" s="257"/>
    </row>
    <row r="38" spans="1:74" ht="16.149999999999999" customHeight="1" x14ac:dyDescent="0.35">
      <c r="A38" s="257"/>
      <c r="B38" s="238" t="str">
        <f ca="1">'Translation Table'!H385</f>
        <v>Natural Gas</v>
      </c>
      <c r="C38" s="457">
        <f ca="1">'Setup - Fuel Use'!AM27</f>
        <v>0</v>
      </c>
      <c r="D38" s="470">
        <f t="shared" si="24"/>
        <v>38.464308742</v>
      </c>
      <c r="E38" s="225" t="s">
        <v>580</v>
      </c>
      <c r="F38" s="225" t="s">
        <v>2689</v>
      </c>
      <c r="G38" s="464">
        <f t="shared" si="25"/>
        <v>1.3632111900173735E-2</v>
      </c>
      <c r="H38" s="225" t="s">
        <v>596</v>
      </c>
      <c r="I38" s="225" t="s">
        <v>2689</v>
      </c>
      <c r="J38" s="225" t="str">
        <f ca="1">'Lookup Lists'!B72</f>
        <v>Gas Engine (4-Stroke Lean-Burn)</v>
      </c>
      <c r="K38" s="225">
        <v>99.5</v>
      </c>
      <c r="L38" s="225" t="s">
        <v>596</v>
      </c>
      <c r="M38" s="696" t="s">
        <v>3434</v>
      </c>
      <c r="N38" s="464">
        <v>1.25</v>
      </c>
      <c r="O38" s="225" t="s">
        <v>2283</v>
      </c>
      <c r="P38" s="225" t="s">
        <v>596</v>
      </c>
      <c r="Q38" s="696" t="s">
        <v>3434</v>
      </c>
      <c r="R38" s="238">
        <f>lb_per_mmBTU_to_tonnes_per_GJ</f>
        <v>4.2992258230842723E-4</v>
      </c>
      <c r="S38" s="225">
        <v>0</v>
      </c>
      <c r="T38" s="225" t="s">
        <v>2283</v>
      </c>
      <c r="U38" s="225" t="s">
        <v>596</v>
      </c>
      <c r="V38" s="696" t="s">
        <v>3434</v>
      </c>
      <c r="W38" s="238">
        <f>lb_per_mmBTU_to_tonnes_per_GJ</f>
        <v>4.2992258230842723E-4</v>
      </c>
      <c r="X38" s="225">
        <v>4.08</v>
      </c>
      <c r="Y38" s="225" t="s">
        <v>2283</v>
      </c>
      <c r="Z38" s="225" t="s">
        <v>596</v>
      </c>
      <c r="AA38" s="696" t="s">
        <v>3438</v>
      </c>
      <c r="AB38" s="238">
        <f>lb_per_mmBTU_to_tonnes_per_GJ</f>
        <v>4.2992258230842723E-4</v>
      </c>
      <c r="AC38" s="464">
        <v>0.317</v>
      </c>
      <c r="AD38" s="225" t="s">
        <v>2283</v>
      </c>
      <c r="AE38" s="225" t="s">
        <v>596</v>
      </c>
      <c r="AF38" s="225" t="s">
        <v>2682</v>
      </c>
      <c r="AG38" s="238">
        <f>lb_per_mmBTU_to_tonnes_per_GJ</f>
        <v>4.2992258230842723E-4</v>
      </c>
      <c r="AH38" s="225">
        <f>1.47-1.25</f>
        <v>0.21999999999999997</v>
      </c>
      <c r="AI38" s="225" t="s">
        <v>2283</v>
      </c>
      <c r="AJ38" s="225" t="s">
        <v>596</v>
      </c>
      <c r="AK38" s="225" t="s">
        <v>2685</v>
      </c>
      <c r="AL38" s="238">
        <f>lb_per_mmBTU_to_tonnes_per_GJ</f>
        <v>4.2992258230842723E-4</v>
      </c>
      <c r="AM38" s="462">
        <f t="shared" ca="1" si="26"/>
        <v>0</v>
      </c>
      <c r="AN38" s="462">
        <f t="shared" ca="1" si="27"/>
        <v>0</v>
      </c>
      <c r="AO38" s="463">
        <f t="shared" ca="1" si="28"/>
        <v>0</v>
      </c>
      <c r="AP38" s="463">
        <f t="shared" ca="1" si="29"/>
        <v>0</v>
      </c>
      <c r="AQ38" s="463">
        <f t="shared" ca="1" si="30"/>
        <v>0</v>
      </c>
      <c r="AR38" s="463">
        <f t="shared" ca="1" si="31"/>
        <v>0</v>
      </c>
      <c r="AS38" s="463">
        <f t="shared" ca="1" si="32"/>
        <v>0</v>
      </c>
      <c r="BR38" s="257"/>
      <c r="BS38" s="257"/>
      <c r="BT38" s="257"/>
      <c r="BU38" s="257"/>
      <c r="BV38" s="257"/>
    </row>
    <row r="39" spans="1:74" ht="16.149999999999999" customHeight="1" x14ac:dyDescent="0.35">
      <c r="A39" s="257"/>
      <c r="B39" s="237" t="str">
        <f ca="1">'Translation Table'!H385</f>
        <v>Natural Gas</v>
      </c>
      <c r="C39" s="260">
        <f ca="1">'Setup - Fuel Use'!AM28</f>
        <v>0</v>
      </c>
      <c r="D39" s="470">
        <f t="shared" si="24"/>
        <v>38.464308742</v>
      </c>
      <c r="E39" s="225" t="s">
        <v>580</v>
      </c>
      <c r="F39" s="225" t="s">
        <v>2689</v>
      </c>
      <c r="G39" s="464">
        <f t="shared" si="25"/>
        <v>1.3632111900173735E-2</v>
      </c>
      <c r="H39" s="225" t="s">
        <v>596</v>
      </c>
      <c r="I39" s="225" t="s">
        <v>2689</v>
      </c>
      <c r="J39" s="225" t="str">
        <f ca="1">'Lookup Lists'!B73</f>
        <v>Gas Engine (4-Stroke Rich-Burn)</v>
      </c>
      <c r="K39" s="225">
        <v>99.5</v>
      </c>
      <c r="L39" s="225" t="s">
        <v>596</v>
      </c>
      <c r="M39" s="696" t="s">
        <v>3435</v>
      </c>
      <c r="N39" s="464">
        <v>0.23</v>
      </c>
      <c r="O39" s="225" t="s">
        <v>2283</v>
      </c>
      <c r="P39" s="225" t="s">
        <v>596</v>
      </c>
      <c r="Q39" s="696" t="s">
        <v>3435</v>
      </c>
      <c r="R39" s="237">
        <f>lb_per_mmBTU_to_tonnes_per_GJ</f>
        <v>4.2992258230842723E-4</v>
      </c>
      <c r="S39" s="225">
        <v>0</v>
      </c>
      <c r="T39" s="225" t="s">
        <v>2283</v>
      </c>
      <c r="U39" s="225" t="s">
        <v>596</v>
      </c>
      <c r="V39" s="696" t="s">
        <v>3435</v>
      </c>
      <c r="W39" s="237">
        <f>lb_per_mmBTU_to_tonnes_per_GJ</f>
        <v>4.2992258230842723E-4</v>
      </c>
      <c r="X39" s="225">
        <v>2.21</v>
      </c>
      <c r="Y39" s="225" t="s">
        <v>2283</v>
      </c>
      <c r="Z39" s="225" t="s">
        <v>596</v>
      </c>
      <c r="AA39" s="696" t="s">
        <v>3439</v>
      </c>
      <c r="AB39" s="237">
        <f>lb_per_mmBTU_to_tonnes_per_GJ</f>
        <v>4.2992258230842723E-4</v>
      </c>
      <c r="AC39" s="225">
        <v>3.51</v>
      </c>
      <c r="AD39" s="225" t="s">
        <v>2283</v>
      </c>
      <c r="AE39" s="225" t="s">
        <v>596</v>
      </c>
      <c r="AF39" s="225" t="s">
        <v>2683</v>
      </c>
      <c r="AG39" s="237">
        <f>lb_per_mmBTU_to_tonnes_per_GJ</f>
        <v>4.2992258230842723E-4</v>
      </c>
      <c r="AH39" s="225">
        <f>0.3581-0.23</f>
        <v>0.12809999999999996</v>
      </c>
      <c r="AI39" s="225" t="s">
        <v>2283</v>
      </c>
      <c r="AJ39" s="225" t="s">
        <v>596</v>
      </c>
      <c r="AK39" s="225" t="s">
        <v>2686</v>
      </c>
      <c r="AL39" s="237">
        <f>lb_per_mmBTU_to_tonnes_per_GJ</f>
        <v>4.2992258230842723E-4</v>
      </c>
      <c r="AM39" s="465">
        <f t="shared" ca="1" si="26"/>
        <v>0</v>
      </c>
      <c r="AN39" s="465">
        <f t="shared" ca="1" si="27"/>
        <v>0</v>
      </c>
      <c r="AO39" s="407">
        <f t="shared" ca="1" si="28"/>
        <v>0</v>
      </c>
      <c r="AP39" s="407">
        <f t="shared" ca="1" si="29"/>
        <v>0</v>
      </c>
      <c r="AQ39" s="407">
        <f t="shared" ca="1" si="30"/>
        <v>0</v>
      </c>
      <c r="AR39" s="407">
        <f t="shared" ca="1" si="31"/>
        <v>0</v>
      </c>
      <c r="AS39" s="407">
        <f t="shared" ca="1" si="32"/>
        <v>0</v>
      </c>
      <c r="BR39" s="257"/>
      <c r="BS39" s="257"/>
      <c r="BT39" s="257"/>
      <c r="BU39" s="257"/>
      <c r="BV39" s="257"/>
    </row>
    <row r="40" spans="1:74" ht="16.149999999999999" customHeight="1" x14ac:dyDescent="0.35">
      <c r="A40" s="257"/>
      <c r="B40" s="238" t="str">
        <f ca="1">'Translation Table'!H385</f>
        <v>Natural Gas</v>
      </c>
      <c r="C40" s="457">
        <f ca="1">'Setup - Fuel Use'!AM29</f>
        <v>0</v>
      </c>
      <c r="D40" s="470">
        <f t="shared" si="24"/>
        <v>38.464308742</v>
      </c>
      <c r="E40" s="225" t="s">
        <v>580</v>
      </c>
      <c r="F40" s="225" t="s">
        <v>2689</v>
      </c>
      <c r="G40" s="464">
        <f t="shared" si="25"/>
        <v>1.3632111900173735E-2</v>
      </c>
      <c r="H40" s="225" t="s">
        <v>596</v>
      </c>
      <c r="I40" s="225" t="s">
        <v>2689</v>
      </c>
      <c r="J40" s="225" t="str">
        <f ca="1">'Lookup Lists'!B74</f>
        <v>Heaters &amp; Boilers</v>
      </c>
      <c r="K40" s="225">
        <v>100</v>
      </c>
      <c r="L40" s="225" t="s">
        <v>596</v>
      </c>
      <c r="M40" s="696" t="s">
        <v>3436</v>
      </c>
      <c r="N40" s="464">
        <v>2.2999999999999998</v>
      </c>
      <c r="O40" s="225" t="s">
        <v>2284</v>
      </c>
      <c r="P40" s="225" t="s">
        <v>596</v>
      </c>
      <c r="Q40" s="696" t="s">
        <v>3436</v>
      </c>
      <c r="R40" s="238">
        <f>lb_per_mmscf_to_tonne_per_E3m3</f>
        <v>1.6018462505539988E-5</v>
      </c>
      <c r="S40" s="225">
        <v>2.2000000000000002</v>
      </c>
      <c r="T40" s="225" t="s">
        <v>2284</v>
      </c>
      <c r="U40" s="225" t="s">
        <v>596</v>
      </c>
      <c r="V40" s="696" t="s">
        <v>3436</v>
      </c>
      <c r="W40" s="238">
        <f>lb_per_mmscf_to_tonne_per_E3m3</f>
        <v>1.6018462505539988E-5</v>
      </c>
      <c r="X40" s="225">
        <v>280</v>
      </c>
      <c r="Y40" s="225" t="s">
        <v>2284</v>
      </c>
      <c r="Z40" s="225" t="s">
        <v>596</v>
      </c>
      <c r="AA40" s="225" t="s">
        <v>2687</v>
      </c>
      <c r="AB40" s="238">
        <f>lb_per_mmscf_to_tonne_per_E3m3</f>
        <v>1.6018462505539988E-5</v>
      </c>
      <c r="AC40" s="225">
        <v>84</v>
      </c>
      <c r="AD40" s="225" t="s">
        <v>2284</v>
      </c>
      <c r="AE40" s="225" t="s">
        <v>596</v>
      </c>
      <c r="AF40" s="225" t="s">
        <v>2687</v>
      </c>
      <c r="AG40" s="238">
        <f>lb_per_mmscf_to_tonne_per_E3m3</f>
        <v>1.6018462505539988E-5</v>
      </c>
      <c r="AH40" s="225">
        <f>11-2.3</f>
        <v>8.6999999999999993</v>
      </c>
      <c r="AI40" s="225" t="s">
        <v>2284</v>
      </c>
      <c r="AJ40" s="225" t="s">
        <v>596</v>
      </c>
      <c r="AK40" s="225" t="s">
        <v>2691</v>
      </c>
      <c r="AL40" s="238">
        <f>lb_per_mmscf_to_tonne_per_E3m3</f>
        <v>1.6018462505539988E-5</v>
      </c>
      <c r="AM40" s="462">
        <f t="shared" ca="1" si="26"/>
        <v>0</v>
      </c>
      <c r="AN40" s="462">
        <f t="shared" ca="1" si="27"/>
        <v>0</v>
      </c>
      <c r="AO40" s="463">
        <f t="shared" ca="1" si="28"/>
        <v>0</v>
      </c>
      <c r="AP40" s="463">
        <f t="shared" ca="1" si="29"/>
        <v>0</v>
      </c>
      <c r="AQ40" s="463">
        <f t="shared" ca="1" si="30"/>
        <v>0</v>
      </c>
      <c r="AR40" s="463">
        <f t="shared" ca="1" si="31"/>
        <v>0</v>
      </c>
      <c r="AS40" s="463">
        <f t="shared" ca="1" si="32"/>
        <v>0</v>
      </c>
      <c r="BR40" s="257"/>
      <c r="BS40" s="257"/>
      <c r="BT40" s="257"/>
      <c r="BU40" s="257"/>
      <c r="BV40" s="257"/>
    </row>
    <row r="41" spans="1:74" ht="16.149999999999999" customHeight="1" x14ac:dyDescent="0.35">
      <c r="A41" s="257"/>
      <c r="B41" s="237" t="str">
        <f ca="1">'Translation Table'!H385</f>
        <v>Natural Gas</v>
      </c>
      <c r="C41" s="260">
        <f ca="1">'Setup - Fuel Use'!AM30</f>
        <v>0</v>
      </c>
      <c r="D41" s="470">
        <f t="shared" si="24"/>
        <v>38.464308742</v>
      </c>
      <c r="E41" s="225" t="s">
        <v>580</v>
      </c>
      <c r="F41" s="225" t="s">
        <v>2689</v>
      </c>
      <c r="G41" s="464">
        <f t="shared" si="25"/>
        <v>1.3632111900173735E-2</v>
      </c>
      <c r="H41" s="225" t="s">
        <v>596</v>
      </c>
      <c r="I41" s="225" t="s">
        <v>2689</v>
      </c>
      <c r="J41" s="225" t="str">
        <f ca="1">'Lookup Lists'!B75</f>
        <v>Heaters &amp; Boilers (Low-NOx)</v>
      </c>
      <c r="K41" s="225">
        <v>100</v>
      </c>
      <c r="L41" s="225" t="s">
        <v>596</v>
      </c>
      <c r="M41" s="696" t="s">
        <v>3436</v>
      </c>
      <c r="N41" s="464">
        <v>2.2999999999999998</v>
      </c>
      <c r="O41" s="225" t="s">
        <v>2284</v>
      </c>
      <c r="P41" s="225" t="s">
        <v>596</v>
      </c>
      <c r="Q41" s="696" t="s">
        <v>3436</v>
      </c>
      <c r="R41" s="237">
        <f>lb_per_mmscf_to_tonne_per_E3m3</f>
        <v>1.6018462505539988E-5</v>
      </c>
      <c r="S41" s="225">
        <v>0.64</v>
      </c>
      <c r="T41" s="225" t="s">
        <v>2284</v>
      </c>
      <c r="U41" s="225" t="s">
        <v>596</v>
      </c>
      <c r="V41" s="696" t="s">
        <v>3436</v>
      </c>
      <c r="W41" s="237">
        <f>lb_per_mmscf_to_tonne_per_E3m3</f>
        <v>1.6018462505539988E-5</v>
      </c>
      <c r="X41" s="225">
        <v>140</v>
      </c>
      <c r="Y41" s="225" t="s">
        <v>2284</v>
      </c>
      <c r="Z41" s="225" t="s">
        <v>596</v>
      </c>
      <c r="AA41" s="225" t="s">
        <v>2690</v>
      </c>
      <c r="AB41" s="237">
        <f>lb_per_mmscf_to_tonne_per_E3m3</f>
        <v>1.6018462505539988E-5</v>
      </c>
      <c r="AC41" s="225">
        <v>84</v>
      </c>
      <c r="AD41" s="225" t="s">
        <v>2284</v>
      </c>
      <c r="AE41" s="225" t="s">
        <v>596</v>
      </c>
      <c r="AF41" s="225" t="s">
        <v>2690</v>
      </c>
      <c r="AG41" s="237">
        <f>lb_per_mmscf_to_tonne_per_E3m3</f>
        <v>1.6018462505539988E-5</v>
      </c>
      <c r="AH41" s="225">
        <f>11-2.3</f>
        <v>8.6999999999999993</v>
      </c>
      <c r="AI41" s="225" t="s">
        <v>2284</v>
      </c>
      <c r="AJ41" s="225" t="s">
        <v>596</v>
      </c>
      <c r="AK41" s="225" t="s">
        <v>2691</v>
      </c>
      <c r="AL41" s="237">
        <f>lb_per_mmscf_to_tonne_per_E3m3</f>
        <v>1.6018462505539988E-5</v>
      </c>
      <c r="AM41" s="465">
        <f t="shared" ca="1" si="26"/>
        <v>0</v>
      </c>
      <c r="AN41" s="465">
        <f t="shared" ca="1" si="27"/>
        <v>0</v>
      </c>
      <c r="AO41" s="407">
        <f t="shared" ca="1" si="28"/>
        <v>0</v>
      </c>
      <c r="AP41" s="407">
        <f t="shared" ca="1" si="29"/>
        <v>0</v>
      </c>
      <c r="AQ41" s="407">
        <f t="shared" ca="1" si="30"/>
        <v>0</v>
      </c>
      <c r="AR41" s="407">
        <f t="shared" ca="1" si="31"/>
        <v>0</v>
      </c>
      <c r="AS41" s="407">
        <f t="shared" ca="1" si="32"/>
        <v>0</v>
      </c>
      <c r="BR41" s="257"/>
      <c r="BS41" s="257"/>
      <c r="BT41" s="257"/>
      <c r="BU41" s="257"/>
      <c r="BV41" s="257"/>
    </row>
    <row r="42" spans="1:74" ht="16.149999999999999" customHeight="1" x14ac:dyDescent="0.35">
      <c r="A42" s="257"/>
      <c r="B42" s="238" t="str">
        <f ca="1">'Translation Table'!H386</f>
        <v>Coke Oven Gas</v>
      </c>
      <c r="C42" s="457"/>
      <c r="D42" s="470">
        <f>0.000599*1055.056/0.02831685*(Constants!B$34/101.325)*(288.15/(273.15+Constants!B$33))</f>
        <v>22.318108970453991</v>
      </c>
      <c r="E42" s="225" t="s">
        <v>596</v>
      </c>
      <c r="F42" s="225" t="s">
        <v>2291</v>
      </c>
      <c r="G42" s="464">
        <f t="shared" ref="G42:G47" si="33">0.02806/44*12/0.02831685/D42</f>
        <v>1.2109156782903805E-2</v>
      </c>
      <c r="H42" s="225" t="s">
        <v>596</v>
      </c>
      <c r="I42" s="225" t="s">
        <v>2291</v>
      </c>
      <c r="J42" s="225" t="str">
        <f ca="1">'Lookup Lists'!B70</f>
        <v>Turbine</v>
      </c>
      <c r="K42" s="225">
        <v>99.5</v>
      </c>
      <c r="L42" s="225" t="s">
        <v>596</v>
      </c>
      <c r="M42" s="225" t="s">
        <v>2272</v>
      </c>
      <c r="N42" s="464">
        <v>8.6E-3</v>
      </c>
      <c r="O42" s="225" t="s">
        <v>2283</v>
      </c>
      <c r="P42" s="225" t="s">
        <v>596</v>
      </c>
      <c r="Q42" s="225" t="s">
        <v>2272</v>
      </c>
      <c r="R42" s="238">
        <f>lb_per_mmBTU_to_tonnes_per_GJ</f>
        <v>4.2992258230842723E-4</v>
      </c>
      <c r="S42" s="225">
        <v>3.0000000000000001E-3</v>
      </c>
      <c r="T42" s="225" t="s">
        <v>2283</v>
      </c>
      <c r="U42" s="225" t="s">
        <v>596</v>
      </c>
      <c r="V42" s="225" t="s">
        <v>2272</v>
      </c>
      <c r="W42" s="238">
        <f>lb_per_mmBTU_to_tonnes_per_GJ</f>
        <v>4.2992258230842723E-4</v>
      </c>
      <c r="X42" s="225">
        <v>0.32</v>
      </c>
      <c r="Y42" s="225" t="s">
        <v>2283</v>
      </c>
      <c r="Z42" s="225" t="s">
        <v>596</v>
      </c>
      <c r="AA42" s="225" t="s">
        <v>2601</v>
      </c>
      <c r="AB42" s="238">
        <f>lb_per_mmBTU_to_tonnes_per_GJ</f>
        <v>4.2992258230842723E-4</v>
      </c>
      <c r="AC42" s="225">
        <v>8.2000000000000003E-2</v>
      </c>
      <c r="AD42" s="225" t="s">
        <v>2283</v>
      </c>
      <c r="AE42" s="225" t="s">
        <v>596</v>
      </c>
      <c r="AF42" s="225" t="s">
        <v>2601</v>
      </c>
      <c r="AG42" s="238">
        <f>lb_per_mmBTU_to_tonnes_per_GJ</f>
        <v>4.2992258230842723E-4</v>
      </c>
      <c r="AH42" s="225">
        <f>0.011-0.0086</f>
        <v>2.3999999999999994E-3</v>
      </c>
      <c r="AI42" s="225" t="s">
        <v>2283</v>
      </c>
      <c r="AJ42" s="225" t="s">
        <v>596</v>
      </c>
      <c r="AK42" s="225" t="s">
        <v>2602</v>
      </c>
      <c r="AL42" s="238">
        <f>lb_per_mmBTU_to_tonnes_per_GJ</f>
        <v>4.2992258230842723E-4</v>
      </c>
      <c r="AM42" s="462">
        <f t="shared" si="26"/>
        <v>0</v>
      </c>
      <c r="AN42" s="462">
        <f t="shared" si="27"/>
        <v>0</v>
      </c>
      <c r="AO42" s="463">
        <f t="shared" si="28"/>
        <v>0</v>
      </c>
      <c r="AP42" s="463">
        <f t="shared" si="29"/>
        <v>0</v>
      </c>
      <c r="AQ42" s="463">
        <f t="shared" si="30"/>
        <v>0</v>
      </c>
      <c r="AR42" s="463">
        <f t="shared" si="31"/>
        <v>0</v>
      </c>
      <c r="AS42" s="463">
        <f t="shared" si="32"/>
        <v>0</v>
      </c>
      <c r="BR42" s="257"/>
      <c r="BS42" s="257"/>
      <c r="BT42" s="257"/>
      <c r="BU42" s="257"/>
      <c r="BV42" s="257"/>
    </row>
    <row r="43" spans="1:74" ht="16.149999999999999" customHeight="1" x14ac:dyDescent="0.35">
      <c r="A43" s="257"/>
      <c r="B43" s="237" t="str">
        <f ca="1">'Translation Table'!H386</f>
        <v>Coke Oven Gas</v>
      </c>
      <c r="C43" s="260"/>
      <c r="D43" s="470">
        <f>0.000599*1055.056/0.02831685*(Constants!B$34/101.325)*(288.15/(273.15+Constants!B$33))</f>
        <v>22.318108970453991</v>
      </c>
      <c r="E43" s="225" t="s">
        <v>596</v>
      </c>
      <c r="F43" s="225" t="s">
        <v>2291</v>
      </c>
      <c r="G43" s="464">
        <f t="shared" si="33"/>
        <v>1.2109156782903805E-2</v>
      </c>
      <c r="H43" s="225" t="s">
        <v>596</v>
      </c>
      <c r="I43" s="225" t="s">
        <v>2291</v>
      </c>
      <c r="J43" s="225" t="str">
        <f ca="1">'Lookup Lists'!B71</f>
        <v>Gas Engine (2-Stroke Lean-Burn)</v>
      </c>
      <c r="K43" s="225">
        <v>99.5</v>
      </c>
      <c r="L43" s="225" t="s">
        <v>596</v>
      </c>
      <c r="M43" s="225" t="s">
        <v>2275</v>
      </c>
      <c r="N43" s="464">
        <v>1.45</v>
      </c>
      <c r="O43" s="225" t="s">
        <v>2283</v>
      </c>
      <c r="P43" s="225" t="s">
        <v>596</v>
      </c>
      <c r="Q43" s="225" t="s">
        <v>2275</v>
      </c>
      <c r="R43" s="237">
        <f>lb_per_mmBTU_to_tonnes_per_GJ</f>
        <v>4.2992258230842723E-4</v>
      </c>
      <c r="S43" s="225">
        <v>0</v>
      </c>
      <c r="T43" s="225" t="s">
        <v>2283</v>
      </c>
      <c r="U43" s="225" t="s">
        <v>596</v>
      </c>
      <c r="V43" s="225" t="s">
        <v>2275</v>
      </c>
      <c r="W43" s="237">
        <f>lb_per_mmBTU_to_tonnes_per_GJ</f>
        <v>4.2992258230842723E-4</v>
      </c>
      <c r="X43" s="225">
        <v>3.17</v>
      </c>
      <c r="Y43" s="225" t="s">
        <v>2283</v>
      </c>
      <c r="Z43" s="225" t="s">
        <v>596</v>
      </c>
      <c r="AA43" s="225" t="s">
        <v>2681</v>
      </c>
      <c r="AB43" s="237">
        <f>lb_per_mmBTU_to_tonnes_per_GJ</f>
        <v>4.2992258230842723E-4</v>
      </c>
      <c r="AC43" s="464">
        <v>0.38600000000000001</v>
      </c>
      <c r="AD43" s="225" t="s">
        <v>2283</v>
      </c>
      <c r="AE43" s="225" t="s">
        <v>596</v>
      </c>
      <c r="AF43" s="225" t="s">
        <v>2681</v>
      </c>
      <c r="AG43" s="237">
        <f>lb_per_mmBTU_to_tonnes_per_GJ</f>
        <v>4.2992258230842723E-4</v>
      </c>
      <c r="AH43" s="464">
        <f>1.64-N43</f>
        <v>0.18999999999999995</v>
      </c>
      <c r="AI43" s="225" t="s">
        <v>2283</v>
      </c>
      <c r="AJ43" s="225" t="s">
        <v>596</v>
      </c>
      <c r="AK43" s="225" t="s">
        <v>2684</v>
      </c>
      <c r="AL43" s="237">
        <f>lb_per_mmBTU_to_tonnes_per_GJ</f>
        <v>4.2992258230842723E-4</v>
      </c>
      <c r="AM43" s="465">
        <f t="shared" si="26"/>
        <v>0</v>
      </c>
      <c r="AN43" s="465">
        <f t="shared" si="27"/>
        <v>0</v>
      </c>
      <c r="AO43" s="407">
        <f t="shared" si="28"/>
        <v>0</v>
      </c>
      <c r="AP43" s="407">
        <f t="shared" si="29"/>
        <v>0</v>
      </c>
      <c r="AQ43" s="407">
        <f t="shared" si="30"/>
        <v>0</v>
      </c>
      <c r="AR43" s="407">
        <f t="shared" si="31"/>
        <v>0</v>
      </c>
      <c r="AS43" s="407">
        <f t="shared" si="32"/>
        <v>0</v>
      </c>
      <c r="BR43" s="257"/>
      <c r="BS43" s="257"/>
      <c r="BT43" s="257"/>
      <c r="BU43" s="257"/>
      <c r="BV43" s="257"/>
    </row>
    <row r="44" spans="1:74" ht="16.149999999999999" customHeight="1" x14ac:dyDescent="0.35">
      <c r="A44" s="257"/>
      <c r="B44" s="238" t="str">
        <f ca="1">'Translation Table'!H386</f>
        <v>Coke Oven Gas</v>
      </c>
      <c r="C44" s="457"/>
      <c r="D44" s="470">
        <f>0.000599*1055.056/0.02831685*(Constants!B$34/101.325)*(288.15/(273.15+Constants!B$33))</f>
        <v>22.318108970453991</v>
      </c>
      <c r="E44" s="225" t="s">
        <v>596</v>
      </c>
      <c r="F44" s="225" t="s">
        <v>2291</v>
      </c>
      <c r="G44" s="464">
        <f t="shared" si="33"/>
        <v>1.2109156782903805E-2</v>
      </c>
      <c r="H44" s="225" t="s">
        <v>596</v>
      </c>
      <c r="I44" s="225" t="s">
        <v>2291</v>
      </c>
      <c r="J44" s="225" t="str">
        <f ca="1">'Lookup Lists'!B72</f>
        <v>Gas Engine (4-Stroke Lean-Burn)</v>
      </c>
      <c r="K44" s="225">
        <v>99.5</v>
      </c>
      <c r="L44" s="225" t="s">
        <v>596</v>
      </c>
      <c r="M44" s="225" t="s">
        <v>2276</v>
      </c>
      <c r="N44" s="464">
        <v>1.25</v>
      </c>
      <c r="O44" s="225" t="s">
        <v>2283</v>
      </c>
      <c r="P44" s="225" t="s">
        <v>596</v>
      </c>
      <c r="Q44" s="225" t="s">
        <v>2276</v>
      </c>
      <c r="R44" s="238">
        <f>lb_per_mmBTU_to_tonnes_per_GJ</f>
        <v>4.2992258230842723E-4</v>
      </c>
      <c r="S44" s="225">
        <v>0</v>
      </c>
      <c r="T44" s="225" t="s">
        <v>2283</v>
      </c>
      <c r="U44" s="225" t="s">
        <v>596</v>
      </c>
      <c r="V44" s="225" t="s">
        <v>2276</v>
      </c>
      <c r="W44" s="238">
        <f>lb_per_mmBTU_to_tonnes_per_GJ</f>
        <v>4.2992258230842723E-4</v>
      </c>
      <c r="X44" s="225">
        <v>4.08</v>
      </c>
      <c r="Y44" s="225" t="s">
        <v>2283</v>
      </c>
      <c r="Z44" s="225" t="s">
        <v>596</v>
      </c>
      <c r="AA44" s="225" t="s">
        <v>2682</v>
      </c>
      <c r="AB44" s="238">
        <f>lb_per_mmBTU_to_tonnes_per_GJ</f>
        <v>4.2992258230842723E-4</v>
      </c>
      <c r="AC44" s="464">
        <v>0.317</v>
      </c>
      <c r="AD44" s="225" t="s">
        <v>2283</v>
      </c>
      <c r="AE44" s="225" t="s">
        <v>596</v>
      </c>
      <c r="AF44" s="225" t="s">
        <v>2682</v>
      </c>
      <c r="AG44" s="238">
        <f>lb_per_mmBTU_to_tonnes_per_GJ</f>
        <v>4.2992258230842723E-4</v>
      </c>
      <c r="AH44" s="464">
        <f>1.47-N44</f>
        <v>0.21999999999999997</v>
      </c>
      <c r="AI44" s="225" t="s">
        <v>2283</v>
      </c>
      <c r="AJ44" s="225" t="s">
        <v>596</v>
      </c>
      <c r="AK44" s="225" t="s">
        <v>2685</v>
      </c>
      <c r="AL44" s="238">
        <f>lb_per_mmBTU_to_tonnes_per_GJ</f>
        <v>4.2992258230842723E-4</v>
      </c>
      <c r="AM44" s="462">
        <f t="shared" si="26"/>
        <v>0</v>
      </c>
      <c r="AN44" s="462">
        <f t="shared" si="27"/>
        <v>0</v>
      </c>
      <c r="AO44" s="463">
        <f t="shared" si="28"/>
        <v>0</v>
      </c>
      <c r="AP44" s="463">
        <f t="shared" si="29"/>
        <v>0</v>
      </c>
      <c r="AQ44" s="463">
        <f t="shared" si="30"/>
        <v>0</v>
      </c>
      <c r="AR44" s="463">
        <f t="shared" si="31"/>
        <v>0</v>
      </c>
      <c r="AS44" s="463">
        <f t="shared" si="32"/>
        <v>0</v>
      </c>
      <c r="BR44" s="257"/>
      <c r="BS44" s="257"/>
      <c r="BT44" s="257"/>
      <c r="BU44" s="257"/>
      <c r="BV44" s="257"/>
    </row>
    <row r="45" spans="1:74" ht="16.149999999999999" customHeight="1" x14ac:dyDescent="0.35">
      <c r="A45" s="257"/>
      <c r="B45" s="237" t="str">
        <f ca="1">'Translation Table'!H386</f>
        <v>Coke Oven Gas</v>
      </c>
      <c r="C45" s="260"/>
      <c r="D45" s="470">
        <f>0.000599*1055.056/0.02831685*(Constants!B$34/101.325)*(288.15/(273.15+Constants!B$33))</f>
        <v>22.318108970453991</v>
      </c>
      <c r="E45" s="225" t="s">
        <v>596</v>
      </c>
      <c r="F45" s="225" t="s">
        <v>2291</v>
      </c>
      <c r="G45" s="464">
        <f t="shared" si="33"/>
        <v>1.2109156782903805E-2</v>
      </c>
      <c r="H45" s="225" t="s">
        <v>596</v>
      </c>
      <c r="I45" s="225" t="s">
        <v>2291</v>
      </c>
      <c r="J45" s="225" t="str">
        <f ca="1">'Lookup Lists'!B73</f>
        <v>Gas Engine (4-Stroke Rich-Burn)</v>
      </c>
      <c r="K45" s="225">
        <v>99.5</v>
      </c>
      <c r="L45" s="225" t="s">
        <v>596</v>
      </c>
      <c r="M45" s="225" t="s">
        <v>2277</v>
      </c>
      <c r="N45" s="464">
        <v>0.23</v>
      </c>
      <c r="O45" s="225" t="s">
        <v>2283</v>
      </c>
      <c r="P45" s="225" t="s">
        <v>596</v>
      </c>
      <c r="Q45" s="225" t="s">
        <v>2277</v>
      </c>
      <c r="R45" s="237">
        <f>lb_per_mmBTU_to_tonnes_per_GJ</f>
        <v>4.2992258230842723E-4</v>
      </c>
      <c r="S45" s="225">
        <v>0</v>
      </c>
      <c r="T45" s="225" t="s">
        <v>2283</v>
      </c>
      <c r="U45" s="225" t="s">
        <v>596</v>
      </c>
      <c r="V45" s="225" t="s">
        <v>2277</v>
      </c>
      <c r="W45" s="237">
        <f>lb_per_mmBTU_to_tonnes_per_GJ</f>
        <v>4.2992258230842723E-4</v>
      </c>
      <c r="X45" s="225">
        <v>2.21</v>
      </c>
      <c r="Y45" s="225" t="s">
        <v>2283</v>
      </c>
      <c r="Z45" s="225" t="s">
        <v>596</v>
      </c>
      <c r="AA45" s="225" t="s">
        <v>2683</v>
      </c>
      <c r="AB45" s="237">
        <f>lb_per_mmBTU_to_tonnes_per_GJ</f>
        <v>4.2992258230842723E-4</v>
      </c>
      <c r="AC45" s="225">
        <v>3.51</v>
      </c>
      <c r="AD45" s="225" t="s">
        <v>2283</v>
      </c>
      <c r="AE45" s="225" t="s">
        <v>596</v>
      </c>
      <c r="AF45" s="225" t="s">
        <v>2683</v>
      </c>
      <c r="AG45" s="237">
        <f>lb_per_mmBTU_to_tonnes_per_GJ</f>
        <v>4.2992258230842723E-4</v>
      </c>
      <c r="AH45" s="225">
        <f>0.3581-0.23</f>
        <v>0.12809999999999996</v>
      </c>
      <c r="AI45" s="225" t="s">
        <v>2283</v>
      </c>
      <c r="AJ45" s="225" t="s">
        <v>596</v>
      </c>
      <c r="AK45" s="225" t="s">
        <v>2686</v>
      </c>
      <c r="AL45" s="237">
        <f>lb_per_mmBTU_to_tonnes_per_GJ</f>
        <v>4.2992258230842723E-4</v>
      </c>
      <c r="AM45" s="465">
        <f t="shared" si="26"/>
        <v>0</v>
      </c>
      <c r="AN45" s="465">
        <f t="shared" si="27"/>
        <v>0</v>
      </c>
      <c r="AO45" s="407">
        <f t="shared" si="28"/>
        <v>0</v>
      </c>
      <c r="AP45" s="407">
        <f t="shared" si="29"/>
        <v>0</v>
      </c>
      <c r="AQ45" s="407">
        <f t="shared" si="30"/>
        <v>0</v>
      </c>
      <c r="AR45" s="407">
        <f t="shared" si="31"/>
        <v>0</v>
      </c>
      <c r="AS45" s="407">
        <f t="shared" si="32"/>
        <v>0</v>
      </c>
      <c r="BR45" s="257"/>
      <c r="BS45" s="257"/>
      <c r="BT45" s="257"/>
      <c r="BU45" s="257"/>
      <c r="BV45" s="257"/>
    </row>
    <row r="46" spans="1:74" ht="16.149999999999999" customHeight="1" x14ac:dyDescent="0.35">
      <c r="A46" s="257"/>
      <c r="B46" s="238" t="str">
        <f ca="1">'Translation Table'!H386</f>
        <v>Coke Oven Gas</v>
      </c>
      <c r="C46" s="457"/>
      <c r="D46" s="470">
        <f>0.000599*1055.056/0.02831685*(Constants!B$34/101.325)*(288.15/(273.15+Constants!B$33))</f>
        <v>22.318108970453991</v>
      </c>
      <c r="E46" s="225" t="s">
        <v>596</v>
      </c>
      <c r="F46" s="225" t="s">
        <v>2291</v>
      </c>
      <c r="G46" s="464">
        <f t="shared" si="33"/>
        <v>1.2109156782903805E-2</v>
      </c>
      <c r="H46" s="225" t="s">
        <v>596</v>
      </c>
      <c r="I46" s="225" t="s">
        <v>2291</v>
      </c>
      <c r="J46" s="225" t="str">
        <f ca="1">'Lookup Lists'!B74</f>
        <v>Heaters &amp; Boilers</v>
      </c>
      <c r="K46" s="225">
        <v>100</v>
      </c>
      <c r="L46" s="225" t="s">
        <v>596</v>
      </c>
      <c r="M46" s="225" t="s">
        <v>2281</v>
      </c>
      <c r="N46" s="464">
        <v>2.2999999999999998</v>
      </c>
      <c r="O46" s="225" t="s">
        <v>2284</v>
      </c>
      <c r="P46" s="225" t="s">
        <v>596</v>
      </c>
      <c r="Q46" s="225" t="s">
        <v>2281</v>
      </c>
      <c r="R46" s="238">
        <f>lb_per_mmscf_to_tonne_per_E3m3</f>
        <v>1.6018462505539988E-5</v>
      </c>
      <c r="S46" s="225">
        <v>2.2000000000000002</v>
      </c>
      <c r="T46" s="225" t="s">
        <v>2284</v>
      </c>
      <c r="U46" s="225" t="s">
        <v>596</v>
      </c>
      <c r="V46" s="225" t="s">
        <v>2281</v>
      </c>
      <c r="W46" s="238">
        <f>lb_per_mmscf_to_tonne_per_E3m3</f>
        <v>1.6018462505539988E-5</v>
      </c>
      <c r="X46" s="225">
        <v>280</v>
      </c>
      <c r="Y46" s="225" t="s">
        <v>2284</v>
      </c>
      <c r="Z46" s="225" t="s">
        <v>596</v>
      </c>
      <c r="AA46" s="225" t="s">
        <v>2687</v>
      </c>
      <c r="AB46" s="238">
        <f>lb_per_mmscf_to_tonne_per_E3m3</f>
        <v>1.6018462505539988E-5</v>
      </c>
      <c r="AC46" s="225">
        <v>84</v>
      </c>
      <c r="AD46" s="225" t="s">
        <v>2284</v>
      </c>
      <c r="AE46" s="225" t="s">
        <v>596</v>
      </c>
      <c r="AF46" s="225" t="s">
        <v>2687</v>
      </c>
      <c r="AG46" s="238">
        <f>lb_per_mmscf_to_tonne_per_E3m3</f>
        <v>1.6018462505539988E-5</v>
      </c>
      <c r="AH46" s="225">
        <f>11-2.3</f>
        <v>8.6999999999999993</v>
      </c>
      <c r="AI46" s="225" t="s">
        <v>2284</v>
      </c>
      <c r="AJ46" s="225" t="s">
        <v>596</v>
      </c>
      <c r="AK46" s="225" t="s">
        <v>2691</v>
      </c>
      <c r="AL46" s="238">
        <f>lb_per_mmscf_to_tonne_per_E3m3</f>
        <v>1.6018462505539988E-5</v>
      </c>
      <c r="AM46" s="462">
        <f t="shared" si="26"/>
        <v>0</v>
      </c>
      <c r="AN46" s="462">
        <f t="shared" si="27"/>
        <v>0</v>
      </c>
      <c r="AO46" s="463">
        <f t="shared" si="28"/>
        <v>0</v>
      </c>
      <c r="AP46" s="463">
        <f t="shared" si="29"/>
        <v>0</v>
      </c>
      <c r="AQ46" s="463">
        <f t="shared" si="30"/>
        <v>0</v>
      </c>
      <c r="AR46" s="463">
        <f t="shared" si="31"/>
        <v>0</v>
      </c>
      <c r="AS46" s="463">
        <f t="shared" si="32"/>
        <v>0</v>
      </c>
      <c r="BR46" s="257"/>
      <c r="BS46" s="257"/>
      <c r="BT46" s="257"/>
      <c r="BU46" s="257"/>
      <c r="BV46" s="257"/>
    </row>
    <row r="47" spans="1:74" ht="16.149999999999999" customHeight="1" x14ac:dyDescent="0.35">
      <c r="A47" s="257"/>
      <c r="B47" s="237" t="str">
        <f ca="1">'Translation Table'!H386</f>
        <v>Coke Oven Gas</v>
      </c>
      <c r="C47" s="260"/>
      <c r="D47" s="470">
        <f>0.000599*1055.056/0.02831685*(Constants!B$34/101.325)*(288.15/(273.15+Constants!B$33))</f>
        <v>22.318108970453991</v>
      </c>
      <c r="E47" s="225" t="s">
        <v>596</v>
      </c>
      <c r="F47" s="225" t="s">
        <v>2291</v>
      </c>
      <c r="G47" s="464">
        <f t="shared" si="33"/>
        <v>1.2109156782903805E-2</v>
      </c>
      <c r="H47" s="225" t="s">
        <v>596</v>
      </c>
      <c r="I47" s="225" t="s">
        <v>2291</v>
      </c>
      <c r="J47" s="225" t="str">
        <f ca="1">'Lookup Lists'!B75</f>
        <v>Heaters &amp; Boilers (Low-NOx)</v>
      </c>
      <c r="K47" s="225">
        <v>100</v>
      </c>
      <c r="L47" s="225" t="s">
        <v>596</v>
      </c>
      <c r="M47" s="225" t="s">
        <v>2281</v>
      </c>
      <c r="N47" s="464">
        <v>2.2999999999999998</v>
      </c>
      <c r="O47" s="225" t="s">
        <v>2284</v>
      </c>
      <c r="P47" s="225" t="s">
        <v>596</v>
      </c>
      <c r="Q47" s="225" t="s">
        <v>2281</v>
      </c>
      <c r="R47" s="237">
        <f>lb_per_mmscf_to_tonne_per_E3m3</f>
        <v>1.6018462505539988E-5</v>
      </c>
      <c r="S47" s="225">
        <v>0.64</v>
      </c>
      <c r="T47" s="225" t="s">
        <v>2284</v>
      </c>
      <c r="U47" s="225" t="s">
        <v>596</v>
      </c>
      <c r="V47" s="225" t="s">
        <v>2281</v>
      </c>
      <c r="W47" s="237">
        <f>lb_per_mmscf_to_tonne_per_E3m3</f>
        <v>1.6018462505539988E-5</v>
      </c>
      <c r="X47" s="225">
        <v>140</v>
      </c>
      <c r="Y47" s="225" t="s">
        <v>2284</v>
      </c>
      <c r="Z47" s="225" t="s">
        <v>596</v>
      </c>
      <c r="AA47" s="225" t="s">
        <v>2690</v>
      </c>
      <c r="AB47" s="237">
        <f>lb_per_mmscf_to_tonne_per_E3m3</f>
        <v>1.6018462505539988E-5</v>
      </c>
      <c r="AC47" s="225">
        <v>84</v>
      </c>
      <c r="AD47" s="225" t="s">
        <v>2284</v>
      </c>
      <c r="AE47" s="225" t="s">
        <v>596</v>
      </c>
      <c r="AF47" s="225" t="s">
        <v>2690</v>
      </c>
      <c r="AG47" s="237">
        <f>lb_per_mmscf_to_tonne_per_E3m3</f>
        <v>1.6018462505539988E-5</v>
      </c>
      <c r="AH47" s="225">
        <f>11-2.3</f>
        <v>8.6999999999999993</v>
      </c>
      <c r="AI47" s="225" t="s">
        <v>2284</v>
      </c>
      <c r="AJ47" s="225" t="s">
        <v>596</v>
      </c>
      <c r="AK47" s="225" t="s">
        <v>2691</v>
      </c>
      <c r="AL47" s="237">
        <f>lb_per_mmscf_to_tonne_per_E3m3</f>
        <v>1.6018462505539988E-5</v>
      </c>
      <c r="AM47" s="465">
        <f t="shared" si="26"/>
        <v>0</v>
      </c>
      <c r="AN47" s="465">
        <f t="shared" si="27"/>
        <v>0</v>
      </c>
      <c r="AO47" s="407">
        <f t="shared" si="28"/>
        <v>0</v>
      </c>
      <c r="AP47" s="407">
        <f t="shared" si="29"/>
        <v>0</v>
      </c>
      <c r="AQ47" s="407">
        <f t="shared" si="30"/>
        <v>0</v>
      </c>
      <c r="AR47" s="407">
        <f t="shared" si="31"/>
        <v>0</v>
      </c>
      <c r="AS47" s="407">
        <f t="shared" si="32"/>
        <v>0</v>
      </c>
      <c r="BR47" s="257"/>
      <c r="BS47" s="257"/>
      <c r="BT47" s="257"/>
      <c r="BU47" s="257"/>
      <c r="BV47" s="257"/>
    </row>
    <row r="48" spans="1:74" ht="16.149999999999999" customHeight="1" x14ac:dyDescent="0.35">
      <c r="A48" s="257"/>
      <c r="B48" s="238" t="str">
        <f ca="1">'Translation Table'!H387</f>
        <v>Blast Furnace Gas</v>
      </c>
      <c r="C48" s="457"/>
      <c r="D48" s="470">
        <f>0.000092*1055.056/0.02831685*(Constants!B$34/101.325)*(288.15/(273.15+Constants!B$33))</f>
        <v>3.4278230806039511</v>
      </c>
      <c r="E48" s="225" t="s">
        <v>596</v>
      </c>
      <c r="F48" s="225" t="s">
        <v>2291</v>
      </c>
      <c r="G48" s="464">
        <f t="shared" ref="G48:G53" si="34">0.02524/44*12/0.02831685/D48</f>
        <v>7.0917690044274215E-2</v>
      </c>
      <c r="H48" s="225" t="s">
        <v>596</v>
      </c>
      <c r="I48" s="225" t="s">
        <v>2291</v>
      </c>
      <c r="J48" s="225" t="str">
        <f ca="1">'Lookup Lists'!B70</f>
        <v>Turbine</v>
      </c>
      <c r="K48" s="225">
        <v>99.5</v>
      </c>
      <c r="L48" s="225" t="s">
        <v>596</v>
      </c>
      <c r="M48" s="225" t="s">
        <v>2272</v>
      </c>
      <c r="N48" s="464">
        <v>8.6E-3</v>
      </c>
      <c r="O48" s="225" t="s">
        <v>2283</v>
      </c>
      <c r="P48" s="225" t="s">
        <v>596</v>
      </c>
      <c r="Q48" s="225" t="s">
        <v>2272</v>
      </c>
      <c r="R48" s="238">
        <f>lb_per_mmBTU_to_tonnes_per_GJ</f>
        <v>4.2992258230842723E-4</v>
      </c>
      <c r="S48" s="225">
        <v>3.0000000000000001E-3</v>
      </c>
      <c r="T48" s="225" t="s">
        <v>2283</v>
      </c>
      <c r="U48" s="225" t="s">
        <v>596</v>
      </c>
      <c r="V48" s="225" t="s">
        <v>2272</v>
      </c>
      <c r="W48" s="238">
        <f>lb_per_mmBTU_to_tonnes_per_GJ</f>
        <v>4.2992258230842723E-4</v>
      </c>
      <c r="X48" s="225">
        <v>0.32</v>
      </c>
      <c r="Y48" s="225" t="s">
        <v>2283</v>
      </c>
      <c r="Z48" s="225" t="s">
        <v>596</v>
      </c>
      <c r="AA48" s="225" t="s">
        <v>2601</v>
      </c>
      <c r="AB48" s="238">
        <f>lb_per_mmBTU_to_tonnes_per_GJ</f>
        <v>4.2992258230842723E-4</v>
      </c>
      <c r="AC48" s="225">
        <v>8.2000000000000003E-2</v>
      </c>
      <c r="AD48" s="225" t="s">
        <v>2283</v>
      </c>
      <c r="AE48" s="225" t="s">
        <v>596</v>
      </c>
      <c r="AF48" s="225" t="s">
        <v>2601</v>
      </c>
      <c r="AG48" s="238">
        <f>lb_per_mmBTU_to_tonnes_per_GJ</f>
        <v>4.2992258230842723E-4</v>
      </c>
      <c r="AH48" s="225">
        <f>0.011-0.0086</f>
        <v>2.3999999999999994E-3</v>
      </c>
      <c r="AI48" s="225" t="s">
        <v>2283</v>
      </c>
      <c r="AJ48" s="225" t="s">
        <v>596</v>
      </c>
      <c r="AK48" s="225" t="s">
        <v>2602</v>
      </c>
      <c r="AL48" s="238">
        <f>lb_per_mmBTU_to_tonnes_per_GJ</f>
        <v>4.2992258230842723E-4</v>
      </c>
      <c r="AM48" s="462">
        <f t="shared" si="26"/>
        <v>0</v>
      </c>
      <c r="AN48" s="462">
        <f t="shared" si="27"/>
        <v>0</v>
      </c>
      <c r="AO48" s="463">
        <f t="shared" si="28"/>
        <v>0</v>
      </c>
      <c r="AP48" s="463">
        <f t="shared" si="29"/>
        <v>0</v>
      </c>
      <c r="AQ48" s="463">
        <f t="shared" si="30"/>
        <v>0</v>
      </c>
      <c r="AR48" s="463">
        <f t="shared" si="31"/>
        <v>0</v>
      </c>
      <c r="AS48" s="463">
        <f t="shared" si="32"/>
        <v>0</v>
      </c>
      <c r="BR48" s="257"/>
      <c r="BS48" s="257"/>
      <c r="BT48" s="257"/>
      <c r="BU48" s="257"/>
      <c r="BV48" s="257"/>
    </row>
    <row r="49" spans="1:74" ht="16.149999999999999" customHeight="1" x14ac:dyDescent="0.35">
      <c r="A49" s="257"/>
      <c r="B49" s="237" t="str">
        <f ca="1">'Translation Table'!H387</f>
        <v>Blast Furnace Gas</v>
      </c>
      <c r="C49" s="260"/>
      <c r="D49" s="470">
        <f>0.000092*1055.056/0.02831685*(Constants!B$34/101.325)*(288.15/(273.15+Constants!B$33))</f>
        <v>3.4278230806039511</v>
      </c>
      <c r="E49" s="225" t="s">
        <v>596</v>
      </c>
      <c r="F49" s="225" t="s">
        <v>2291</v>
      </c>
      <c r="G49" s="464">
        <f t="shared" si="34"/>
        <v>7.0917690044274215E-2</v>
      </c>
      <c r="H49" s="225" t="s">
        <v>596</v>
      </c>
      <c r="I49" s="225" t="s">
        <v>2291</v>
      </c>
      <c r="J49" s="225" t="str">
        <f ca="1">'Lookup Lists'!B71</f>
        <v>Gas Engine (2-Stroke Lean-Burn)</v>
      </c>
      <c r="K49" s="225">
        <v>99.5</v>
      </c>
      <c r="L49" s="225" t="s">
        <v>596</v>
      </c>
      <c r="M49" s="225" t="s">
        <v>2275</v>
      </c>
      <c r="N49" s="464">
        <v>1.45</v>
      </c>
      <c r="O49" s="225" t="s">
        <v>2283</v>
      </c>
      <c r="P49" s="225" t="s">
        <v>596</v>
      </c>
      <c r="Q49" s="225" t="s">
        <v>2275</v>
      </c>
      <c r="R49" s="237">
        <f>lb_per_mmBTU_to_tonnes_per_GJ</f>
        <v>4.2992258230842723E-4</v>
      </c>
      <c r="S49" s="225">
        <v>0</v>
      </c>
      <c r="T49" s="225" t="s">
        <v>2283</v>
      </c>
      <c r="U49" s="225" t="s">
        <v>596</v>
      </c>
      <c r="V49" s="225" t="s">
        <v>2275</v>
      </c>
      <c r="W49" s="237">
        <f>lb_per_mmBTU_to_tonnes_per_GJ</f>
        <v>4.2992258230842723E-4</v>
      </c>
      <c r="X49" s="225">
        <v>3.17</v>
      </c>
      <c r="Y49" s="225" t="s">
        <v>2283</v>
      </c>
      <c r="Z49" s="225" t="s">
        <v>596</v>
      </c>
      <c r="AA49" s="225" t="s">
        <v>2681</v>
      </c>
      <c r="AB49" s="237">
        <f>lb_per_mmBTU_to_tonnes_per_GJ</f>
        <v>4.2992258230842723E-4</v>
      </c>
      <c r="AC49" s="464">
        <v>0.38600000000000001</v>
      </c>
      <c r="AD49" s="225" t="s">
        <v>2283</v>
      </c>
      <c r="AE49" s="225" t="s">
        <v>596</v>
      </c>
      <c r="AF49" s="225" t="s">
        <v>2681</v>
      </c>
      <c r="AG49" s="237">
        <f>lb_per_mmBTU_to_tonnes_per_GJ</f>
        <v>4.2992258230842723E-4</v>
      </c>
      <c r="AH49" s="464">
        <f>1.64-N49</f>
        <v>0.18999999999999995</v>
      </c>
      <c r="AI49" s="225" t="s">
        <v>2283</v>
      </c>
      <c r="AJ49" s="225" t="s">
        <v>596</v>
      </c>
      <c r="AK49" s="225" t="s">
        <v>2684</v>
      </c>
      <c r="AL49" s="237">
        <f>lb_per_mmBTU_to_tonnes_per_GJ</f>
        <v>4.2992258230842723E-4</v>
      </c>
      <c r="AM49" s="465">
        <f t="shared" si="26"/>
        <v>0</v>
      </c>
      <c r="AN49" s="465">
        <f t="shared" si="27"/>
        <v>0</v>
      </c>
      <c r="AO49" s="407">
        <f t="shared" si="28"/>
        <v>0</v>
      </c>
      <c r="AP49" s="407">
        <f t="shared" si="29"/>
        <v>0</v>
      </c>
      <c r="AQ49" s="407">
        <f t="shared" si="30"/>
        <v>0</v>
      </c>
      <c r="AR49" s="407">
        <f t="shared" si="31"/>
        <v>0</v>
      </c>
      <c r="AS49" s="407">
        <f t="shared" si="32"/>
        <v>0</v>
      </c>
      <c r="BR49" s="257"/>
      <c r="BS49" s="257"/>
      <c r="BT49" s="257"/>
      <c r="BU49" s="257"/>
      <c r="BV49" s="257"/>
    </row>
    <row r="50" spans="1:74" ht="16.149999999999999" customHeight="1" x14ac:dyDescent="0.35">
      <c r="A50" s="257"/>
      <c r="B50" s="238" t="str">
        <f ca="1">'Translation Table'!H387</f>
        <v>Blast Furnace Gas</v>
      </c>
      <c r="C50" s="457"/>
      <c r="D50" s="470">
        <f>0.000092*1055.056/0.02831685*(Constants!B$34/101.325)*(288.15/(273.15+Constants!B$33))</f>
        <v>3.4278230806039511</v>
      </c>
      <c r="E50" s="225" t="s">
        <v>596</v>
      </c>
      <c r="F50" s="225" t="s">
        <v>2291</v>
      </c>
      <c r="G50" s="464">
        <f t="shared" si="34"/>
        <v>7.0917690044274215E-2</v>
      </c>
      <c r="H50" s="225" t="s">
        <v>596</v>
      </c>
      <c r="I50" s="225" t="s">
        <v>2291</v>
      </c>
      <c r="J50" s="225" t="str">
        <f ca="1">'Lookup Lists'!B72</f>
        <v>Gas Engine (4-Stroke Lean-Burn)</v>
      </c>
      <c r="K50" s="225">
        <v>99.5</v>
      </c>
      <c r="L50" s="225" t="s">
        <v>596</v>
      </c>
      <c r="M50" s="225" t="s">
        <v>2276</v>
      </c>
      <c r="N50" s="464">
        <v>1.25</v>
      </c>
      <c r="O50" s="225" t="s">
        <v>2283</v>
      </c>
      <c r="P50" s="225" t="s">
        <v>596</v>
      </c>
      <c r="Q50" s="225" t="s">
        <v>2276</v>
      </c>
      <c r="R50" s="238">
        <f>lb_per_mmBTU_to_tonnes_per_GJ</f>
        <v>4.2992258230842723E-4</v>
      </c>
      <c r="S50" s="225">
        <v>0</v>
      </c>
      <c r="T50" s="225" t="s">
        <v>2283</v>
      </c>
      <c r="U50" s="225" t="s">
        <v>596</v>
      </c>
      <c r="V50" s="225" t="s">
        <v>2276</v>
      </c>
      <c r="W50" s="238">
        <f>lb_per_mmBTU_to_tonnes_per_GJ</f>
        <v>4.2992258230842723E-4</v>
      </c>
      <c r="X50" s="225">
        <v>4.08</v>
      </c>
      <c r="Y50" s="225" t="s">
        <v>2283</v>
      </c>
      <c r="Z50" s="225" t="s">
        <v>596</v>
      </c>
      <c r="AA50" s="225" t="s">
        <v>2682</v>
      </c>
      <c r="AB50" s="238">
        <f>lb_per_mmBTU_to_tonnes_per_GJ</f>
        <v>4.2992258230842723E-4</v>
      </c>
      <c r="AC50" s="464">
        <v>0.317</v>
      </c>
      <c r="AD50" s="225" t="s">
        <v>2283</v>
      </c>
      <c r="AE50" s="225" t="s">
        <v>596</v>
      </c>
      <c r="AF50" s="225" t="s">
        <v>2682</v>
      </c>
      <c r="AG50" s="238">
        <f>lb_per_mmBTU_to_tonnes_per_GJ</f>
        <v>4.2992258230842723E-4</v>
      </c>
      <c r="AH50" s="464">
        <f>1.47-N50</f>
        <v>0.21999999999999997</v>
      </c>
      <c r="AI50" s="225" t="s">
        <v>2283</v>
      </c>
      <c r="AJ50" s="225" t="s">
        <v>596</v>
      </c>
      <c r="AK50" s="225" t="s">
        <v>2685</v>
      </c>
      <c r="AL50" s="238">
        <f>lb_per_mmBTU_to_tonnes_per_GJ</f>
        <v>4.2992258230842723E-4</v>
      </c>
      <c r="AM50" s="462">
        <f t="shared" si="26"/>
        <v>0</v>
      </c>
      <c r="AN50" s="462">
        <f t="shared" si="27"/>
        <v>0</v>
      </c>
      <c r="AO50" s="463">
        <f t="shared" si="28"/>
        <v>0</v>
      </c>
      <c r="AP50" s="463">
        <f t="shared" si="29"/>
        <v>0</v>
      </c>
      <c r="AQ50" s="463">
        <f t="shared" si="30"/>
        <v>0</v>
      </c>
      <c r="AR50" s="463">
        <f t="shared" si="31"/>
        <v>0</v>
      </c>
      <c r="AS50" s="463">
        <f t="shared" si="32"/>
        <v>0</v>
      </c>
      <c r="BR50" s="257"/>
      <c r="BS50" s="257"/>
      <c r="BT50" s="257"/>
      <c r="BU50" s="257"/>
      <c r="BV50" s="257"/>
    </row>
    <row r="51" spans="1:74" ht="16.149999999999999" customHeight="1" x14ac:dyDescent="0.35">
      <c r="A51" s="257"/>
      <c r="B51" s="237" t="str">
        <f ca="1">'Translation Table'!H387</f>
        <v>Blast Furnace Gas</v>
      </c>
      <c r="C51" s="260"/>
      <c r="D51" s="470">
        <f>0.000092*1055.056/0.02831685*(Constants!B$34/101.325)*(288.15/(273.15+Constants!B$33))</f>
        <v>3.4278230806039511</v>
      </c>
      <c r="E51" s="225" t="s">
        <v>596</v>
      </c>
      <c r="F51" s="225" t="s">
        <v>2291</v>
      </c>
      <c r="G51" s="464">
        <f t="shared" si="34"/>
        <v>7.0917690044274215E-2</v>
      </c>
      <c r="H51" s="225" t="s">
        <v>596</v>
      </c>
      <c r="I51" s="225" t="s">
        <v>2291</v>
      </c>
      <c r="J51" s="225" t="str">
        <f ca="1">'Lookup Lists'!B73</f>
        <v>Gas Engine (4-Stroke Rich-Burn)</v>
      </c>
      <c r="K51" s="225">
        <v>99.5</v>
      </c>
      <c r="L51" s="225" t="s">
        <v>596</v>
      </c>
      <c r="M51" s="225" t="s">
        <v>2277</v>
      </c>
      <c r="N51" s="464">
        <v>0.23</v>
      </c>
      <c r="O51" s="225" t="s">
        <v>2283</v>
      </c>
      <c r="P51" s="225" t="s">
        <v>596</v>
      </c>
      <c r="Q51" s="225" t="s">
        <v>2277</v>
      </c>
      <c r="R51" s="237">
        <f>lb_per_mmBTU_to_tonnes_per_GJ</f>
        <v>4.2992258230842723E-4</v>
      </c>
      <c r="S51" s="225">
        <v>0</v>
      </c>
      <c r="T51" s="225" t="s">
        <v>2283</v>
      </c>
      <c r="U51" s="225" t="s">
        <v>596</v>
      </c>
      <c r="V51" s="225" t="s">
        <v>2277</v>
      </c>
      <c r="W51" s="237">
        <f>lb_per_mmBTU_to_tonnes_per_GJ</f>
        <v>4.2992258230842723E-4</v>
      </c>
      <c r="X51" s="225">
        <v>2.21</v>
      </c>
      <c r="Y51" s="225" t="s">
        <v>2283</v>
      </c>
      <c r="Z51" s="225" t="s">
        <v>596</v>
      </c>
      <c r="AA51" s="225" t="s">
        <v>2683</v>
      </c>
      <c r="AB51" s="237">
        <f>lb_per_mmBTU_to_tonnes_per_GJ</f>
        <v>4.2992258230842723E-4</v>
      </c>
      <c r="AC51" s="225">
        <v>3.51</v>
      </c>
      <c r="AD51" s="225" t="s">
        <v>2283</v>
      </c>
      <c r="AE51" s="225" t="s">
        <v>596</v>
      </c>
      <c r="AF51" s="225" t="s">
        <v>2683</v>
      </c>
      <c r="AG51" s="237">
        <f>lb_per_mmBTU_to_tonnes_per_GJ</f>
        <v>4.2992258230842723E-4</v>
      </c>
      <c r="AH51" s="225">
        <f>0.3581-0.23</f>
        <v>0.12809999999999996</v>
      </c>
      <c r="AI51" s="225" t="s">
        <v>2283</v>
      </c>
      <c r="AJ51" s="225" t="s">
        <v>596</v>
      </c>
      <c r="AK51" s="225" t="s">
        <v>2686</v>
      </c>
      <c r="AL51" s="237">
        <f>lb_per_mmBTU_to_tonnes_per_GJ</f>
        <v>4.2992258230842723E-4</v>
      </c>
      <c r="AM51" s="465">
        <f t="shared" si="26"/>
        <v>0</v>
      </c>
      <c r="AN51" s="465">
        <f t="shared" si="27"/>
        <v>0</v>
      </c>
      <c r="AO51" s="407">
        <f t="shared" si="28"/>
        <v>0</v>
      </c>
      <c r="AP51" s="407">
        <f t="shared" si="29"/>
        <v>0</v>
      </c>
      <c r="AQ51" s="407">
        <f t="shared" si="30"/>
        <v>0</v>
      </c>
      <c r="AR51" s="407">
        <f t="shared" si="31"/>
        <v>0</v>
      </c>
      <c r="AS51" s="407">
        <f t="shared" si="32"/>
        <v>0</v>
      </c>
      <c r="BR51" s="257"/>
      <c r="BS51" s="257"/>
      <c r="BT51" s="257"/>
      <c r="BU51" s="257"/>
      <c r="BV51" s="257"/>
    </row>
    <row r="52" spans="1:74" ht="16.149999999999999" customHeight="1" x14ac:dyDescent="0.35">
      <c r="A52" s="358" t="str">
        <f ca="1">'Translation Table'!H2868</f>
        <v>Default</v>
      </c>
      <c r="B52" s="238" t="str">
        <f ca="1">'Translation Table'!H387</f>
        <v>Blast Furnace Gas</v>
      </c>
      <c r="C52" s="457"/>
      <c r="D52" s="470">
        <f>0.000092*1055.056/0.02831685*(Constants!B$34/101.325)*(288.15/(273.15+Constants!B$33))</f>
        <v>3.4278230806039511</v>
      </c>
      <c r="E52" s="225" t="s">
        <v>596</v>
      </c>
      <c r="F52" s="225" t="s">
        <v>2291</v>
      </c>
      <c r="G52" s="464">
        <f t="shared" si="34"/>
        <v>7.0917690044274215E-2</v>
      </c>
      <c r="H52" s="225" t="s">
        <v>596</v>
      </c>
      <c r="I52" s="225" t="s">
        <v>2291</v>
      </c>
      <c r="J52" s="225" t="str">
        <f ca="1">'Lookup Lists'!B74</f>
        <v>Heaters &amp; Boilers</v>
      </c>
      <c r="K52" s="225">
        <v>100</v>
      </c>
      <c r="L52" s="225" t="s">
        <v>596</v>
      </c>
      <c r="M52" s="225" t="s">
        <v>2281</v>
      </c>
      <c r="N52" s="464">
        <v>2.2999999999999998</v>
      </c>
      <c r="O52" s="225" t="s">
        <v>2284</v>
      </c>
      <c r="P52" s="225" t="s">
        <v>596</v>
      </c>
      <c r="Q52" s="225" t="s">
        <v>2281</v>
      </c>
      <c r="R52" s="238">
        <f>lb_per_mmscf_to_tonne_per_E3m3</f>
        <v>1.6018462505539988E-5</v>
      </c>
      <c r="S52" s="225">
        <v>2.2000000000000002</v>
      </c>
      <c r="T52" s="225" t="s">
        <v>2284</v>
      </c>
      <c r="U52" s="225" t="s">
        <v>596</v>
      </c>
      <c r="V52" s="225" t="s">
        <v>2281</v>
      </c>
      <c r="W52" s="238">
        <f>lb_per_mmscf_to_tonne_per_E3m3</f>
        <v>1.6018462505539988E-5</v>
      </c>
      <c r="X52" s="225">
        <v>280</v>
      </c>
      <c r="Y52" s="225" t="s">
        <v>2284</v>
      </c>
      <c r="Z52" s="225" t="s">
        <v>596</v>
      </c>
      <c r="AA52" s="225" t="s">
        <v>2687</v>
      </c>
      <c r="AB52" s="238">
        <f>lb_per_mmscf_to_tonne_per_E3m3</f>
        <v>1.6018462505539988E-5</v>
      </c>
      <c r="AC52" s="225">
        <v>84</v>
      </c>
      <c r="AD52" s="225" t="s">
        <v>2284</v>
      </c>
      <c r="AE52" s="225" t="s">
        <v>596</v>
      </c>
      <c r="AF52" s="225" t="s">
        <v>2687</v>
      </c>
      <c r="AG52" s="238">
        <f>lb_per_mmscf_to_tonne_per_E3m3</f>
        <v>1.6018462505539988E-5</v>
      </c>
      <c r="AH52" s="225">
        <f>11-2.3</f>
        <v>8.6999999999999993</v>
      </c>
      <c r="AI52" s="225" t="s">
        <v>2284</v>
      </c>
      <c r="AJ52" s="225" t="s">
        <v>596</v>
      </c>
      <c r="AK52" s="225" t="s">
        <v>2691</v>
      </c>
      <c r="AL52" s="238">
        <f>lb_per_mmscf_to_tonne_per_E3m3</f>
        <v>1.6018462505539988E-5</v>
      </c>
      <c r="AM52" s="462">
        <f t="shared" si="26"/>
        <v>0</v>
      </c>
      <c r="AN52" s="462">
        <f t="shared" si="27"/>
        <v>0</v>
      </c>
      <c r="AO52" s="463">
        <f t="shared" si="28"/>
        <v>0</v>
      </c>
      <c r="AP52" s="463">
        <f t="shared" si="29"/>
        <v>0</v>
      </c>
      <c r="AQ52" s="463">
        <f t="shared" si="30"/>
        <v>0</v>
      </c>
      <c r="AR52" s="463">
        <f t="shared" si="31"/>
        <v>0</v>
      </c>
      <c r="AS52" s="463">
        <f t="shared" si="32"/>
        <v>0</v>
      </c>
      <c r="BR52" s="257"/>
      <c r="BS52" s="257"/>
      <c r="BT52" s="257"/>
      <c r="BU52" s="257"/>
      <c r="BV52" s="257"/>
    </row>
    <row r="53" spans="1:74" ht="16.149999999999999" customHeight="1" x14ac:dyDescent="0.35">
      <c r="A53" s="358" t="str">
        <f ca="1">'Translation Table'!H2869</f>
        <v>Measured</v>
      </c>
      <c r="B53" s="237" t="str">
        <f ca="1">'Translation Table'!H387</f>
        <v>Blast Furnace Gas</v>
      </c>
      <c r="C53" s="260"/>
      <c r="D53" s="470">
        <f>0.000092*1055.056/0.02831685*(Constants!B$34/101.325)*(288.15/(273.15+Constants!B$33))</f>
        <v>3.4278230806039511</v>
      </c>
      <c r="E53" s="225" t="s">
        <v>596</v>
      </c>
      <c r="F53" s="225" t="s">
        <v>2291</v>
      </c>
      <c r="G53" s="464">
        <f t="shared" si="34"/>
        <v>7.0917690044274215E-2</v>
      </c>
      <c r="H53" s="225" t="s">
        <v>596</v>
      </c>
      <c r="I53" s="225" t="s">
        <v>2291</v>
      </c>
      <c r="J53" s="225" t="str">
        <f ca="1">'Lookup Lists'!B75</f>
        <v>Heaters &amp; Boilers (Low-NOx)</v>
      </c>
      <c r="K53" s="225">
        <v>100</v>
      </c>
      <c r="L53" s="225" t="s">
        <v>596</v>
      </c>
      <c r="M53" s="225" t="s">
        <v>2281</v>
      </c>
      <c r="N53" s="464">
        <v>2.2999999999999998</v>
      </c>
      <c r="O53" s="225" t="s">
        <v>2284</v>
      </c>
      <c r="P53" s="225" t="s">
        <v>596</v>
      </c>
      <c r="Q53" s="225" t="s">
        <v>2281</v>
      </c>
      <c r="R53" s="237">
        <f>lb_per_mmscf_to_tonne_per_E3m3</f>
        <v>1.6018462505539988E-5</v>
      </c>
      <c r="S53" s="225">
        <v>0.64</v>
      </c>
      <c r="T53" s="225" t="s">
        <v>2284</v>
      </c>
      <c r="U53" s="225" t="s">
        <v>596</v>
      </c>
      <c r="V53" s="225" t="s">
        <v>2281</v>
      </c>
      <c r="W53" s="237">
        <f>lb_per_mmscf_to_tonne_per_E3m3</f>
        <v>1.6018462505539988E-5</v>
      </c>
      <c r="X53" s="225">
        <v>140</v>
      </c>
      <c r="Y53" s="225" t="s">
        <v>2284</v>
      </c>
      <c r="Z53" s="225" t="s">
        <v>596</v>
      </c>
      <c r="AA53" s="225" t="s">
        <v>2690</v>
      </c>
      <c r="AB53" s="237">
        <f>lb_per_mmscf_to_tonne_per_E3m3</f>
        <v>1.6018462505539988E-5</v>
      </c>
      <c r="AC53" s="225">
        <v>84</v>
      </c>
      <c r="AD53" s="225" t="s">
        <v>2284</v>
      </c>
      <c r="AE53" s="225" t="s">
        <v>596</v>
      </c>
      <c r="AF53" s="225" t="s">
        <v>2690</v>
      </c>
      <c r="AG53" s="237">
        <f>lb_per_mmscf_to_tonne_per_E3m3</f>
        <v>1.6018462505539988E-5</v>
      </c>
      <c r="AH53" s="225">
        <f>11-2.3</f>
        <v>8.6999999999999993</v>
      </c>
      <c r="AI53" s="225" t="s">
        <v>2284</v>
      </c>
      <c r="AJ53" s="225" t="s">
        <v>596</v>
      </c>
      <c r="AK53" s="225" t="s">
        <v>2691</v>
      </c>
      <c r="AL53" s="237">
        <f>lb_per_mmscf_to_tonne_per_E3m3</f>
        <v>1.6018462505539988E-5</v>
      </c>
      <c r="AM53" s="465">
        <f t="shared" si="26"/>
        <v>0</v>
      </c>
      <c r="AN53" s="465">
        <f t="shared" si="27"/>
        <v>0</v>
      </c>
      <c r="AO53" s="407">
        <f t="shared" si="28"/>
        <v>0</v>
      </c>
      <c r="AP53" s="407">
        <f t="shared" si="29"/>
        <v>0</v>
      </c>
      <c r="AQ53" s="407">
        <f t="shared" si="30"/>
        <v>0</v>
      </c>
      <c r="AR53" s="407">
        <f t="shared" si="31"/>
        <v>0</v>
      </c>
      <c r="AS53" s="407">
        <f t="shared" si="32"/>
        <v>0</v>
      </c>
      <c r="BR53" s="257"/>
      <c r="BS53" s="257"/>
      <c r="BT53" s="257"/>
      <c r="BU53" s="257"/>
      <c r="BV53" s="257"/>
    </row>
    <row r="54" spans="1:74" ht="16.149999999999999" customHeight="1" x14ac:dyDescent="0.35">
      <c r="A54" s="358" t="str">
        <f ca="1">'Translation Table'!H2870</f>
        <v>Calculated</v>
      </c>
      <c r="B54" s="238" t="str">
        <f ca="1">'Translation Table'!H388</f>
        <v>Converter Gas</v>
      </c>
      <c r="C54" s="457"/>
      <c r="D54" s="470">
        <f>(0.64*11.965+0.01*12.102)*(Constants!B$34/101.325)*(288.15/(273.15+Constants!B$33))</f>
        <v>7.7786200000000001</v>
      </c>
      <c r="E54" s="225" t="s">
        <v>596</v>
      </c>
      <c r="F54" s="225" t="s">
        <v>2323</v>
      </c>
      <c r="G54" s="464">
        <f t="shared" ref="G54:G59" si="35">0.0496*0.89542</f>
        <v>4.4412831999999999E-2</v>
      </c>
      <c r="H54" s="225" t="s">
        <v>596</v>
      </c>
      <c r="I54" s="225" t="s">
        <v>2323</v>
      </c>
      <c r="J54" s="225" t="str">
        <f ca="1">'Lookup Lists'!B70</f>
        <v>Turbine</v>
      </c>
      <c r="K54" s="225">
        <v>99.5</v>
      </c>
      <c r="L54" s="225" t="s">
        <v>596</v>
      </c>
      <c r="M54" s="225" t="s">
        <v>2272</v>
      </c>
      <c r="N54" s="464">
        <v>8.6E-3</v>
      </c>
      <c r="O54" s="225" t="s">
        <v>2283</v>
      </c>
      <c r="P54" s="225" t="s">
        <v>596</v>
      </c>
      <c r="Q54" s="225" t="s">
        <v>2272</v>
      </c>
      <c r="R54" s="238">
        <f>lb_per_mmBTU_to_tonnes_per_GJ</f>
        <v>4.2992258230842723E-4</v>
      </c>
      <c r="S54" s="225">
        <v>3.0000000000000001E-3</v>
      </c>
      <c r="T54" s="225" t="s">
        <v>2283</v>
      </c>
      <c r="U54" s="225" t="s">
        <v>596</v>
      </c>
      <c r="V54" s="225" t="s">
        <v>2272</v>
      </c>
      <c r="W54" s="238">
        <f>lb_per_mmBTU_to_tonnes_per_GJ</f>
        <v>4.2992258230842723E-4</v>
      </c>
      <c r="X54" s="225">
        <v>0.32</v>
      </c>
      <c r="Y54" s="225" t="s">
        <v>2283</v>
      </c>
      <c r="Z54" s="225" t="s">
        <v>596</v>
      </c>
      <c r="AA54" s="225" t="s">
        <v>2601</v>
      </c>
      <c r="AB54" s="238">
        <f>lb_per_mmBTU_to_tonnes_per_GJ</f>
        <v>4.2992258230842723E-4</v>
      </c>
      <c r="AC54" s="225">
        <v>8.2000000000000003E-2</v>
      </c>
      <c r="AD54" s="225" t="s">
        <v>2283</v>
      </c>
      <c r="AE54" s="225" t="s">
        <v>596</v>
      </c>
      <c r="AF54" s="225" t="s">
        <v>2601</v>
      </c>
      <c r="AG54" s="238">
        <f>lb_per_mmBTU_to_tonnes_per_GJ</f>
        <v>4.2992258230842723E-4</v>
      </c>
      <c r="AH54" s="225">
        <f>0.011-0.0086</f>
        <v>2.3999999999999994E-3</v>
      </c>
      <c r="AI54" s="225" t="s">
        <v>2283</v>
      </c>
      <c r="AJ54" s="225" t="s">
        <v>596</v>
      </c>
      <c r="AK54" s="225" t="s">
        <v>2602</v>
      </c>
      <c r="AL54" s="238">
        <f>lb_per_mmBTU_to_tonnes_per_GJ</f>
        <v>4.2992258230842723E-4</v>
      </c>
      <c r="AM54" s="462">
        <f t="shared" si="26"/>
        <v>0</v>
      </c>
      <c r="AN54" s="462">
        <f t="shared" si="27"/>
        <v>0</v>
      </c>
      <c r="AO54" s="463">
        <f t="shared" si="28"/>
        <v>0</v>
      </c>
      <c r="AP54" s="463">
        <f t="shared" si="29"/>
        <v>0</v>
      </c>
      <c r="AQ54" s="463">
        <f t="shared" si="30"/>
        <v>0</v>
      </c>
      <c r="AR54" s="463">
        <f t="shared" si="31"/>
        <v>0</v>
      </c>
      <c r="AS54" s="463">
        <f t="shared" si="32"/>
        <v>0</v>
      </c>
      <c r="BR54" s="257"/>
      <c r="BS54" s="257"/>
      <c r="BT54" s="257"/>
      <c r="BU54" s="257"/>
      <c r="BV54" s="257"/>
    </row>
    <row r="55" spans="1:74" ht="16.149999999999999" customHeight="1" x14ac:dyDescent="0.35">
      <c r="A55" s="257"/>
      <c r="B55" s="237" t="str">
        <f ca="1">'Translation Table'!H388</f>
        <v>Converter Gas</v>
      </c>
      <c r="C55" s="260"/>
      <c r="D55" s="470">
        <f>(0.64*11.965+0.01*12.102)*(Constants!B$34/101.325)*(288.15/(273.15+Constants!B$33))</f>
        <v>7.7786200000000001</v>
      </c>
      <c r="E55" s="225" t="s">
        <v>596</v>
      </c>
      <c r="F55" s="225" t="s">
        <v>2323</v>
      </c>
      <c r="G55" s="464">
        <f t="shared" si="35"/>
        <v>4.4412831999999999E-2</v>
      </c>
      <c r="H55" s="225" t="s">
        <v>596</v>
      </c>
      <c r="I55" s="225" t="s">
        <v>2323</v>
      </c>
      <c r="J55" s="225" t="str">
        <f ca="1">'Lookup Lists'!B71</f>
        <v>Gas Engine (2-Stroke Lean-Burn)</v>
      </c>
      <c r="K55" s="225">
        <v>99.5</v>
      </c>
      <c r="L55" s="225" t="s">
        <v>596</v>
      </c>
      <c r="M55" s="225" t="s">
        <v>2275</v>
      </c>
      <c r="N55" s="464">
        <v>1.45</v>
      </c>
      <c r="O55" s="225" t="s">
        <v>2283</v>
      </c>
      <c r="P55" s="225" t="s">
        <v>596</v>
      </c>
      <c r="Q55" s="225" t="s">
        <v>2275</v>
      </c>
      <c r="R55" s="237">
        <f>lb_per_mmBTU_to_tonnes_per_GJ</f>
        <v>4.2992258230842723E-4</v>
      </c>
      <c r="S55" s="225">
        <v>0</v>
      </c>
      <c r="T55" s="225" t="s">
        <v>2283</v>
      </c>
      <c r="U55" s="225" t="s">
        <v>596</v>
      </c>
      <c r="V55" s="225" t="s">
        <v>2275</v>
      </c>
      <c r="W55" s="237">
        <f>lb_per_mmBTU_to_tonnes_per_GJ</f>
        <v>4.2992258230842723E-4</v>
      </c>
      <c r="X55" s="225">
        <v>3.17</v>
      </c>
      <c r="Y55" s="225" t="s">
        <v>2283</v>
      </c>
      <c r="Z55" s="225" t="s">
        <v>596</v>
      </c>
      <c r="AA55" s="225" t="s">
        <v>2681</v>
      </c>
      <c r="AB55" s="237">
        <f>lb_per_mmBTU_to_tonnes_per_GJ</f>
        <v>4.2992258230842723E-4</v>
      </c>
      <c r="AC55" s="464">
        <v>0.38600000000000001</v>
      </c>
      <c r="AD55" s="225" t="s">
        <v>2283</v>
      </c>
      <c r="AE55" s="225" t="s">
        <v>596</v>
      </c>
      <c r="AF55" s="225" t="s">
        <v>2681</v>
      </c>
      <c r="AG55" s="237">
        <f>lb_per_mmBTU_to_tonnes_per_GJ</f>
        <v>4.2992258230842723E-4</v>
      </c>
      <c r="AH55" s="464">
        <f>1.64-N55</f>
        <v>0.18999999999999995</v>
      </c>
      <c r="AI55" s="225" t="s">
        <v>2283</v>
      </c>
      <c r="AJ55" s="225" t="s">
        <v>596</v>
      </c>
      <c r="AK55" s="225" t="s">
        <v>2684</v>
      </c>
      <c r="AL55" s="237">
        <f>lb_per_mmBTU_to_tonnes_per_GJ</f>
        <v>4.2992258230842723E-4</v>
      </c>
      <c r="AM55" s="465">
        <f t="shared" si="26"/>
        <v>0</v>
      </c>
      <c r="AN55" s="465">
        <f t="shared" si="27"/>
        <v>0</v>
      </c>
      <c r="AO55" s="407">
        <f t="shared" si="28"/>
        <v>0</v>
      </c>
      <c r="AP55" s="407">
        <f t="shared" si="29"/>
        <v>0</v>
      </c>
      <c r="AQ55" s="407">
        <f t="shared" si="30"/>
        <v>0</v>
      </c>
      <c r="AR55" s="407">
        <f t="shared" si="31"/>
        <v>0</v>
      </c>
      <c r="AS55" s="407">
        <f t="shared" si="32"/>
        <v>0</v>
      </c>
      <c r="BR55" s="257"/>
      <c r="BS55" s="257"/>
      <c r="BT55" s="257"/>
      <c r="BU55" s="257"/>
      <c r="BV55" s="257"/>
    </row>
    <row r="56" spans="1:74" ht="16.149999999999999" customHeight="1" x14ac:dyDescent="0.35">
      <c r="A56" s="257"/>
      <c r="B56" s="238" t="str">
        <f ca="1">'Translation Table'!H388</f>
        <v>Converter Gas</v>
      </c>
      <c r="C56" s="457"/>
      <c r="D56" s="470">
        <f>(0.64*11.965+0.01*12.102)*(Constants!B$34/101.325)*(288.15/(273.15+Constants!B$33))</f>
        <v>7.7786200000000001</v>
      </c>
      <c r="E56" s="225" t="s">
        <v>596</v>
      </c>
      <c r="F56" s="225" t="s">
        <v>2323</v>
      </c>
      <c r="G56" s="464">
        <f t="shared" si="35"/>
        <v>4.4412831999999999E-2</v>
      </c>
      <c r="H56" s="225" t="s">
        <v>596</v>
      </c>
      <c r="I56" s="225" t="s">
        <v>2323</v>
      </c>
      <c r="J56" s="225" t="str">
        <f ca="1">'Lookup Lists'!B72</f>
        <v>Gas Engine (4-Stroke Lean-Burn)</v>
      </c>
      <c r="K56" s="225">
        <v>99.5</v>
      </c>
      <c r="L56" s="225" t="s">
        <v>596</v>
      </c>
      <c r="M56" s="225" t="s">
        <v>2276</v>
      </c>
      <c r="N56" s="464">
        <v>1.25</v>
      </c>
      <c r="O56" s="225" t="s">
        <v>2283</v>
      </c>
      <c r="P56" s="225" t="s">
        <v>596</v>
      </c>
      <c r="Q56" s="225" t="s">
        <v>2276</v>
      </c>
      <c r="R56" s="238">
        <f>lb_per_mmBTU_to_tonnes_per_GJ</f>
        <v>4.2992258230842723E-4</v>
      </c>
      <c r="S56" s="225">
        <v>0</v>
      </c>
      <c r="T56" s="225" t="s">
        <v>2283</v>
      </c>
      <c r="U56" s="225" t="s">
        <v>596</v>
      </c>
      <c r="V56" s="225" t="s">
        <v>2276</v>
      </c>
      <c r="W56" s="238">
        <f>lb_per_mmBTU_to_tonnes_per_GJ</f>
        <v>4.2992258230842723E-4</v>
      </c>
      <c r="X56" s="225">
        <v>4.08</v>
      </c>
      <c r="Y56" s="225" t="s">
        <v>2283</v>
      </c>
      <c r="Z56" s="225" t="s">
        <v>596</v>
      </c>
      <c r="AA56" s="225" t="s">
        <v>2682</v>
      </c>
      <c r="AB56" s="238">
        <f>lb_per_mmBTU_to_tonnes_per_GJ</f>
        <v>4.2992258230842723E-4</v>
      </c>
      <c r="AC56" s="464">
        <v>0.317</v>
      </c>
      <c r="AD56" s="225" t="s">
        <v>2283</v>
      </c>
      <c r="AE56" s="225" t="s">
        <v>596</v>
      </c>
      <c r="AF56" s="225" t="s">
        <v>2682</v>
      </c>
      <c r="AG56" s="238">
        <f>lb_per_mmBTU_to_tonnes_per_GJ</f>
        <v>4.2992258230842723E-4</v>
      </c>
      <c r="AH56" s="464">
        <f>1.47-N55</f>
        <v>2.0000000000000018E-2</v>
      </c>
      <c r="AI56" s="225" t="s">
        <v>2283</v>
      </c>
      <c r="AJ56" s="225" t="s">
        <v>596</v>
      </c>
      <c r="AK56" s="225" t="s">
        <v>2685</v>
      </c>
      <c r="AL56" s="238">
        <f>lb_per_mmBTU_to_tonnes_per_GJ</f>
        <v>4.2992258230842723E-4</v>
      </c>
      <c r="AM56" s="462">
        <f t="shared" si="26"/>
        <v>0</v>
      </c>
      <c r="AN56" s="462">
        <f t="shared" si="27"/>
        <v>0</v>
      </c>
      <c r="AO56" s="463">
        <f t="shared" si="28"/>
        <v>0</v>
      </c>
      <c r="AP56" s="463">
        <f t="shared" si="29"/>
        <v>0</v>
      </c>
      <c r="AQ56" s="463">
        <f t="shared" si="30"/>
        <v>0</v>
      </c>
      <c r="AR56" s="463">
        <f t="shared" si="31"/>
        <v>0</v>
      </c>
      <c r="AS56" s="463">
        <f t="shared" si="32"/>
        <v>0</v>
      </c>
      <c r="BR56" s="257"/>
      <c r="BS56" s="257"/>
      <c r="BT56" s="257"/>
      <c r="BU56" s="257"/>
      <c r="BV56" s="257"/>
    </row>
    <row r="57" spans="1:74" ht="16.149999999999999" customHeight="1" x14ac:dyDescent="0.35">
      <c r="A57" s="257"/>
      <c r="B57" s="237" t="str">
        <f ca="1">'Translation Table'!H388</f>
        <v>Converter Gas</v>
      </c>
      <c r="C57" s="260"/>
      <c r="D57" s="470">
        <f>(0.64*11.965+0.01*12.102)*(Constants!B$34/101.325)*(288.15/(273.15+Constants!B$33))</f>
        <v>7.7786200000000001</v>
      </c>
      <c r="E57" s="225" t="s">
        <v>596</v>
      </c>
      <c r="F57" s="225" t="s">
        <v>2323</v>
      </c>
      <c r="G57" s="464">
        <f t="shared" si="35"/>
        <v>4.4412831999999999E-2</v>
      </c>
      <c r="H57" s="225" t="s">
        <v>596</v>
      </c>
      <c r="I57" s="225" t="s">
        <v>2323</v>
      </c>
      <c r="J57" s="225" t="str">
        <f ca="1">'Lookup Lists'!B73</f>
        <v>Gas Engine (4-Stroke Rich-Burn)</v>
      </c>
      <c r="K57" s="225">
        <v>99.5</v>
      </c>
      <c r="L57" s="225" t="s">
        <v>596</v>
      </c>
      <c r="M57" s="225" t="s">
        <v>2277</v>
      </c>
      <c r="N57" s="464">
        <v>0.23</v>
      </c>
      <c r="O57" s="225" t="s">
        <v>2283</v>
      </c>
      <c r="P57" s="225" t="s">
        <v>596</v>
      </c>
      <c r="Q57" s="225" t="s">
        <v>2277</v>
      </c>
      <c r="R57" s="237">
        <f>lb_per_mmBTU_to_tonnes_per_GJ</f>
        <v>4.2992258230842723E-4</v>
      </c>
      <c r="S57" s="225">
        <v>0</v>
      </c>
      <c r="T57" s="225" t="s">
        <v>2283</v>
      </c>
      <c r="U57" s="225" t="s">
        <v>596</v>
      </c>
      <c r="V57" s="225" t="s">
        <v>2277</v>
      </c>
      <c r="W57" s="237">
        <f>lb_per_mmBTU_to_tonnes_per_GJ</f>
        <v>4.2992258230842723E-4</v>
      </c>
      <c r="X57" s="225">
        <v>2.21</v>
      </c>
      <c r="Y57" s="225" t="s">
        <v>2283</v>
      </c>
      <c r="Z57" s="225" t="s">
        <v>596</v>
      </c>
      <c r="AA57" s="225" t="s">
        <v>2683</v>
      </c>
      <c r="AB57" s="237">
        <f>lb_per_mmBTU_to_tonnes_per_GJ</f>
        <v>4.2992258230842723E-4</v>
      </c>
      <c r="AC57" s="225">
        <v>3.51</v>
      </c>
      <c r="AD57" s="225" t="s">
        <v>2283</v>
      </c>
      <c r="AE57" s="225" t="s">
        <v>596</v>
      </c>
      <c r="AF57" s="225" t="s">
        <v>2683</v>
      </c>
      <c r="AG57" s="237">
        <f>lb_per_mmBTU_to_tonnes_per_GJ</f>
        <v>4.2992258230842723E-4</v>
      </c>
      <c r="AH57" s="225">
        <f>0.3581-0.23</f>
        <v>0.12809999999999996</v>
      </c>
      <c r="AI57" s="225" t="s">
        <v>2283</v>
      </c>
      <c r="AJ57" s="225" t="s">
        <v>596</v>
      </c>
      <c r="AK57" s="225" t="s">
        <v>2686</v>
      </c>
      <c r="AL57" s="237">
        <f>lb_per_mmBTU_to_tonnes_per_GJ</f>
        <v>4.2992258230842723E-4</v>
      </c>
      <c r="AM57" s="465">
        <f t="shared" si="26"/>
        <v>0</v>
      </c>
      <c r="AN57" s="465">
        <f t="shared" si="27"/>
        <v>0</v>
      </c>
      <c r="AO57" s="407">
        <f t="shared" si="28"/>
        <v>0</v>
      </c>
      <c r="AP57" s="407">
        <f t="shared" si="29"/>
        <v>0</v>
      </c>
      <c r="AQ57" s="407">
        <f t="shared" si="30"/>
        <v>0</v>
      </c>
      <c r="AR57" s="407">
        <f t="shared" si="31"/>
        <v>0</v>
      </c>
      <c r="AS57" s="407">
        <f t="shared" si="32"/>
        <v>0</v>
      </c>
      <c r="BR57" s="257"/>
      <c r="BS57" s="257"/>
      <c r="BT57" s="257"/>
      <c r="BU57" s="257"/>
      <c r="BV57" s="257"/>
    </row>
    <row r="58" spans="1:74" ht="16.149999999999999" customHeight="1" x14ac:dyDescent="0.35">
      <c r="A58" s="257"/>
      <c r="B58" s="238" t="str">
        <f ca="1">'Translation Table'!H388</f>
        <v>Converter Gas</v>
      </c>
      <c r="C58" s="457"/>
      <c r="D58" s="470">
        <f>(0.64*11.965+0.01*12.102)*(Constants!B$34/101.325)*(288.15/(273.15+Constants!B$33))</f>
        <v>7.7786200000000001</v>
      </c>
      <c r="E58" s="225" t="s">
        <v>596</v>
      </c>
      <c r="F58" s="225" t="s">
        <v>2323</v>
      </c>
      <c r="G58" s="464">
        <f t="shared" si="35"/>
        <v>4.4412831999999999E-2</v>
      </c>
      <c r="H58" s="225" t="s">
        <v>596</v>
      </c>
      <c r="I58" s="225" t="s">
        <v>2323</v>
      </c>
      <c r="J58" s="225" t="str">
        <f ca="1">'Lookup Lists'!B74</f>
        <v>Heaters &amp; Boilers</v>
      </c>
      <c r="K58" s="225">
        <v>100</v>
      </c>
      <c r="L58" s="225" t="s">
        <v>596</v>
      </c>
      <c r="M58" s="225" t="s">
        <v>2281</v>
      </c>
      <c r="N58" s="464">
        <v>2.2999999999999998</v>
      </c>
      <c r="O58" s="225" t="s">
        <v>2284</v>
      </c>
      <c r="P58" s="225" t="s">
        <v>596</v>
      </c>
      <c r="Q58" s="225" t="s">
        <v>2281</v>
      </c>
      <c r="R58" s="238">
        <f>lb_per_mmscf_to_tonne_per_E3m3</f>
        <v>1.6018462505539988E-5</v>
      </c>
      <c r="S58" s="225">
        <v>2.2000000000000002</v>
      </c>
      <c r="T58" s="225" t="s">
        <v>2284</v>
      </c>
      <c r="U58" s="225" t="s">
        <v>596</v>
      </c>
      <c r="V58" s="225" t="s">
        <v>2281</v>
      </c>
      <c r="W58" s="238">
        <f>lb_per_mmscf_to_tonne_per_E3m3</f>
        <v>1.6018462505539988E-5</v>
      </c>
      <c r="X58" s="225">
        <v>280</v>
      </c>
      <c r="Y58" s="225" t="s">
        <v>2284</v>
      </c>
      <c r="Z58" s="225" t="s">
        <v>596</v>
      </c>
      <c r="AA58" s="225" t="s">
        <v>2687</v>
      </c>
      <c r="AB58" s="238">
        <f>lb_per_mmscf_to_tonne_per_E3m3</f>
        <v>1.6018462505539988E-5</v>
      </c>
      <c r="AC58" s="225">
        <v>84</v>
      </c>
      <c r="AD58" s="225" t="s">
        <v>2284</v>
      </c>
      <c r="AE58" s="225" t="s">
        <v>596</v>
      </c>
      <c r="AF58" s="225" t="s">
        <v>2687</v>
      </c>
      <c r="AG58" s="238">
        <f>lb_per_mmscf_to_tonne_per_E3m3</f>
        <v>1.6018462505539988E-5</v>
      </c>
      <c r="AH58" s="225">
        <f>11-2.3</f>
        <v>8.6999999999999993</v>
      </c>
      <c r="AI58" s="225" t="s">
        <v>2284</v>
      </c>
      <c r="AJ58" s="225" t="s">
        <v>596</v>
      </c>
      <c r="AK58" s="225" t="s">
        <v>2691</v>
      </c>
      <c r="AL58" s="238">
        <f>lb_per_mmscf_to_tonne_per_E3m3</f>
        <v>1.6018462505539988E-5</v>
      </c>
      <c r="AM58" s="462">
        <f t="shared" si="26"/>
        <v>0</v>
      </c>
      <c r="AN58" s="462">
        <f t="shared" si="27"/>
        <v>0</v>
      </c>
      <c r="AO58" s="463">
        <f t="shared" si="28"/>
        <v>0</v>
      </c>
      <c r="AP58" s="463">
        <f t="shared" si="29"/>
        <v>0</v>
      </c>
      <c r="AQ58" s="463">
        <f t="shared" si="30"/>
        <v>0</v>
      </c>
      <c r="AR58" s="463">
        <f t="shared" si="31"/>
        <v>0</v>
      </c>
      <c r="AS58" s="463">
        <f t="shared" si="32"/>
        <v>0</v>
      </c>
      <c r="BR58" s="257"/>
      <c r="BS58" s="257"/>
      <c r="BT58" s="257"/>
      <c r="BU58" s="257"/>
      <c r="BV58" s="257"/>
    </row>
    <row r="59" spans="1:74" ht="16.149999999999999" customHeight="1" x14ac:dyDescent="0.35">
      <c r="A59" s="257"/>
      <c r="B59" s="237" t="str">
        <f ca="1">'Translation Table'!H388</f>
        <v>Converter Gas</v>
      </c>
      <c r="C59" s="260"/>
      <c r="D59" s="470">
        <f>(0.64*11.965+0.01*12.102)*(Constants!B$34/101.325)*(288.15/(273.15+Constants!B$33))</f>
        <v>7.7786200000000001</v>
      </c>
      <c r="E59" s="225" t="s">
        <v>596</v>
      </c>
      <c r="F59" s="225" t="s">
        <v>2323</v>
      </c>
      <c r="G59" s="464">
        <f t="shared" si="35"/>
        <v>4.4412831999999999E-2</v>
      </c>
      <c r="H59" s="225" t="s">
        <v>596</v>
      </c>
      <c r="I59" s="225" t="s">
        <v>2323</v>
      </c>
      <c r="J59" s="225" t="str">
        <f ca="1">'Lookup Lists'!B75</f>
        <v>Heaters &amp; Boilers (Low-NOx)</v>
      </c>
      <c r="K59" s="225">
        <v>100</v>
      </c>
      <c r="L59" s="225" t="s">
        <v>596</v>
      </c>
      <c r="M59" s="225" t="s">
        <v>2281</v>
      </c>
      <c r="N59" s="464">
        <v>2.2999999999999998</v>
      </c>
      <c r="O59" s="225" t="s">
        <v>2284</v>
      </c>
      <c r="P59" s="225" t="s">
        <v>596</v>
      </c>
      <c r="Q59" s="225" t="s">
        <v>2281</v>
      </c>
      <c r="R59" s="237">
        <f>lb_per_mmscf_to_tonne_per_E3m3</f>
        <v>1.6018462505539988E-5</v>
      </c>
      <c r="S59" s="225">
        <v>0.64</v>
      </c>
      <c r="T59" s="225" t="s">
        <v>2284</v>
      </c>
      <c r="U59" s="225" t="s">
        <v>596</v>
      </c>
      <c r="V59" s="225" t="s">
        <v>2281</v>
      </c>
      <c r="W59" s="237">
        <f>lb_per_mmscf_to_tonne_per_E3m3</f>
        <v>1.6018462505539988E-5</v>
      </c>
      <c r="X59" s="225">
        <v>140</v>
      </c>
      <c r="Y59" s="225" t="s">
        <v>2284</v>
      </c>
      <c r="Z59" s="225" t="s">
        <v>596</v>
      </c>
      <c r="AA59" s="225" t="s">
        <v>2690</v>
      </c>
      <c r="AB59" s="237">
        <f>lb_per_mmscf_to_tonne_per_E3m3</f>
        <v>1.6018462505539988E-5</v>
      </c>
      <c r="AC59" s="225">
        <v>84</v>
      </c>
      <c r="AD59" s="225" t="s">
        <v>2284</v>
      </c>
      <c r="AE59" s="225" t="s">
        <v>596</v>
      </c>
      <c r="AF59" s="225" t="s">
        <v>2690</v>
      </c>
      <c r="AG59" s="237">
        <f>lb_per_mmscf_to_tonne_per_E3m3</f>
        <v>1.6018462505539988E-5</v>
      </c>
      <c r="AH59" s="225">
        <f>11-2.3</f>
        <v>8.6999999999999993</v>
      </c>
      <c r="AI59" s="225" t="s">
        <v>2284</v>
      </c>
      <c r="AJ59" s="225" t="s">
        <v>596</v>
      </c>
      <c r="AK59" s="225" t="s">
        <v>2691</v>
      </c>
      <c r="AL59" s="237">
        <f>lb_per_mmscf_to_tonne_per_E3m3</f>
        <v>1.6018462505539988E-5</v>
      </c>
      <c r="AM59" s="465">
        <f t="shared" si="26"/>
        <v>0</v>
      </c>
      <c r="AN59" s="465">
        <f t="shared" si="27"/>
        <v>0</v>
      </c>
      <c r="AO59" s="407">
        <f t="shared" si="28"/>
        <v>0</v>
      </c>
      <c r="AP59" s="407">
        <f t="shared" si="29"/>
        <v>0</v>
      </c>
      <c r="AQ59" s="407">
        <f t="shared" si="30"/>
        <v>0</v>
      </c>
      <c r="AR59" s="407">
        <f t="shared" si="31"/>
        <v>0</v>
      </c>
      <c r="AS59" s="407">
        <f t="shared" si="32"/>
        <v>0</v>
      </c>
      <c r="BR59" s="257"/>
      <c r="BS59" s="257"/>
      <c r="BT59" s="257"/>
      <c r="BU59" s="257"/>
      <c r="BV59" s="257"/>
    </row>
    <row r="60" spans="1:74" ht="16.149999999999999" customHeight="1" x14ac:dyDescent="0.35">
      <c r="A60" s="257"/>
      <c r="B60" s="238" t="str">
        <f ca="1">'Translation Table'!H389</f>
        <v>Gas of Calcium Carbide Furnace</v>
      </c>
      <c r="C60" s="457"/>
      <c r="D60" s="225">
        <f>111.19/10*(Constants!B$34/101.325)*(288.15/(273.15+Constants!B$33))</f>
        <v>11.119</v>
      </c>
      <c r="E60" s="225" t="s">
        <v>596</v>
      </c>
      <c r="F60" s="225" t="s">
        <v>667</v>
      </c>
      <c r="G60" s="464">
        <f t="shared" ref="G60:G65" si="36">0.03951*0.8954</f>
        <v>3.5377254000000004E-2</v>
      </c>
      <c r="H60" s="225" t="s">
        <v>596</v>
      </c>
      <c r="I60" s="225" t="s">
        <v>667</v>
      </c>
      <c r="J60" s="225" t="str">
        <f ca="1">'Lookup Lists'!B70</f>
        <v>Turbine</v>
      </c>
      <c r="K60" s="225">
        <v>99.5</v>
      </c>
      <c r="L60" s="225" t="s">
        <v>596</v>
      </c>
      <c r="M60" s="225" t="s">
        <v>2272</v>
      </c>
      <c r="N60" s="464">
        <v>8.6E-3</v>
      </c>
      <c r="O60" s="225" t="s">
        <v>2283</v>
      </c>
      <c r="P60" s="225" t="s">
        <v>596</v>
      </c>
      <c r="Q60" s="225" t="s">
        <v>2272</v>
      </c>
      <c r="R60" s="238">
        <f>lb_per_mmBTU_to_tonnes_per_GJ</f>
        <v>4.2992258230842723E-4</v>
      </c>
      <c r="S60" s="225">
        <v>3.0000000000000001E-3</v>
      </c>
      <c r="T60" s="225" t="s">
        <v>2283</v>
      </c>
      <c r="U60" s="225" t="s">
        <v>596</v>
      </c>
      <c r="V60" s="225" t="s">
        <v>2272</v>
      </c>
      <c r="W60" s="238">
        <f>lb_per_mmBTU_to_tonnes_per_GJ</f>
        <v>4.2992258230842723E-4</v>
      </c>
      <c r="X60" s="225">
        <v>0.32</v>
      </c>
      <c r="Y60" s="225" t="s">
        <v>2283</v>
      </c>
      <c r="Z60" s="225" t="s">
        <v>596</v>
      </c>
      <c r="AA60" s="225" t="s">
        <v>2601</v>
      </c>
      <c r="AB60" s="238">
        <f>lb_per_mmBTU_to_tonnes_per_GJ</f>
        <v>4.2992258230842723E-4</v>
      </c>
      <c r="AC60" s="225">
        <v>8.2000000000000003E-2</v>
      </c>
      <c r="AD60" s="225" t="s">
        <v>2283</v>
      </c>
      <c r="AE60" s="225" t="s">
        <v>596</v>
      </c>
      <c r="AF60" s="225" t="s">
        <v>2601</v>
      </c>
      <c r="AG60" s="238">
        <f>lb_per_mmBTU_to_tonnes_per_GJ</f>
        <v>4.2992258230842723E-4</v>
      </c>
      <c r="AH60" s="225">
        <f>0.011-0.0086</f>
        <v>2.3999999999999994E-3</v>
      </c>
      <c r="AI60" s="225" t="s">
        <v>2283</v>
      </c>
      <c r="AJ60" s="225" t="s">
        <v>596</v>
      </c>
      <c r="AK60" s="225" t="s">
        <v>2602</v>
      </c>
      <c r="AL60" s="238">
        <f>lb_per_mmBTU_to_tonnes_per_GJ</f>
        <v>4.2992258230842723E-4</v>
      </c>
      <c r="AM60" s="462">
        <f t="shared" si="26"/>
        <v>0</v>
      </c>
      <c r="AN60" s="462">
        <f t="shared" si="27"/>
        <v>0</v>
      </c>
      <c r="AO60" s="463">
        <f t="shared" si="28"/>
        <v>0</v>
      </c>
      <c r="AP60" s="463">
        <f t="shared" si="29"/>
        <v>0</v>
      </c>
      <c r="AQ60" s="463">
        <f t="shared" si="30"/>
        <v>0</v>
      </c>
      <c r="AR60" s="463">
        <f t="shared" si="31"/>
        <v>0</v>
      </c>
      <c r="AS60" s="463">
        <f t="shared" si="32"/>
        <v>0</v>
      </c>
      <c r="BR60" s="257"/>
      <c r="BS60" s="257"/>
      <c r="BT60" s="257"/>
      <c r="BU60" s="257"/>
      <c r="BV60" s="257"/>
    </row>
    <row r="61" spans="1:74" ht="16.149999999999999" customHeight="1" x14ac:dyDescent="0.35">
      <c r="A61" s="257"/>
      <c r="B61" s="237" t="str">
        <f ca="1">'Translation Table'!H389</f>
        <v>Gas of Calcium Carbide Furnace</v>
      </c>
      <c r="C61" s="260"/>
      <c r="D61" s="225">
        <f>111.19/10*(Constants!B$34/101.325)*(288.15/(273.15+Constants!B$33))</f>
        <v>11.119</v>
      </c>
      <c r="E61" s="225" t="s">
        <v>596</v>
      </c>
      <c r="F61" s="225" t="s">
        <v>667</v>
      </c>
      <c r="G61" s="464">
        <f t="shared" si="36"/>
        <v>3.5377254000000004E-2</v>
      </c>
      <c r="H61" s="225" t="s">
        <v>596</v>
      </c>
      <c r="I61" s="225" t="s">
        <v>667</v>
      </c>
      <c r="J61" s="225" t="str">
        <f ca="1">'Lookup Lists'!B71</f>
        <v>Gas Engine (2-Stroke Lean-Burn)</v>
      </c>
      <c r="K61" s="225">
        <v>99.5</v>
      </c>
      <c r="L61" s="225" t="s">
        <v>596</v>
      </c>
      <c r="M61" s="225" t="s">
        <v>2275</v>
      </c>
      <c r="N61" s="464">
        <v>1.45</v>
      </c>
      <c r="O61" s="225" t="s">
        <v>2283</v>
      </c>
      <c r="P61" s="225" t="s">
        <v>596</v>
      </c>
      <c r="Q61" s="225" t="s">
        <v>2275</v>
      </c>
      <c r="R61" s="237">
        <f>lb_per_mmBTU_to_tonnes_per_GJ</f>
        <v>4.2992258230842723E-4</v>
      </c>
      <c r="S61" s="225">
        <v>0</v>
      </c>
      <c r="T61" s="225" t="s">
        <v>2283</v>
      </c>
      <c r="U61" s="225" t="s">
        <v>596</v>
      </c>
      <c r="V61" s="225" t="s">
        <v>2275</v>
      </c>
      <c r="W61" s="237">
        <f>lb_per_mmBTU_to_tonnes_per_GJ</f>
        <v>4.2992258230842723E-4</v>
      </c>
      <c r="X61" s="225">
        <v>3.17</v>
      </c>
      <c r="Y61" s="225" t="s">
        <v>2283</v>
      </c>
      <c r="Z61" s="225" t="s">
        <v>596</v>
      </c>
      <c r="AA61" s="225" t="s">
        <v>2681</v>
      </c>
      <c r="AB61" s="237">
        <f>lb_per_mmBTU_to_tonnes_per_GJ</f>
        <v>4.2992258230842723E-4</v>
      </c>
      <c r="AC61" s="464">
        <v>0.38600000000000001</v>
      </c>
      <c r="AD61" s="225" t="s">
        <v>2283</v>
      </c>
      <c r="AE61" s="225" t="s">
        <v>596</v>
      </c>
      <c r="AF61" s="225" t="s">
        <v>2681</v>
      </c>
      <c r="AG61" s="237">
        <f>lb_per_mmBTU_to_tonnes_per_GJ</f>
        <v>4.2992258230842723E-4</v>
      </c>
      <c r="AH61" s="464">
        <f>1.64-N61</f>
        <v>0.18999999999999995</v>
      </c>
      <c r="AI61" s="225" t="s">
        <v>2283</v>
      </c>
      <c r="AJ61" s="225" t="s">
        <v>596</v>
      </c>
      <c r="AK61" s="225" t="s">
        <v>2684</v>
      </c>
      <c r="AL61" s="237">
        <f>lb_per_mmBTU_to_tonnes_per_GJ</f>
        <v>4.2992258230842723E-4</v>
      </c>
      <c r="AM61" s="465">
        <f t="shared" si="26"/>
        <v>0</v>
      </c>
      <c r="AN61" s="465">
        <f t="shared" si="27"/>
        <v>0</v>
      </c>
      <c r="AO61" s="407">
        <f t="shared" si="28"/>
        <v>0</v>
      </c>
      <c r="AP61" s="407">
        <f t="shared" si="29"/>
        <v>0</v>
      </c>
      <c r="AQ61" s="407">
        <f t="shared" si="30"/>
        <v>0</v>
      </c>
      <c r="AR61" s="407">
        <f t="shared" si="31"/>
        <v>0</v>
      </c>
      <c r="AS61" s="407">
        <f t="shared" si="32"/>
        <v>0</v>
      </c>
      <c r="BR61" s="257"/>
      <c r="BS61" s="257"/>
      <c r="BT61" s="257"/>
      <c r="BU61" s="257"/>
      <c r="BV61" s="257"/>
    </row>
    <row r="62" spans="1:74" ht="16.149999999999999" customHeight="1" x14ac:dyDescent="0.35">
      <c r="A62" s="257"/>
      <c r="B62" s="238" t="str">
        <f ca="1">'Translation Table'!H389</f>
        <v>Gas of Calcium Carbide Furnace</v>
      </c>
      <c r="C62" s="457"/>
      <c r="D62" s="225">
        <f>111.19/10*(Constants!B$34/101.325)*(288.15/(273.15+Constants!B$33))</f>
        <v>11.119</v>
      </c>
      <c r="E62" s="225" t="s">
        <v>596</v>
      </c>
      <c r="F62" s="225" t="s">
        <v>667</v>
      </c>
      <c r="G62" s="464">
        <f t="shared" si="36"/>
        <v>3.5377254000000004E-2</v>
      </c>
      <c r="H62" s="225" t="s">
        <v>596</v>
      </c>
      <c r="I62" s="225" t="s">
        <v>667</v>
      </c>
      <c r="J62" s="225" t="str">
        <f ca="1">'Lookup Lists'!B72</f>
        <v>Gas Engine (4-Stroke Lean-Burn)</v>
      </c>
      <c r="K62" s="225">
        <v>99.5</v>
      </c>
      <c r="L62" s="225" t="s">
        <v>596</v>
      </c>
      <c r="M62" s="225" t="s">
        <v>2276</v>
      </c>
      <c r="N62" s="464">
        <v>1.25</v>
      </c>
      <c r="O62" s="225" t="s">
        <v>2283</v>
      </c>
      <c r="P62" s="225" t="s">
        <v>596</v>
      </c>
      <c r="Q62" s="225" t="s">
        <v>2276</v>
      </c>
      <c r="R62" s="238">
        <f>lb_per_mmBTU_to_tonnes_per_GJ</f>
        <v>4.2992258230842723E-4</v>
      </c>
      <c r="S62" s="225">
        <v>0</v>
      </c>
      <c r="T62" s="225" t="s">
        <v>2283</v>
      </c>
      <c r="U62" s="225" t="s">
        <v>596</v>
      </c>
      <c r="V62" s="225" t="s">
        <v>2276</v>
      </c>
      <c r="W62" s="238">
        <f>lb_per_mmBTU_to_tonnes_per_GJ</f>
        <v>4.2992258230842723E-4</v>
      </c>
      <c r="X62" s="225">
        <v>4.08</v>
      </c>
      <c r="Y62" s="225" t="s">
        <v>2283</v>
      </c>
      <c r="Z62" s="225" t="s">
        <v>596</v>
      </c>
      <c r="AA62" s="225" t="s">
        <v>2682</v>
      </c>
      <c r="AB62" s="238">
        <f>lb_per_mmBTU_to_tonnes_per_GJ</f>
        <v>4.2992258230842723E-4</v>
      </c>
      <c r="AC62" s="464">
        <v>0.317</v>
      </c>
      <c r="AD62" s="225" t="s">
        <v>2283</v>
      </c>
      <c r="AE62" s="225" t="s">
        <v>596</v>
      </c>
      <c r="AF62" s="225" t="s">
        <v>2682</v>
      </c>
      <c r="AG62" s="238">
        <f>lb_per_mmBTU_to_tonnes_per_GJ</f>
        <v>4.2992258230842723E-4</v>
      </c>
      <c r="AH62" s="464">
        <f>1.47-N62</f>
        <v>0.21999999999999997</v>
      </c>
      <c r="AI62" s="225" t="s">
        <v>2283</v>
      </c>
      <c r="AJ62" s="225" t="s">
        <v>596</v>
      </c>
      <c r="AK62" s="225" t="s">
        <v>2685</v>
      </c>
      <c r="AL62" s="238">
        <f>lb_per_mmBTU_to_tonnes_per_GJ</f>
        <v>4.2992258230842723E-4</v>
      </c>
      <c r="AM62" s="462">
        <f t="shared" si="26"/>
        <v>0</v>
      </c>
      <c r="AN62" s="462">
        <f t="shared" si="27"/>
        <v>0</v>
      </c>
      <c r="AO62" s="463">
        <f t="shared" si="28"/>
        <v>0</v>
      </c>
      <c r="AP62" s="463">
        <f t="shared" si="29"/>
        <v>0</v>
      </c>
      <c r="AQ62" s="463">
        <f t="shared" si="30"/>
        <v>0</v>
      </c>
      <c r="AR62" s="463">
        <f t="shared" si="31"/>
        <v>0</v>
      </c>
      <c r="AS62" s="463">
        <f t="shared" si="32"/>
        <v>0</v>
      </c>
      <c r="BR62" s="257"/>
      <c r="BS62" s="257"/>
      <c r="BT62" s="257"/>
      <c r="BU62" s="257"/>
      <c r="BV62" s="257"/>
    </row>
    <row r="63" spans="1:74" ht="16.149999999999999" customHeight="1" x14ac:dyDescent="0.35">
      <c r="A63" s="257"/>
      <c r="B63" s="237" t="str">
        <f ca="1">'Translation Table'!H389</f>
        <v>Gas of Calcium Carbide Furnace</v>
      </c>
      <c r="C63" s="260"/>
      <c r="D63" s="225">
        <f>111.19/10*(Constants!B$34/101.325)*(288.15/(273.15+Constants!B$33))</f>
        <v>11.119</v>
      </c>
      <c r="E63" s="225" t="s">
        <v>596</v>
      </c>
      <c r="F63" s="225" t="s">
        <v>667</v>
      </c>
      <c r="G63" s="464">
        <f t="shared" si="36"/>
        <v>3.5377254000000004E-2</v>
      </c>
      <c r="H63" s="225" t="s">
        <v>596</v>
      </c>
      <c r="I63" s="225" t="s">
        <v>667</v>
      </c>
      <c r="J63" s="225" t="str">
        <f ca="1">'Lookup Lists'!B73</f>
        <v>Gas Engine (4-Stroke Rich-Burn)</v>
      </c>
      <c r="K63" s="225">
        <v>99.5</v>
      </c>
      <c r="L63" s="225" t="s">
        <v>596</v>
      </c>
      <c r="M63" s="225" t="s">
        <v>2277</v>
      </c>
      <c r="N63" s="464">
        <v>0.23</v>
      </c>
      <c r="O63" s="225" t="s">
        <v>2283</v>
      </c>
      <c r="P63" s="225" t="s">
        <v>596</v>
      </c>
      <c r="Q63" s="225" t="s">
        <v>2277</v>
      </c>
      <c r="R63" s="237">
        <f>lb_per_mmBTU_to_tonnes_per_GJ</f>
        <v>4.2992258230842723E-4</v>
      </c>
      <c r="S63" s="225">
        <v>0</v>
      </c>
      <c r="T63" s="225" t="s">
        <v>2283</v>
      </c>
      <c r="U63" s="225" t="s">
        <v>596</v>
      </c>
      <c r="V63" s="225" t="s">
        <v>2277</v>
      </c>
      <c r="W63" s="237">
        <f>lb_per_mmBTU_to_tonnes_per_GJ</f>
        <v>4.2992258230842723E-4</v>
      </c>
      <c r="X63" s="225">
        <v>2.21</v>
      </c>
      <c r="Y63" s="225" t="s">
        <v>2283</v>
      </c>
      <c r="Z63" s="225" t="s">
        <v>596</v>
      </c>
      <c r="AA63" s="225" t="s">
        <v>2683</v>
      </c>
      <c r="AB63" s="237">
        <f>lb_per_mmBTU_to_tonnes_per_GJ</f>
        <v>4.2992258230842723E-4</v>
      </c>
      <c r="AC63" s="225">
        <v>3.51</v>
      </c>
      <c r="AD63" s="225" t="s">
        <v>2283</v>
      </c>
      <c r="AE63" s="225" t="s">
        <v>596</v>
      </c>
      <c r="AF63" s="225" t="s">
        <v>2683</v>
      </c>
      <c r="AG63" s="237">
        <f>lb_per_mmBTU_to_tonnes_per_GJ</f>
        <v>4.2992258230842723E-4</v>
      </c>
      <c r="AH63" s="225">
        <f>0.3581-0.23</f>
        <v>0.12809999999999996</v>
      </c>
      <c r="AI63" s="225" t="s">
        <v>2283</v>
      </c>
      <c r="AJ63" s="225" t="s">
        <v>596</v>
      </c>
      <c r="AK63" s="225" t="s">
        <v>2686</v>
      </c>
      <c r="AL63" s="237">
        <f>lb_per_mmBTU_to_tonnes_per_GJ</f>
        <v>4.2992258230842723E-4</v>
      </c>
      <c r="AM63" s="465">
        <f t="shared" si="26"/>
        <v>0</v>
      </c>
      <c r="AN63" s="465">
        <f t="shared" si="27"/>
        <v>0</v>
      </c>
      <c r="AO63" s="407">
        <f t="shared" si="28"/>
        <v>0</v>
      </c>
      <c r="AP63" s="407">
        <f t="shared" si="29"/>
        <v>0</v>
      </c>
      <c r="AQ63" s="407">
        <f t="shared" si="30"/>
        <v>0</v>
      </c>
      <c r="AR63" s="407">
        <f t="shared" si="31"/>
        <v>0</v>
      </c>
      <c r="AS63" s="407">
        <f t="shared" si="32"/>
        <v>0</v>
      </c>
      <c r="BR63" s="257"/>
      <c r="BS63" s="257"/>
      <c r="BT63" s="257"/>
      <c r="BU63" s="257"/>
      <c r="BV63" s="257"/>
    </row>
    <row r="64" spans="1:74" ht="16.149999999999999" customHeight="1" x14ac:dyDescent="0.35">
      <c r="A64" s="257"/>
      <c r="B64" s="238" t="str">
        <f ca="1">'Translation Table'!H389</f>
        <v>Gas of Calcium Carbide Furnace</v>
      </c>
      <c r="C64" s="457"/>
      <c r="D64" s="225">
        <f>111.19/10*(Constants!B$34/101.325)*(288.15/(273.15+Constants!B$33))</f>
        <v>11.119</v>
      </c>
      <c r="E64" s="225" t="s">
        <v>596</v>
      </c>
      <c r="F64" s="225" t="s">
        <v>667</v>
      </c>
      <c r="G64" s="464">
        <f t="shared" si="36"/>
        <v>3.5377254000000004E-2</v>
      </c>
      <c r="H64" s="225" t="s">
        <v>596</v>
      </c>
      <c r="I64" s="225" t="s">
        <v>667</v>
      </c>
      <c r="J64" s="225" t="str">
        <f ca="1">'Lookup Lists'!B74</f>
        <v>Heaters &amp; Boilers</v>
      </c>
      <c r="K64" s="225">
        <v>100</v>
      </c>
      <c r="L64" s="225" t="s">
        <v>596</v>
      </c>
      <c r="M64" s="225" t="s">
        <v>2281</v>
      </c>
      <c r="N64" s="464">
        <v>2.2999999999999998</v>
      </c>
      <c r="O64" s="225" t="s">
        <v>2284</v>
      </c>
      <c r="P64" s="225" t="s">
        <v>596</v>
      </c>
      <c r="Q64" s="225" t="s">
        <v>2281</v>
      </c>
      <c r="R64" s="238">
        <f>lb_per_mmscf_to_tonne_per_E3m3</f>
        <v>1.6018462505539988E-5</v>
      </c>
      <c r="S64" s="225">
        <v>2.2000000000000002</v>
      </c>
      <c r="T64" s="225" t="s">
        <v>2284</v>
      </c>
      <c r="U64" s="225" t="s">
        <v>596</v>
      </c>
      <c r="V64" s="225" t="s">
        <v>2281</v>
      </c>
      <c r="W64" s="238">
        <f>lb_per_mmscf_to_tonne_per_E3m3</f>
        <v>1.6018462505539988E-5</v>
      </c>
      <c r="X64" s="225">
        <v>280</v>
      </c>
      <c r="Y64" s="225" t="s">
        <v>2284</v>
      </c>
      <c r="Z64" s="225" t="s">
        <v>596</v>
      </c>
      <c r="AA64" s="225" t="s">
        <v>2687</v>
      </c>
      <c r="AB64" s="238">
        <f>lb_per_mmscf_to_tonne_per_E3m3</f>
        <v>1.6018462505539988E-5</v>
      </c>
      <c r="AC64" s="225">
        <v>84</v>
      </c>
      <c r="AD64" s="225" t="s">
        <v>2284</v>
      </c>
      <c r="AE64" s="225" t="s">
        <v>596</v>
      </c>
      <c r="AF64" s="225" t="s">
        <v>2687</v>
      </c>
      <c r="AG64" s="238">
        <f>lb_per_mmscf_to_tonne_per_E3m3</f>
        <v>1.6018462505539988E-5</v>
      </c>
      <c r="AH64" s="225">
        <f>11-2.3</f>
        <v>8.6999999999999993</v>
      </c>
      <c r="AI64" s="225" t="s">
        <v>2284</v>
      </c>
      <c r="AJ64" s="225" t="s">
        <v>596</v>
      </c>
      <c r="AK64" s="225" t="s">
        <v>2691</v>
      </c>
      <c r="AL64" s="238">
        <f>lb_per_mmscf_to_tonne_per_E3m3</f>
        <v>1.6018462505539988E-5</v>
      </c>
      <c r="AM64" s="462">
        <f t="shared" si="26"/>
        <v>0</v>
      </c>
      <c r="AN64" s="462">
        <f t="shared" si="27"/>
        <v>0</v>
      </c>
      <c r="AO64" s="463">
        <f t="shared" si="28"/>
        <v>0</v>
      </c>
      <c r="AP64" s="463">
        <f t="shared" si="29"/>
        <v>0</v>
      </c>
      <c r="AQ64" s="463">
        <f t="shared" si="30"/>
        <v>0</v>
      </c>
      <c r="AR64" s="463">
        <f t="shared" si="31"/>
        <v>0</v>
      </c>
      <c r="AS64" s="463">
        <f t="shared" si="32"/>
        <v>0</v>
      </c>
      <c r="BR64" s="257"/>
      <c r="BS64" s="257"/>
      <c r="BT64" s="257"/>
      <c r="BU64" s="257"/>
      <c r="BV64" s="257"/>
    </row>
    <row r="65" spans="1:74" ht="16.149999999999999" customHeight="1" x14ac:dyDescent="0.35">
      <c r="A65" s="257"/>
      <c r="B65" s="237" t="str">
        <f ca="1">'Translation Table'!H389</f>
        <v>Gas of Calcium Carbide Furnace</v>
      </c>
      <c r="C65" s="260"/>
      <c r="D65" s="225">
        <f>111.19/10*(Constants!B$34/101.325)*(288.15/(273.15+Constants!B$33))</f>
        <v>11.119</v>
      </c>
      <c r="E65" s="225" t="s">
        <v>596</v>
      </c>
      <c r="F65" s="225" t="s">
        <v>667</v>
      </c>
      <c r="G65" s="464">
        <f t="shared" si="36"/>
        <v>3.5377254000000004E-2</v>
      </c>
      <c r="H65" s="225" t="s">
        <v>596</v>
      </c>
      <c r="I65" s="225" t="s">
        <v>667</v>
      </c>
      <c r="J65" s="225" t="str">
        <f ca="1">'Lookup Lists'!B75</f>
        <v>Heaters &amp; Boilers (Low-NOx)</v>
      </c>
      <c r="K65" s="225">
        <v>100</v>
      </c>
      <c r="L65" s="225" t="s">
        <v>596</v>
      </c>
      <c r="M65" s="225" t="s">
        <v>2281</v>
      </c>
      <c r="N65" s="464">
        <v>2.2999999999999998</v>
      </c>
      <c r="O65" s="225" t="s">
        <v>2284</v>
      </c>
      <c r="P65" s="225" t="s">
        <v>596</v>
      </c>
      <c r="Q65" s="225" t="s">
        <v>2281</v>
      </c>
      <c r="R65" s="237">
        <f>lb_per_mmscf_to_tonne_per_E3m3</f>
        <v>1.6018462505539988E-5</v>
      </c>
      <c r="S65" s="225">
        <v>0.64</v>
      </c>
      <c r="T65" s="225" t="s">
        <v>2284</v>
      </c>
      <c r="U65" s="225" t="s">
        <v>596</v>
      </c>
      <c r="V65" s="225" t="s">
        <v>2281</v>
      </c>
      <c r="W65" s="237">
        <f>lb_per_mmscf_to_tonne_per_E3m3</f>
        <v>1.6018462505539988E-5</v>
      </c>
      <c r="X65" s="225">
        <v>140</v>
      </c>
      <c r="Y65" s="225" t="s">
        <v>2284</v>
      </c>
      <c r="Z65" s="225" t="s">
        <v>596</v>
      </c>
      <c r="AA65" s="225" t="s">
        <v>2690</v>
      </c>
      <c r="AB65" s="237">
        <f>lb_per_mmscf_to_tonne_per_E3m3</f>
        <v>1.6018462505539988E-5</v>
      </c>
      <c r="AC65" s="225">
        <v>84</v>
      </c>
      <c r="AD65" s="225" t="s">
        <v>2284</v>
      </c>
      <c r="AE65" s="225" t="s">
        <v>596</v>
      </c>
      <c r="AF65" s="225" t="s">
        <v>2690</v>
      </c>
      <c r="AG65" s="237">
        <f>lb_per_mmscf_to_tonne_per_E3m3</f>
        <v>1.6018462505539988E-5</v>
      </c>
      <c r="AH65" s="225">
        <f>11-2.3</f>
        <v>8.6999999999999993</v>
      </c>
      <c r="AI65" s="225" t="s">
        <v>2284</v>
      </c>
      <c r="AJ65" s="225" t="s">
        <v>596</v>
      </c>
      <c r="AK65" s="225" t="s">
        <v>2691</v>
      </c>
      <c r="AL65" s="237">
        <f>lb_per_mmscf_to_tonne_per_E3m3</f>
        <v>1.6018462505539988E-5</v>
      </c>
      <c r="AM65" s="465">
        <f t="shared" si="26"/>
        <v>0</v>
      </c>
      <c r="AN65" s="465">
        <f t="shared" si="27"/>
        <v>0</v>
      </c>
      <c r="AO65" s="407">
        <f t="shared" si="28"/>
        <v>0</v>
      </c>
      <c r="AP65" s="407">
        <f t="shared" si="29"/>
        <v>0</v>
      </c>
      <c r="AQ65" s="407">
        <f t="shared" si="30"/>
        <v>0</v>
      </c>
      <c r="AR65" s="407">
        <f t="shared" si="31"/>
        <v>0</v>
      </c>
      <c r="AS65" s="407">
        <f t="shared" si="32"/>
        <v>0</v>
      </c>
      <c r="BR65" s="257"/>
      <c r="BS65" s="257"/>
      <c r="BT65" s="257"/>
      <c r="BU65" s="257"/>
      <c r="BV65" s="257"/>
    </row>
    <row r="66" spans="1:74" ht="16.149999999999999" customHeight="1" x14ac:dyDescent="0.35">
      <c r="A66" s="257"/>
      <c r="B66" s="238" t="str">
        <f ca="1">'Translation Table'!H390</f>
        <v>Other Coal Gases</v>
      </c>
      <c r="C66" s="457"/>
      <c r="D66" s="225">
        <f>52.27/10*(Constants!B$34/101.325)*(288.15/(273.15+Constants!B$33))</f>
        <v>5.2270000000000003</v>
      </c>
      <c r="E66" s="225" t="s">
        <v>596</v>
      </c>
      <c r="F66" s="225" t="s">
        <v>667</v>
      </c>
      <c r="G66" s="464">
        <f t="shared" ref="G66:G71" si="37">0.0122*0.8954</f>
        <v>1.092388E-2</v>
      </c>
      <c r="H66" s="225" t="s">
        <v>596</v>
      </c>
      <c r="I66" s="225" t="s">
        <v>667</v>
      </c>
      <c r="J66" s="225" t="str">
        <f ca="1">'Lookup Lists'!B70</f>
        <v>Turbine</v>
      </c>
      <c r="K66" s="225">
        <v>99.5</v>
      </c>
      <c r="L66" s="225" t="s">
        <v>596</v>
      </c>
      <c r="M66" s="225" t="s">
        <v>2272</v>
      </c>
      <c r="N66" s="464">
        <v>8.6E-3</v>
      </c>
      <c r="O66" s="225" t="s">
        <v>2283</v>
      </c>
      <c r="P66" s="225" t="s">
        <v>596</v>
      </c>
      <c r="Q66" s="225" t="s">
        <v>2272</v>
      </c>
      <c r="R66" s="238">
        <f>lb_per_mmBTU_to_tonnes_per_GJ</f>
        <v>4.2992258230842723E-4</v>
      </c>
      <c r="S66" s="225">
        <v>3.0000000000000001E-3</v>
      </c>
      <c r="T66" s="225" t="s">
        <v>2283</v>
      </c>
      <c r="U66" s="225" t="s">
        <v>596</v>
      </c>
      <c r="V66" s="225" t="s">
        <v>2272</v>
      </c>
      <c r="W66" s="238">
        <f>lb_per_mmBTU_to_tonnes_per_GJ</f>
        <v>4.2992258230842723E-4</v>
      </c>
      <c r="X66" s="225">
        <v>0.32</v>
      </c>
      <c r="Y66" s="225" t="s">
        <v>2283</v>
      </c>
      <c r="Z66" s="225" t="s">
        <v>596</v>
      </c>
      <c r="AA66" s="225" t="s">
        <v>2601</v>
      </c>
      <c r="AB66" s="238">
        <f>lb_per_mmBTU_to_tonnes_per_GJ</f>
        <v>4.2992258230842723E-4</v>
      </c>
      <c r="AC66" s="225">
        <v>8.2000000000000003E-2</v>
      </c>
      <c r="AD66" s="225" t="s">
        <v>2283</v>
      </c>
      <c r="AE66" s="225" t="s">
        <v>596</v>
      </c>
      <c r="AF66" s="225" t="s">
        <v>2601</v>
      </c>
      <c r="AG66" s="238">
        <f>lb_per_mmBTU_to_tonnes_per_GJ</f>
        <v>4.2992258230842723E-4</v>
      </c>
      <c r="AH66" s="225">
        <f>0.011-0.0086</f>
        <v>2.3999999999999994E-3</v>
      </c>
      <c r="AI66" s="225" t="s">
        <v>2283</v>
      </c>
      <c r="AJ66" s="225" t="s">
        <v>596</v>
      </c>
      <c r="AK66" s="225" t="s">
        <v>2602</v>
      </c>
      <c r="AL66" s="238">
        <f>lb_per_mmBTU_to_tonnes_per_GJ</f>
        <v>4.2992258230842723E-4</v>
      </c>
      <c r="AM66" s="462">
        <f t="shared" si="26"/>
        <v>0</v>
      </c>
      <c r="AN66" s="462">
        <f t="shared" si="27"/>
        <v>0</v>
      </c>
      <c r="AO66" s="463">
        <f t="shared" si="28"/>
        <v>0</v>
      </c>
      <c r="AP66" s="463">
        <f t="shared" si="29"/>
        <v>0</v>
      </c>
      <c r="AQ66" s="463">
        <f t="shared" si="30"/>
        <v>0</v>
      </c>
      <c r="AR66" s="463">
        <f t="shared" si="31"/>
        <v>0</v>
      </c>
      <c r="AS66" s="463">
        <f t="shared" si="32"/>
        <v>0</v>
      </c>
      <c r="BR66" s="257"/>
      <c r="BS66" s="257"/>
      <c r="BT66" s="257"/>
      <c r="BU66" s="257"/>
      <c r="BV66" s="257"/>
    </row>
    <row r="67" spans="1:74" ht="16.149999999999999" customHeight="1" x14ac:dyDescent="0.35">
      <c r="A67" s="257"/>
      <c r="B67" s="237" t="str">
        <f ca="1">'Translation Table'!H390</f>
        <v>Other Coal Gases</v>
      </c>
      <c r="C67" s="260"/>
      <c r="D67" s="225">
        <f>52.27/10*(Constants!B$34/101.325)*(288.15/(273.15+Constants!B$33))</f>
        <v>5.2270000000000003</v>
      </c>
      <c r="E67" s="225" t="s">
        <v>596</v>
      </c>
      <c r="F67" s="225" t="s">
        <v>667</v>
      </c>
      <c r="G67" s="464">
        <f t="shared" si="37"/>
        <v>1.092388E-2</v>
      </c>
      <c r="H67" s="225" t="s">
        <v>596</v>
      </c>
      <c r="I67" s="225" t="s">
        <v>667</v>
      </c>
      <c r="J67" s="225" t="str">
        <f ca="1">'Lookup Lists'!B71</f>
        <v>Gas Engine (2-Stroke Lean-Burn)</v>
      </c>
      <c r="K67" s="225">
        <v>99.5</v>
      </c>
      <c r="L67" s="225" t="s">
        <v>596</v>
      </c>
      <c r="M67" s="225" t="s">
        <v>2275</v>
      </c>
      <c r="N67" s="464">
        <v>1.45</v>
      </c>
      <c r="O67" s="225" t="s">
        <v>2283</v>
      </c>
      <c r="P67" s="225" t="s">
        <v>596</v>
      </c>
      <c r="Q67" s="225" t="s">
        <v>2275</v>
      </c>
      <c r="R67" s="237">
        <f>lb_per_mmBTU_to_tonnes_per_GJ</f>
        <v>4.2992258230842723E-4</v>
      </c>
      <c r="S67" s="225">
        <v>0</v>
      </c>
      <c r="T67" s="225" t="s">
        <v>2283</v>
      </c>
      <c r="U67" s="225" t="s">
        <v>596</v>
      </c>
      <c r="V67" s="225" t="s">
        <v>2275</v>
      </c>
      <c r="W67" s="237">
        <f>lb_per_mmBTU_to_tonnes_per_GJ</f>
        <v>4.2992258230842723E-4</v>
      </c>
      <c r="X67" s="225">
        <v>3.17</v>
      </c>
      <c r="Y67" s="225" t="s">
        <v>2283</v>
      </c>
      <c r="Z67" s="225" t="s">
        <v>596</v>
      </c>
      <c r="AA67" s="225" t="s">
        <v>2681</v>
      </c>
      <c r="AB67" s="237">
        <f>lb_per_mmBTU_to_tonnes_per_GJ</f>
        <v>4.2992258230842723E-4</v>
      </c>
      <c r="AC67" s="464">
        <v>0.38600000000000001</v>
      </c>
      <c r="AD67" s="225" t="s">
        <v>2283</v>
      </c>
      <c r="AE67" s="225" t="s">
        <v>596</v>
      </c>
      <c r="AF67" s="225" t="s">
        <v>2681</v>
      </c>
      <c r="AG67" s="237">
        <f>lb_per_mmBTU_to_tonnes_per_GJ</f>
        <v>4.2992258230842723E-4</v>
      </c>
      <c r="AH67" s="464">
        <f>1.64-N67</f>
        <v>0.18999999999999995</v>
      </c>
      <c r="AI67" s="225" t="s">
        <v>2283</v>
      </c>
      <c r="AJ67" s="225" t="s">
        <v>596</v>
      </c>
      <c r="AK67" s="225" t="s">
        <v>2684</v>
      </c>
      <c r="AL67" s="237">
        <f>lb_per_mmBTU_to_tonnes_per_GJ</f>
        <v>4.2992258230842723E-4</v>
      </c>
      <c r="AM67" s="465">
        <f t="shared" si="26"/>
        <v>0</v>
      </c>
      <c r="AN67" s="465">
        <f t="shared" si="27"/>
        <v>0</v>
      </c>
      <c r="AO67" s="407">
        <f t="shared" si="28"/>
        <v>0</v>
      </c>
      <c r="AP67" s="407">
        <f t="shared" si="29"/>
        <v>0</v>
      </c>
      <c r="AQ67" s="407">
        <f t="shared" si="30"/>
        <v>0</v>
      </c>
      <c r="AR67" s="407">
        <f t="shared" si="31"/>
        <v>0</v>
      </c>
      <c r="AS67" s="407">
        <f t="shared" si="32"/>
        <v>0</v>
      </c>
      <c r="BR67" s="257"/>
      <c r="BS67" s="257"/>
      <c r="BT67" s="257"/>
      <c r="BU67" s="257"/>
      <c r="BV67" s="257"/>
    </row>
    <row r="68" spans="1:74" ht="16.149999999999999" customHeight="1" x14ac:dyDescent="0.35">
      <c r="A68" s="257"/>
      <c r="B68" s="238" t="str">
        <f ca="1">'Translation Table'!H390</f>
        <v>Other Coal Gases</v>
      </c>
      <c r="C68" s="457"/>
      <c r="D68" s="225">
        <f>52.27/10*(Constants!B$34/101.325)*(288.15/(273.15+Constants!B$33))</f>
        <v>5.2270000000000003</v>
      </c>
      <c r="E68" s="225" t="s">
        <v>596</v>
      </c>
      <c r="F68" s="225" t="s">
        <v>667</v>
      </c>
      <c r="G68" s="464">
        <f t="shared" si="37"/>
        <v>1.092388E-2</v>
      </c>
      <c r="H68" s="225" t="s">
        <v>596</v>
      </c>
      <c r="I68" s="225" t="s">
        <v>667</v>
      </c>
      <c r="J68" s="225" t="str">
        <f ca="1">'Lookup Lists'!B72</f>
        <v>Gas Engine (4-Stroke Lean-Burn)</v>
      </c>
      <c r="K68" s="225">
        <v>99.5</v>
      </c>
      <c r="L68" s="225" t="s">
        <v>596</v>
      </c>
      <c r="M68" s="225" t="s">
        <v>2275</v>
      </c>
      <c r="N68" s="464">
        <v>1.25</v>
      </c>
      <c r="O68" s="225" t="s">
        <v>2283</v>
      </c>
      <c r="P68" s="225" t="s">
        <v>596</v>
      </c>
      <c r="Q68" s="225" t="s">
        <v>2276</v>
      </c>
      <c r="R68" s="238">
        <f>lb_per_mmBTU_to_tonnes_per_GJ</f>
        <v>4.2992258230842723E-4</v>
      </c>
      <c r="S68" s="225">
        <v>0</v>
      </c>
      <c r="T68" s="225" t="s">
        <v>2283</v>
      </c>
      <c r="U68" s="225" t="s">
        <v>596</v>
      </c>
      <c r="V68" s="225" t="s">
        <v>2276</v>
      </c>
      <c r="W68" s="238">
        <f>lb_per_mmBTU_to_tonnes_per_GJ</f>
        <v>4.2992258230842723E-4</v>
      </c>
      <c r="X68" s="225">
        <v>4.08</v>
      </c>
      <c r="Y68" s="225" t="s">
        <v>2283</v>
      </c>
      <c r="Z68" s="225" t="s">
        <v>596</v>
      </c>
      <c r="AA68" s="225" t="s">
        <v>2682</v>
      </c>
      <c r="AB68" s="238">
        <f>lb_per_mmBTU_to_tonnes_per_GJ</f>
        <v>4.2992258230842723E-4</v>
      </c>
      <c r="AC68" s="464">
        <v>0.317</v>
      </c>
      <c r="AD68" s="225" t="s">
        <v>2283</v>
      </c>
      <c r="AE68" s="225" t="s">
        <v>596</v>
      </c>
      <c r="AF68" s="225" t="s">
        <v>2682</v>
      </c>
      <c r="AG68" s="238">
        <f>lb_per_mmBTU_to_tonnes_per_GJ</f>
        <v>4.2992258230842723E-4</v>
      </c>
      <c r="AH68" s="464">
        <f>1.47-N68</f>
        <v>0.21999999999999997</v>
      </c>
      <c r="AI68" s="225" t="s">
        <v>2283</v>
      </c>
      <c r="AJ68" s="225" t="s">
        <v>596</v>
      </c>
      <c r="AK68" s="225" t="s">
        <v>2685</v>
      </c>
      <c r="AL68" s="238">
        <f>lb_per_mmBTU_to_tonnes_per_GJ</f>
        <v>4.2992258230842723E-4</v>
      </c>
      <c r="AM68" s="462">
        <f t="shared" si="26"/>
        <v>0</v>
      </c>
      <c r="AN68" s="462">
        <f t="shared" si="27"/>
        <v>0</v>
      </c>
      <c r="AO68" s="463">
        <f t="shared" si="28"/>
        <v>0</v>
      </c>
      <c r="AP68" s="463">
        <f t="shared" si="29"/>
        <v>0</v>
      </c>
      <c r="AQ68" s="463">
        <f t="shared" si="30"/>
        <v>0</v>
      </c>
      <c r="AR68" s="463">
        <f t="shared" si="31"/>
        <v>0</v>
      </c>
      <c r="AS68" s="463">
        <f t="shared" si="32"/>
        <v>0</v>
      </c>
      <c r="BR68" s="257"/>
      <c r="BS68" s="257"/>
      <c r="BT68" s="257"/>
      <c r="BU68" s="257"/>
      <c r="BV68" s="257"/>
    </row>
    <row r="69" spans="1:74" ht="16.149999999999999" customHeight="1" x14ac:dyDescent="0.35">
      <c r="A69" s="257"/>
      <c r="B69" s="237" t="str">
        <f ca="1">'Translation Table'!H390</f>
        <v>Other Coal Gases</v>
      </c>
      <c r="C69" s="260"/>
      <c r="D69" s="225">
        <f>52.27/10*(Constants!B$34/101.325)*(288.15/(273.15+Constants!B$33))</f>
        <v>5.2270000000000003</v>
      </c>
      <c r="E69" s="225" t="s">
        <v>596</v>
      </c>
      <c r="F69" s="225" t="s">
        <v>667</v>
      </c>
      <c r="G69" s="464">
        <f t="shared" si="37"/>
        <v>1.092388E-2</v>
      </c>
      <c r="H69" s="225" t="s">
        <v>596</v>
      </c>
      <c r="I69" s="225" t="s">
        <v>667</v>
      </c>
      <c r="J69" s="225" t="str">
        <f ca="1">'Lookup Lists'!B73</f>
        <v>Gas Engine (4-Stroke Rich-Burn)</v>
      </c>
      <c r="K69" s="225">
        <v>99.5</v>
      </c>
      <c r="L69" s="225" t="s">
        <v>596</v>
      </c>
      <c r="M69" s="225" t="s">
        <v>2275</v>
      </c>
      <c r="N69" s="464">
        <v>0.23</v>
      </c>
      <c r="O69" s="225" t="s">
        <v>2283</v>
      </c>
      <c r="P69" s="225" t="s">
        <v>596</v>
      </c>
      <c r="Q69" s="225" t="s">
        <v>2277</v>
      </c>
      <c r="R69" s="237">
        <f>lb_per_mmBTU_to_tonnes_per_GJ</f>
        <v>4.2992258230842723E-4</v>
      </c>
      <c r="S69" s="225">
        <v>0</v>
      </c>
      <c r="T69" s="225" t="s">
        <v>2283</v>
      </c>
      <c r="U69" s="225" t="s">
        <v>596</v>
      </c>
      <c r="V69" s="225" t="s">
        <v>2277</v>
      </c>
      <c r="W69" s="237">
        <f>lb_per_mmBTU_to_tonnes_per_GJ</f>
        <v>4.2992258230842723E-4</v>
      </c>
      <c r="X69" s="225">
        <v>2.21</v>
      </c>
      <c r="Y69" s="225" t="s">
        <v>2283</v>
      </c>
      <c r="Z69" s="225" t="s">
        <v>596</v>
      </c>
      <c r="AA69" s="225" t="s">
        <v>2683</v>
      </c>
      <c r="AB69" s="237">
        <f>lb_per_mmBTU_to_tonnes_per_GJ</f>
        <v>4.2992258230842723E-4</v>
      </c>
      <c r="AC69" s="225">
        <v>3.51</v>
      </c>
      <c r="AD69" s="225" t="s">
        <v>2283</v>
      </c>
      <c r="AE69" s="225" t="s">
        <v>596</v>
      </c>
      <c r="AF69" s="225" t="s">
        <v>2683</v>
      </c>
      <c r="AG69" s="237">
        <f>lb_per_mmBTU_to_tonnes_per_GJ</f>
        <v>4.2992258230842723E-4</v>
      </c>
      <c r="AH69" s="225">
        <f>0.3581-0.23</f>
        <v>0.12809999999999996</v>
      </c>
      <c r="AI69" s="225" t="s">
        <v>2283</v>
      </c>
      <c r="AJ69" s="225" t="s">
        <v>596</v>
      </c>
      <c r="AK69" s="225" t="s">
        <v>2686</v>
      </c>
      <c r="AL69" s="237">
        <f>lb_per_mmBTU_to_tonnes_per_GJ</f>
        <v>4.2992258230842723E-4</v>
      </c>
      <c r="AM69" s="465">
        <f t="shared" si="26"/>
        <v>0</v>
      </c>
      <c r="AN69" s="465">
        <f t="shared" si="27"/>
        <v>0</v>
      </c>
      <c r="AO69" s="407">
        <f t="shared" si="28"/>
        <v>0</v>
      </c>
      <c r="AP69" s="407">
        <f t="shared" si="29"/>
        <v>0</v>
      </c>
      <c r="AQ69" s="407">
        <f t="shared" si="30"/>
        <v>0</v>
      </c>
      <c r="AR69" s="407">
        <f t="shared" si="31"/>
        <v>0</v>
      </c>
      <c r="AS69" s="407">
        <f t="shared" si="32"/>
        <v>0</v>
      </c>
      <c r="BR69" s="257"/>
      <c r="BS69" s="257"/>
      <c r="BT69" s="257"/>
      <c r="BU69" s="257"/>
      <c r="BV69" s="257"/>
    </row>
    <row r="70" spans="1:74" ht="16.149999999999999" customHeight="1" x14ac:dyDescent="0.35">
      <c r="A70" s="257"/>
      <c r="B70" s="238" t="str">
        <f ca="1">'Translation Table'!H390</f>
        <v>Other Coal Gases</v>
      </c>
      <c r="C70" s="457"/>
      <c r="D70" s="225">
        <f>52.27/10*(Constants!B$34/101.325)*(288.15/(273.15+Constants!B$33))</f>
        <v>5.2270000000000003</v>
      </c>
      <c r="E70" s="225" t="s">
        <v>596</v>
      </c>
      <c r="F70" s="225" t="s">
        <v>667</v>
      </c>
      <c r="G70" s="464">
        <f t="shared" si="37"/>
        <v>1.092388E-2</v>
      </c>
      <c r="H70" s="225" t="s">
        <v>596</v>
      </c>
      <c r="I70" s="225" t="s">
        <v>667</v>
      </c>
      <c r="J70" s="225" t="str">
        <f ca="1">'Lookup Lists'!B74</f>
        <v>Heaters &amp; Boilers</v>
      </c>
      <c r="K70" s="225">
        <v>100</v>
      </c>
      <c r="L70" s="225" t="s">
        <v>596</v>
      </c>
      <c r="M70" s="225" t="s">
        <v>2281</v>
      </c>
      <c r="N70" s="464">
        <v>2.2999999999999998</v>
      </c>
      <c r="O70" s="225" t="s">
        <v>2284</v>
      </c>
      <c r="P70" s="225" t="s">
        <v>596</v>
      </c>
      <c r="Q70" s="225" t="s">
        <v>2281</v>
      </c>
      <c r="R70" s="238">
        <f>lb_per_mmscf_to_tonne_per_E3m3</f>
        <v>1.6018462505539988E-5</v>
      </c>
      <c r="S70" s="225">
        <v>2.2000000000000002</v>
      </c>
      <c r="T70" s="225" t="s">
        <v>2284</v>
      </c>
      <c r="U70" s="225" t="s">
        <v>596</v>
      </c>
      <c r="V70" s="225" t="s">
        <v>2281</v>
      </c>
      <c r="W70" s="238">
        <f>lb_per_mmscf_to_tonne_per_E3m3</f>
        <v>1.6018462505539988E-5</v>
      </c>
      <c r="X70" s="225">
        <v>280</v>
      </c>
      <c r="Y70" s="225" t="s">
        <v>2284</v>
      </c>
      <c r="Z70" s="225" t="s">
        <v>596</v>
      </c>
      <c r="AA70" s="225" t="s">
        <v>2687</v>
      </c>
      <c r="AB70" s="238">
        <f>lb_per_mmscf_to_tonne_per_E3m3</f>
        <v>1.6018462505539988E-5</v>
      </c>
      <c r="AC70" s="225">
        <v>84</v>
      </c>
      <c r="AD70" s="225" t="s">
        <v>2284</v>
      </c>
      <c r="AE70" s="225" t="s">
        <v>596</v>
      </c>
      <c r="AF70" s="225" t="s">
        <v>2687</v>
      </c>
      <c r="AG70" s="238">
        <f>lb_per_mmscf_to_tonne_per_E3m3</f>
        <v>1.6018462505539988E-5</v>
      </c>
      <c r="AH70" s="225">
        <f>11-2.3</f>
        <v>8.6999999999999993</v>
      </c>
      <c r="AI70" s="225" t="s">
        <v>2284</v>
      </c>
      <c r="AJ70" s="225" t="s">
        <v>596</v>
      </c>
      <c r="AK70" s="225" t="s">
        <v>2691</v>
      </c>
      <c r="AL70" s="238">
        <f>lb_per_mmscf_to_tonne_per_E3m3</f>
        <v>1.6018462505539988E-5</v>
      </c>
      <c r="AM70" s="462">
        <f t="shared" si="26"/>
        <v>0</v>
      </c>
      <c r="AN70" s="462">
        <f t="shared" si="27"/>
        <v>0</v>
      </c>
      <c r="AO70" s="463">
        <f t="shared" si="28"/>
        <v>0</v>
      </c>
      <c r="AP70" s="463">
        <f t="shared" si="29"/>
        <v>0</v>
      </c>
      <c r="AQ70" s="463">
        <f t="shared" si="30"/>
        <v>0</v>
      </c>
      <c r="AR70" s="463">
        <f t="shared" si="31"/>
        <v>0</v>
      </c>
      <c r="AS70" s="463">
        <f t="shared" si="32"/>
        <v>0</v>
      </c>
      <c r="BR70" s="257"/>
      <c r="BS70" s="257"/>
      <c r="BT70" s="257"/>
      <c r="BU70" s="257"/>
      <c r="BV70" s="257"/>
    </row>
    <row r="71" spans="1:74" ht="16.149999999999999" customHeight="1" x14ac:dyDescent="0.35">
      <c r="A71" s="257"/>
      <c r="B71" s="237" t="str">
        <f ca="1">'Translation Table'!H390</f>
        <v>Other Coal Gases</v>
      </c>
      <c r="C71" s="260"/>
      <c r="D71" s="225">
        <f>52.27/10*(Constants!B$34/101.325)*(288.15/(273.15+Constants!B$33))</f>
        <v>5.2270000000000003</v>
      </c>
      <c r="E71" s="225" t="s">
        <v>596</v>
      </c>
      <c r="F71" s="225" t="s">
        <v>667</v>
      </c>
      <c r="G71" s="464">
        <f t="shared" si="37"/>
        <v>1.092388E-2</v>
      </c>
      <c r="H71" s="225" t="s">
        <v>596</v>
      </c>
      <c r="I71" s="225" t="s">
        <v>667</v>
      </c>
      <c r="J71" s="225" t="str">
        <f ca="1">'Lookup Lists'!B75</f>
        <v>Heaters &amp; Boilers (Low-NOx)</v>
      </c>
      <c r="K71" s="225">
        <v>100</v>
      </c>
      <c r="L71" s="225" t="s">
        <v>596</v>
      </c>
      <c r="M71" s="225" t="s">
        <v>2281</v>
      </c>
      <c r="N71" s="464">
        <v>2.2999999999999998</v>
      </c>
      <c r="O71" s="225" t="s">
        <v>2284</v>
      </c>
      <c r="P71" s="225" t="s">
        <v>596</v>
      </c>
      <c r="Q71" s="225" t="s">
        <v>2281</v>
      </c>
      <c r="R71" s="237">
        <f>lb_per_mmscf_to_tonne_per_E3m3</f>
        <v>1.6018462505539988E-5</v>
      </c>
      <c r="S71" s="225">
        <v>0.64</v>
      </c>
      <c r="T71" s="225" t="s">
        <v>2284</v>
      </c>
      <c r="U71" s="225" t="s">
        <v>596</v>
      </c>
      <c r="V71" s="225" t="s">
        <v>2281</v>
      </c>
      <c r="W71" s="237">
        <f>lb_per_mmscf_to_tonne_per_E3m3</f>
        <v>1.6018462505539988E-5</v>
      </c>
      <c r="X71" s="225">
        <v>140</v>
      </c>
      <c r="Y71" s="225" t="s">
        <v>2284</v>
      </c>
      <c r="Z71" s="225" t="s">
        <v>596</v>
      </c>
      <c r="AA71" s="225" t="s">
        <v>2690</v>
      </c>
      <c r="AB71" s="237">
        <f>lb_per_mmscf_to_tonne_per_E3m3</f>
        <v>1.6018462505539988E-5</v>
      </c>
      <c r="AC71" s="225">
        <v>84</v>
      </c>
      <c r="AD71" s="225" t="s">
        <v>2284</v>
      </c>
      <c r="AE71" s="225" t="s">
        <v>596</v>
      </c>
      <c r="AF71" s="225" t="s">
        <v>2690</v>
      </c>
      <c r="AG71" s="237">
        <f>lb_per_mmscf_to_tonne_per_E3m3</f>
        <v>1.6018462505539988E-5</v>
      </c>
      <c r="AH71" s="225">
        <f>11-2.3</f>
        <v>8.6999999999999993</v>
      </c>
      <c r="AI71" s="225" t="s">
        <v>2284</v>
      </c>
      <c r="AJ71" s="225" t="s">
        <v>596</v>
      </c>
      <c r="AK71" s="225" t="s">
        <v>2691</v>
      </c>
      <c r="AL71" s="237">
        <f>lb_per_mmscf_to_tonne_per_E3m3</f>
        <v>1.6018462505539988E-5</v>
      </c>
      <c r="AM71" s="465">
        <f t="shared" si="26"/>
        <v>0</v>
      </c>
      <c r="AN71" s="465">
        <f t="shared" si="27"/>
        <v>0</v>
      </c>
      <c r="AO71" s="407">
        <f t="shared" si="28"/>
        <v>0</v>
      </c>
      <c r="AP71" s="407">
        <f t="shared" si="29"/>
        <v>0</v>
      </c>
      <c r="AQ71" s="407">
        <f t="shared" si="30"/>
        <v>0</v>
      </c>
      <c r="AR71" s="407">
        <f t="shared" si="31"/>
        <v>0</v>
      </c>
      <c r="AS71" s="407">
        <f t="shared" si="32"/>
        <v>0</v>
      </c>
      <c r="BR71" s="257"/>
      <c r="BS71" s="257"/>
      <c r="BT71" s="257"/>
      <c r="BU71" s="257"/>
      <c r="BV71" s="257"/>
    </row>
    <row r="72" spans="1:74" x14ac:dyDescent="0.35">
      <c r="AL72" s="250" t="str">
        <f ca="1">'Translation Table'!H303</f>
        <v>Total for Turbines Engines</v>
      </c>
      <c r="AM72" s="214">
        <f t="shared" ref="AM72:AS72" ca="1" si="38">SUMPRODUCT(SUMIF($J$36:$J$71,Turbine,AM$36:AM$71))</f>
        <v>0</v>
      </c>
      <c r="AN72" s="214">
        <f t="shared" ca="1" si="38"/>
        <v>0</v>
      </c>
      <c r="AO72" s="214">
        <f t="shared" ca="1" si="38"/>
        <v>0</v>
      </c>
      <c r="AP72" s="214">
        <f t="shared" ca="1" si="38"/>
        <v>0</v>
      </c>
      <c r="AQ72" s="214">
        <f t="shared" ca="1" si="38"/>
        <v>0</v>
      </c>
      <c r="AR72" s="214">
        <f t="shared" ca="1" si="38"/>
        <v>0</v>
      </c>
      <c r="AS72" s="214">
        <f t="shared" ca="1" si="38"/>
        <v>0</v>
      </c>
      <c r="AZ72" s="358"/>
      <c r="BA72" s="358"/>
      <c r="BB72" s="358"/>
      <c r="BC72" s="358"/>
      <c r="BU72" s="257"/>
      <c r="BV72" s="257"/>
    </row>
    <row r="73" spans="1:74" x14ac:dyDescent="0.35">
      <c r="AL73" s="250" t="str">
        <f ca="1">'Translation Table'!H304</f>
        <v>Total for Reciprocating Engines</v>
      </c>
      <c r="AM73" s="214" cm="1">
        <f t="array" aca="1" ref="AM73" ca="1">SUMPRODUCT(SUMIF($J$36:$J$71,Recip,AM$36:AM$71))</f>
        <v>0</v>
      </c>
      <c r="AN73" s="214" cm="1">
        <f t="array" aca="1" ref="AN73" ca="1">SUMPRODUCT(SUMIF($J$36:$J$71,Recip,AN$36:AN$71))</f>
        <v>0</v>
      </c>
      <c r="AO73" s="214" cm="1">
        <f t="array" aca="1" ref="AO73" ca="1">SUMPRODUCT(SUMIF($J$36:$J$71,Recip,AO$36:AO$71))</f>
        <v>0</v>
      </c>
      <c r="AP73" s="214" cm="1">
        <f t="array" aca="1" ref="AP73" ca="1">SUMPRODUCT(SUMIF($J$36:$J$71,Recip,AP$36:AP$71))</f>
        <v>0</v>
      </c>
      <c r="AQ73" s="214" cm="1">
        <f t="array" aca="1" ref="AQ73" ca="1">SUMPRODUCT(SUMIF($J$36:$J$71,Recip,AQ$36:AQ$71))</f>
        <v>0</v>
      </c>
      <c r="AR73" s="214" cm="1">
        <f t="array" aca="1" ref="AR73" ca="1">SUMPRODUCT(SUMIF($J$36:$J$71,Recip,AR$36:AR$71))</f>
        <v>0</v>
      </c>
      <c r="AS73" s="214" cm="1">
        <f t="array" aca="1" ref="AS73" ca="1">SUMPRODUCT(SUMIF($J$36:$J$71,Recip,AS$36:AS$71))</f>
        <v>0</v>
      </c>
      <c r="AZ73" s="358"/>
      <c r="BA73" s="358"/>
      <c r="BB73" s="358"/>
      <c r="BC73" s="358"/>
      <c r="BU73" s="257"/>
      <c r="BV73" s="257"/>
    </row>
    <row r="74" spans="1:74" x14ac:dyDescent="0.35">
      <c r="AL74" s="250" t="str">
        <f ca="1">'Translation Table'!H305</f>
        <v>Total for Heaters and Boilers</v>
      </c>
      <c r="AM74" s="214" cm="1">
        <f t="array" aca="1" ref="AM74" ca="1">SUMPRODUCT(SUMIF($J$36:$J$71,Heater,AM$36:AM$71))</f>
        <v>0</v>
      </c>
      <c r="AN74" s="214" cm="1">
        <f t="array" aca="1" ref="AN74" ca="1">SUMPRODUCT(SUMIF($J$36:$J$71,Heater,AN$36:AN$71))</f>
        <v>0</v>
      </c>
      <c r="AO74" s="214" cm="1">
        <f t="array" aca="1" ref="AO74" ca="1">SUMPRODUCT(SUMIF($J$36:$J$71,Heater,AO$36:AO$71))</f>
        <v>0</v>
      </c>
      <c r="AP74" s="214" cm="1">
        <f t="array" aca="1" ref="AP74" ca="1">SUMPRODUCT(SUMIF($J$36:$J$71,Heater,AP$36:AP$71))</f>
        <v>0</v>
      </c>
      <c r="AQ74" s="214" cm="1">
        <f t="array" aca="1" ref="AQ74" ca="1">SUMPRODUCT(SUMIF($J$36:$J$71,Heater,AQ$36:AQ$71))</f>
        <v>0</v>
      </c>
      <c r="AR74" s="214" cm="1">
        <f t="array" aca="1" ref="AR74" ca="1">SUMPRODUCT(SUMIF($J$36:$J$71,Heater,AR$36:AR$71))</f>
        <v>0</v>
      </c>
      <c r="AS74" s="214" cm="1">
        <f t="array" aca="1" ref="AS74" ca="1">SUMPRODUCT(SUMIF($J$36:$J$71,Heater,AS$36:AS$71))</f>
        <v>0</v>
      </c>
      <c r="AZ74" s="358"/>
      <c r="BA74" s="358"/>
      <c r="BB74" s="358"/>
      <c r="BC74" s="358"/>
      <c r="BU74" s="257"/>
      <c r="BV74" s="257"/>
    </row>
    <row r="75" spans="1:74" x14ac:dyDescent="0.35">
      <c r="AL75" s="250" t="str">
        <f ca="1">'Translation Table'!H306</f>
        <v>Grand Total</v>
      </c>
      <c r="AM75" s="214">
        <f t="shared" ref="AM75:AS75" ca="1" si="39">SUM(AM36:AM71)</f>
        <v>0</v>
      </c>
      <c r="AN75" s="214">
        <f t="shared" ca="1" si="39"/>
        <v>0</v>
      </c>
      <c r="AO75" s="214">
        <f t="shared" ca="1" si="39"/>
        <v>0</v>
      </c>
      <c r="AP75" s="214">
        <f t="shared" ca="1" si="39"/>
        <v>0</v>
      </c>
      <c r="AQ75" s="214">
        <f t="shared" ca="1" si="39"/>
        <v>0</v>
      </c>
      <c r="AR75" s="214">
        <f t="shared" ca="1" si="39"/>
        <v>0</v>
      </c>
      <c r="AS75" s="214">
        <f t="shared" ca="1" si="39"/>
        <v>0</v>
      </c>
      <c r="BR75" s="257"/>
      <c r="BS75" s="257"/>
      <c r="BT75" s="257"/>
      <c r="BU75" s="257"/>
      <c r="BV75" s="257"/>
    </row>
    <row r="76" spans="1:74" ht="22.5" x14ac:dyDescent="0.35">
      <c r="A76" s="257"/>
      <c r="B76" s="249" t="str">
        <f ca="1">'Translation Table'!H392</f>
        <v>Hydrocarbon Gas Venting &amp; Flaring</v>
      </c>
    </row>
    <row r="77" spans="1:74" x14ac:dyDescent="0.35">
      <c r="A77" s="257"/>
      <c r="AA77" s="412"/>
      <c r="AB77" s="412"/>
      <c r="AC77" s="412"/>
      <c r="AD77" s="412"/>
      <c r="AE77" s="412"/>
      <c r="AF77" s="412"/>
      <c r="AG77" s="412"/>
      <c r="AH77" s="412"/>
      <c r="AI77" s="412"/>
      <c r="AJ77" s="412"/>
      <c r="AK77" s="412"/>
      <c r="AL77" s="412"/>
      <c r="AM77" s="412"/>
      <c r="AN77" s="412"/>
      <c r="AO77" s="412"/>
      <c r="AP77" s="412"/>
      <c r="AQ77" s="412"/>
      <c r="AR77" s="412"/>
      <c r="AS77" s="412"/>
      <c r="AT77" s="412"/>
      <c r="AU77" s="412"/>
      <c r="AV77" s="412"/>
      <c r="AW77" s="412"/>
      <c r="AX77" s="412"/>
      <c r="AY77" s="412"/>
      <c r="AZ77" s="412"/>
    </row>
    <row r="78" spans="1:74" s="139" customFormat="1" ht="15.5" x14ac:dyDescent="0.35">
      <c r="B78" s="993" t="str">
        <f ca="1">'Translation Table'!H393</f>
        <v>Type</v>
      </c>
      <c r="C78" s="196" t="str">
        <f ca="1">'Translation Table'!H394</f>
        <v>Quantity</v>
      </c>
      <c r="D78" s="984" t="str">
        <f ca="1">'Translation Table'!H395</f>
        <v>CO2 Content</v>
      </c>
      <c r="E78" s="1000"/>
      <c r="F78" s="984" t="str">
        <f ca="1">'Translation Table'!H396</f>
        <v>CH4 Content</v>
      </c>
      <c r="G78" s="999"/>
      <c r="H78" s="1000"/>
      <c r="I78" s="1002" t="str">
        <f ca="1">'Translation Table'!H397</f>
        <v>Other Hydrocarbon Content</v>
      </c>
      <c r="J78" s="999"/>
      <c r="K78" s="999"/>
      <c r="L78" s="999"/>
      <c r="M78" s="1000"/>
      <c r="N78" s="984" t="str">
        <f ca="1">'Translation Table'!H398</f>
        <v>Flare Efficiency</v>
      </c>
      <c r="O78" s="1000"/>
      <c r="P78" s="984" t="str">
        <f ca="1">'Translation Table'!H277</f>
        <v>N2O Emission Factor</v>
      </c>
      <c r="Q78" s="985"/>
      <c r="R78" s="985"/>
      <c r="S78" s="985"/>
      <c r="T78" s="986"/>
      <c r="U78" s="1001" t="str">
        <f ca="1">'Translation Table'!H278</f>
        <v>NOx Emission Factor</v>
      </c>
      <c r="V78" s="1001"/>
      <c r="W78" s="1001"/>
      <c r="X78" s="1001"/>
      <c r="Y78" s="1001"/>
      <c r="Z78" s="1001" t="str">
        <f ca="1">'Translation Table'!H279</f>
        <v>CO Emission Factor</v>
      </c>
      <c r="AA78" s="1001"/>
      <c r="AB78" s="1001"/>
      <c r="AC78" s="1001"/>
      <c r="AD78" s="1001"/>
      <c r="AE78" s="1001" t="str">
        <f ca="1">'Translation Table'!H280</f>
        <v>NMVOC Emission Factor</v>
      </c>
      <c r="AF78" s="1001"/>
      <c r="AG78" s="1001"/>
      <c r="AH78" s="1001"/>
      <c r="AI78" s="1001"/>
      <c r="AJ78" s="995" t="str">
        <f ca="1">'Translation Table'!H399</f>
        <v>Emissions</v>
      </c>
      <c r="AK78" s="996"/>
      <c r="AL78" s="996"/>
      <c r="AM78" s="996"/>
      <c r="AN78" s="996"/>
      <c r="AO78" s="996"/>
      <c r="AP78" s="996"/>
    </row>
    <row r="79" spans="1:74" s="139" customFormat="1" ht="15.5" x14ac:dyDescent="0.35">
      <c r="B79" s="997"/>
      <c r="C79" s="998" t="str">
        <f ca="1">'Translation Table'!H400</f>
        <v>E+03 Nm3 per day</v>
      </c>
      <c r="D79" s="993" t="str">
        <f ca="1">'Translation Table'!H401</f>
        <v>(mol%)</v>
      </c>
      <c r="E79" s="196" t="str">
        <f ca="1">'Translation Table'!H402</f>
        <v>Density</v>
      </c>
      <c r="F79" s="993" t="str">
        <f ca="1">'Translation Table'!H403</f>
        <v>(mol%)</v>
      </c>
      <c r="G79" s="196" t="str">
        <f ca="1">'Translation Table'!H404</f>
        <v>Density</v>
      </c>
      <c r="H79" s="195" t="str">
        <f ca="1">'Translation Table'!H405</f>
        <v>Carbon Content</v>
      </c>
      <c r="I79" s="993" t="str">
        <f>'Translation Table'!I406</f>
        <v>(mol%)</v>
      </c>
      <c r="J79" s="195" t="str">
        <f ca="1">'Translation Table'!H407</f>
        <v>Carbon Content</v>
      </c>
      <c r="K79" s="195" t="str">
        <f ca="1">'Translation Table'!H408</f>
        <v>Molecular Weight</v>
      </c>
      <c r="L79" s="993" t="str">
        <f ca="1">'Translation Table'!H409</f>
        <v>Source</v>
      </c>
      <c r="M79" s="993" t="str">
        <f ca="1">'Translation Table'!H410</f>
        <v>Reference</v>
      </c>
      <c r="N79" s="993" t="str">
        <f ca="1">'Translation Table'!H411</f>
        <v>(%)</v>
      </c>
      <c r="O79" s="993" t="str">
        <f ca="1">'Translation Table'!H412</f>
        <v>Reference</v>
      </c>
      <c r="P79" s="993" t="str">
        <f ca="1">'Translation Table'!H374</f>
        <v>Value</v>
      </c>
      <c r="Q79" s="993" t="str">
        <f ca="1">'Translation Table'!H292</f>
        <v>Units of Measure</v>
      </c>
      <c r="R79" s="993" t="str">
        <f ca="1">'Translation Table'!H375</f>
        <v>Source</v>
      </c>
      <c r="S79" s="993" t="str">
        <f ca="1">'Translation Table'!H376</f>
        <v>Reference</v>
      </c>
      <c r="T79" s="197" t="str">
        <f ca="1">'Translation Table'!H295</f>
        <v>Conversion Factor</v>
      </c>
      <c r="U79" s="993" t="str">
        <f ca="1">'Translation Table'!H374</f>
        <v>Value</v>
      </c>
      <c r="V79" s="993" t="str">
        <f ca="1">'Translation Table'!H292</f>
        <v>Units of Measure</v>
      </c>
      <c r="W79" s="993" t="str">
        <f ca="1">'Translation Table'!H375</f>
        <v>Source</v>
      </c>
      <c r="X79" s="993" t="str">
        <f ca="1">'Translation Table'!H376</f>
        <v>Reference</v>
      </c>
      <c r="Y79" s="197" t="str">
        <f ca="1">'Translation Table'!H295</f>
        <v>Conversion Factor</v>
      </c>
      <c r="Z79" s="993" t="str">
        <f ca="1">'Translation Table'!H374</f>
        <v>Value</v>
      </c>
      <c r="AA79" s="993" t="str">
        <f ca="1">'Translation Table'!H292</f>
        <v>Units of Measure</v>
      </c>
      <c r="AB79" s="993" t="str">
        <f ca="1">'Translation Table'!H375</f>
        <v>Source</v>
      </c>
      <c r="AC79" s="993" t="str">
        <f ca="1">'Translation Table'!H376</f>
        <v>Reference</v>
      </c>
      <c r="AD79" s="197" t="str">
        <f ca="1">'Translation Table'!H295</f>
        <v>Conversion Factor</v>
      </c>
      <c r="AE79" s="993" t="str">
        <f ca="1">'Translation Table'!H374</f>
        <v>Value</v>
      </c>
      <c r="AF79" s="993" t="str">
        <f ca="1">'Translation Table'!H292</f>
        <v>Units of Measure</v>
      </c>
      <c r="AG79" s="993" t="str">
        <f ca="1">'Translation Table'!H375</f>
        <v>Source</v>
      </c>
      <c r="AH79" s="993" t="str">
        <f ca="1">'Translation Table'!H376</f>
        <v>Reference</v>
      </c>
      <c r="AI79" s="197" t="str">
        <f ca="1">'Translation Table'!H295</f>
        <v>Conversion Factor</v>
      </c>
      <c r="AJ79" s="196" t="str">
        <f ca="1">'Translation Table'!H296</f>
        <v>CO2</v>
      </c>
      <c r="AK79" s="196" t="str">
        <f ca="1">'Translation Table'!H297</f>
        <v>CH4</v>
      </c>
      <c r="AL79" s="196" t="str">
        <f ca="1">'Translation Table'!H298</f>
        <v>N2O</v>
      </c>
      <c r="AM79" s="196" t="str">
        <f ca="1">'Translation Table'!H299</f>
        <v>NOx</v>
      </c>
      <c r="AN79" s="196" t="str">
        <f ca="1">'Translation Table'!H300</f>
        <v>CO</v>
      </c>
      <c r="AO79" s="196" t="str">
        <f ca="1">'Translation Table'!H301</f>
        <v>NMVOC</v>
      </c>
      <c r="AP79" s="196" t="str">
        <f ca="1">'Translation Table'!H302</f>
        <v>SO2</v>
      </c>
    </row>
    <row r="80" spans="1:74" s="139" customFormat="1" ht="15.5" x14ac:dyDescent="0.35">
      <c r="B80" s="994"/>
      <c r="C80" s="994"/>
      <c r="D80" s="994"/>
      <c r="E80" s="196" t="str">
        <f>'Translation Table'!I413</f>
        <v>(kg/Nm3)</v>
      </c>
      <c r="F80" s="994"/>
      <c r="G80" s="196" t="str">
        <f ca="1">'Translation Table'!H414</f>
        <v>(kg/Nm3)</v>
      </c>
      <c r="H80" s="200" t="str">
        <f ca="1">'Translation Table'!H415</f>
        <v>(tonnes/E+03 Nm3)</v>
      </c>
      <c r="I80" s="994"/>
      <c r="J80" s="200" t="str">
        <f ca="1">'Translation Table'!H416</f>
        <v>(tonnes/E+03 Nm3)</v>
      </c>
      <c r="K80" s="200" t="str">
        <f ca="1">'Translation Table'!H417</f>
        <v>(kg/kmol)</v>
      </c>
      <c r="L80" s="994"/>
      <c r="M80" s="994"/>
      <c r="N80" s="994"/>
      <c r="O80" s="994"/>
      <c r="P80" s="994"/>
      <c r="Q80" s="994"/>
      <c r="R80" s="994"/>
      <c r="S80" s="994"/>
      <c r="T80" s="196" t="str">
        <f ca="1">'Translation Table'!H290</f>
        <v>Value</v>
      </c>
      <c r="U80" s="994"/>
      <c r="V80" s="994"/>
      <c r="W80" s="994"/>
      <c r="X80" s="994"/>
      <c r="Y80" s="196" t="str">
        <f ca="1">'Translation Table'!H290</f>
        <v>Value</v>
      </c>
      <c r="Z80" s="994"/>
      <c r="AA80" s="994"/>
      <c r="AB80" s="994"/>
      <c r="AC80" s="994"/>
      <c r="AD80" s="196" t="str">
        <f ca="1">'Translation Table'!H290</f>
        <v>Value</v>
      </c>
      <c r="AE80" s="994"/>
      <c r="AF80" s="994"/>
      <c r="AG80" s="994"/>
      <c r="AH80" s="994"/>
      <c r="AI80" s="196" t="str">
        <f ca="1">'Translation Table'!H290</f>
        <v>Value</v>
      </c>
      <c r="AJ80" s="196" t="str">
        <f ca="1">'Translation Table'!H418</f>
        <v>(tonnes/y)</v>
      </c>
      <c r="AK80" s="196" t="str">
        <f ca="1">'Translation Table'!H419</f>
        <v>(tonnes/y)</v>
      </c>
      <c r="AL80" s="196" t="str">
        <f ca="1">'Translation Table'!H420</f>
        <v>(tonnes/y)</v>
      </c>
      <c r="AM80" s="195" t="str">
        <f ca="1">'Translation Table'!H420</f>
        <v>(tonnes/y)</v>
      </c>
      <c r="AN80" s="195" t="str">
        <f ca="1">'Translation Table'!H420</f>
        <v>(tonnes/y)</v>
      </c>
      <c r="AO80" s="195" t="str">
        <f ca="1">'Translation Table'!H420</f>
        <v>(tonnes/y)</v>
      </c>
      <c r="AP80" s="195" t="str">
        <f ca="1">'Translation Table'!H420</f>
        <v>(tonnes/y)</v>
      </c>
    </row>
    <row r="81" spans="1:74" ht="16.149999999999999" customHeight="1" x14ac:dyDescent="0.35">
      <c r="A81" s="257"/>
      <c r="B81" s="238" t="str">
        <f ca="1">'Translation Table'!H421</f>
        <v>Vented</v>
      </c>
      <c r="C81" s="238">
        <f>IF('Setup - Facility Details'!E22 = "", 0,'Setup - Facility Details'!D22*_xlfn.XLOOKUP('Setup - Facility Details'!E22,'Lookup Tables'!$B$227:$B$235,'Lookup Tables'!$F$227:$F$235,,0,1))*E3m3_per_d_to_E3m3_per_d</f>
        <v>0</v>
      </c>
      <c r="D81" s="471" cm="1">
        <f t="array" ref="D81">VentGas_CO2</f>
        <v>0.02</v>
      </c>
      <c r="E81" s="472">
        <f>Constants!E$18</f>
        <v>1.8612954649952362</v>
      </c>
      <c r="F81" s="471">
        <f>VentGas_CH4</f>
        <v>0.87</v>
      </c>
      <c r="G81" s="472">
        <f>Constants!E$5</f>
        <v>0.67849950340646603</v>
      </c>
      <c r="H81" s="472">
        <f>Constants!X$5</f>
        <v>0.50796322293611185</v>
      </c>
      <c r="I81" s="473">
        <f>1-SUM('Setup - Facility Details'!E77:H77)</f>
        <v>9.9999999999999978E-2</v>
      </c>
      <c r="J81" s="472">
        <f>10000/Constants!B$35*K81/1000*0.81</f>
        <v>11.989940111932503</v>
      </c>
      <c r="K81" s="474">
        <v>35</v>
      </c>
      <c r="L81" s="251" t="s">
        <v>596</v>
      </c>
      <c r="M81" s="225" t="s">
        <v>581</v>
      </c>
      <c r="N81" s="475">
        <v>0</v>
      </c>
      <c r="O81" s="225" t="s">
        <v>667</v>
      </c>
      <c r="P81" s="225">
        <v>0</v>
      </c>
      <c r="Q81" s="225" t="s">
        <v>2293</v>
      </c>
      <c r="R81" s="251" t="s">
        <v>596</v>
      </c>
      <c r="S81" s="225" t="s">
        <v>50</v>
      </c>
      <c r="T81" s="238"/>
      <c r="U81" s="225"/>
      <c r="V81" s="225"/>
      <c r="W81" s="251" t="s">
        <v>596</v>
      </c>
      <c r="X81" s="225"/>
      <c r="Y81" s="238"/>
      <c r="Z81" s="225"/>
      <c r="AA81" s="225"/>
      <c r="AB81" s="251" t="s">
        <v>596</v>
      </c>
      <c r="AC81" s="225"/>
      <c r="AD81" s="238"/>
      <c r="AE81" s="225" t="s">
        <v>50</v>
      </c>
      <c r="AF81" s="225"/>
      <c r="AG81" s="251" t="s">
        <v>596</v>
      </c>
      <c r="AH81" s="225"/>
      <c r="AI81" s="238"/>
      <c r="AJ81" s="463">
        <f>C81*D81*E81*365</f>
        <v>0</v>
      </c>
      <c r="AK81" s="463">
        <f>C81*F81*G81*(1-N81)*365</f>
        <v>0</v>
      </c>
      <c r="AL81" s="457">
        <f>C81*P81*T81*365</f>
        <v>0</v>
      </c>
      <c r="AM81" s="457">
        <f>C81*U81*Y81*365</f>
        <v>0</v>
      </c>
      <c r="AN81" s="457">
        <f>C81*Z81*AD81*365</f>
        <v>0</v>
      </c>
      <c r="AO81" s="457">
        <f>AK81/M_CH4/VentGas_CH4*(1-VentGas_CH4-VentGas_CO2-VentGas_N2-VentGas_H2S)*M_NMVOC</f>
        <v>0</v>
      </c>
      <c r="AP81" s="457">
        <f>C81*VentGas_H2S/Vstp*0</f>
        <v>0</v>
      </c>
      <c r="BM81" s="257"/>
      <c r="BN81" s="257"/>
      <c r="BO81" s="257"/>
      <c r="BP81" s="257"/>
      <c r="BQ81" s="257"/>
      <c r="BR81" s="257"/>
      <c r="BS81" s="257"/>
      <c r="BT81" s="257"/>
      <c r="BU81" s="257"/>
      <c r="BV81" s="257"/>
    </row>
    <row r="82" spans="1:74" ht="16.149999999999999" customHeight="1" x14ac:dyDescent="0.35">
      <c r="A82" s="257"/>
      <c r="B82" s="237" t="str">
        <f ca="1">'Translation Table'!H422</f>
        <v>Flared</v>
      </c>
      <c r="C82" s="237">
        <f>IF('Setup - Facility Details'!E20 = "", 0,'Setup - Facility Details'!D20*_xlfn.XLOOKUP('Setup - Facility Details'!E20,'Lookup Tables'!$C$227:$C$235,'Lookup Tables'!$G$227:$G$235,,0,1))*E3m3_per_d_to_E3m3_per_d</f>
        <v>0</v>
      </c>
      <c r="D82" s="301">
        <f>FlareGas_CO2</f>
        <v>0.02</v>
      </c>
      <c r="E82" s="476">
        <f>Constants!E$18</f>
        <v>1.8612954649952362</v>
      </c>
      <c r="F82" s="301">
        <f>FlareGas_CH4</f>
        <v>0.86</v>
      </c>
      <c r="G82" s="476">
        <f>Constants!E$5</f>
        <v>0.67849950340646603</v>
      </c>
      <c r="H82" s="476">
        <f>Constants!X$5</f>
        <v>0.50796322293611185</v>
      </c>
      <c r="I82" s="477">
        <f>1-SUM('Setup - Facility Details'!E76:H76)</f>
        <v>9.9999999999999978E-2</v>
      </c>
      <c r="J82" s="476">
        <f>10000/Constants!B$35*K82/1000*0.81</f>
        <v>11.989940111932503</v>
      </c>
      <c r="K82" s="474">
        <v>35</v>
      </c>
      <c r="L82" s="251" t="s">
        <v>596</v>
      </c>
      <c r="M82" s="225" t="s">
        <v>581</v>
      </c>
      <c r="N82" s="475">
        <v>0.98</v>
      </c>
      <c r="O82" s="225" t="s">
        <v>2058</v>
      </c>
      <c r="P82" s="225">
        <v>1E-4</v>
      </c>
      <c r="Q82" s="225" t="s">
        <v>2293</v>
      </c>
      <c r="R82" s="251" t="s">
        <v>596</v>
      </c>
      <c r="S82" s="429" t="s">
        <v>2294</v>
      </c>
      <c r="T82" s="237">
        <f>g_per_scf_to_kg_per_Nm3</f>
        <v>3.5314662471284765E-2</v>
      </c>
      <c r="U82" s="225">
        <v>6.8000000000000005E-2</v>
      </c>
      <c r="V82" s="225" t="s">
        <v>2279</v>
      </c>
      <c r="W82" s="251" t="s">
        <v>596</v>
      </c>
      <c r="X82" s="225" t="s">
        <v>2709</v>
      </c>
      <c r="Y82" s="237">
        <f>lb_per_mmBTU_to_tonnes_per_GJ</f>
        <v>4.2992258230842723E-4</v>
      </c>
      <c r="Z82" s="225">
        <v>0.37</v>
      </c>
      <c r="AA82" s="225" t="s">
        <v>2279</v>
      </c>
      <c r="AB82" s="251" t="s">
        <v>596</v>
      </c>
      <c r="AC82" s="225" t="s">
        <v>2709</v>
      </c>
      <c r="AD82" s="237">
        <f>lb_per_mmBTU_to_tonnes_per_GJ</f>
        <v>4.2992258230842723E-4</v>
      </c>
      <c r="AE82" s="225" t="s">
        <v>50</v>
      </c>
      <c r="AF82" s="225"/>
      <c r="AG82" s="251" t="s">
        <v>596</v>
      </c>
      <c r="AH82" s="225"/>
      <c r="AI82" s="237"/>
      <c r="AJ82" s="407">
        <f>C82*(D82*E82*1+F82*N82*H82*M_CO2/M_C+I82*N82*J82*M_CO2/M_C)*365</f>
        <v>0</v>
      </c>
      <c r="AK82" s="407">
        <f>C82*F82*G82*(1-N82)*365</f>
        <v>0</v>
      </c>
      <c r="AL82" s="260">
        <f>C82*P82*T82*365</f>
        <v>0</v>
      </c>
      <c r="AM82" s="260">
        <f>C82*FlareGas_HHV*U82*Y82*365</f>
        <v>0</v>
      </c>
      <c r="AN82" s="260">
        <f>C82*FlareGas_HHV*Z82*AD82*365</f>
        <v>0</v>
      </c>
      <c r="AO82" s="260">
        <f>AK82/M_CH4/FlareGas_CH4*(1-FlareGas_CH4-FlareGas_CO2-FlareGas_N2-FlareGas_H2S)*M_NMVOC</f>
        <v>0</v>
      </c>
      <c r="AP82" s="260">
        <f>C82*FlareGas_H2S/Vstp*M_SO2*365</f>
        <v>0</v>
      </c>
      <c r="BO82" s="257"/>
      <c r="BP82" s="257"/>
      <c r="BQ82" s="257"/>
      <c r="BR82" s="257"/>
      <c r="BS82" s="257"/>
      <c r="BT82" s="257"/>
      <c r="BU82" s="257"/>
      <c r="BV82" s="257"/>
    </row>
    <row r="83" spans="1:74" x14ac:dyDescent="0.35">
      <c r="A83" s="257"/>
      <c r="D83" s="478"/>
      <c r="E83" s="451"/>
      <c r="F83" s="478"/>
      <c r="G83" s="451"/>
      <c r="H83" s="479"/>
      <c r="I83" s="412"/>
      <c r="J83" s="412"/>
      <c r="K83" s="412"/>
      <c r="L83" s="412"/>
      <c r="M83" s="412"/>
      <c r="N83" s="412"/>
      <c r="O83" s="412"/>
      <c r="AI83" s="250" t="str">
        <f ca="1">'Translation Table'!H455</f>
        <v>Total:</v>
      </c>
      <c r="AJ83" s="214">
        <f t="shared" ref="AJ83:AP83" si="40">SUM(AJ81:AJ82)</f>
        <v>0</v>
      </c>
      <c r="AK83" s="214">
        <f t="shared" si="40"/>
        <v>0</v>
      </c>
      <c r="AL83" s="252">
        <f t="shared" si="40"/>
        <v>0</v>
      </c>
      <c r="AM83" s="252">
        <f t="shared" si="40"/>
        <v>0</v>
      </c>
      <c r="AN83" s="252">
        <f t="shared" si="40"/>
        <v>0</v>
      </c>
      <c r="AO83" s="252">
        <f t="shared" si="40"/>
        <v>0</v>
      </c>
      <c r="AP83" s="252">
        <f t="shared" si="40"/>
        <v>0</v>
      </c>
      <c r="BO83" s="257"/>
      <c r="BP83" s="257"/>
      <c r="BQ83" s="257"/>
      <c r="BR83" s="257"/>
      <c r="BS83" s="257"/>
      <c r="BT83" s="257"/>
      <c r="BU83" s="257"/>
      <c r="BV83" s="257"/>
    </row>
    <row r="84" spans="1:74" ht="22.5" x14ac:dyDescent="0.35">
      <c r="A84" s="257"/>
      <c r="B84" s="249" t="str">
        <f ca="1">'Translation Table'!H424</f>
        <v>Acid Gas Venting &amp; Flaring</v>
      </c>
      <c r="BS84" s="257"/>
      <c r="BT84" s="257"/>
      <c r="BU84" s="257"/>
      <c r="BV84" s="257"/>
    </row>
    <row r="85" spans="1:74" x14ac:dyDescent="0.35">
      <c r="A85" s="257"/>
      <c r="BS85" s="257"/>
      <c r="BT85" s="257"/>
      <c r="BU85" s="257"/>
      <c r="BV85" s="257"/>
    </row>
    <row r="86" spans="1:74" s="139" customFormat="1" ht="15.5" x14ac:dyDescent="0.35">
      <c r="B86" s="993" t="str">
        <f ca="1">'Translation Table'!H425</f>
        <v>Type</v>
      </c>
      <c r="C86" s="196" t="str">
        <f ca="1">'Translation Table'!H426</f>
        <v>Quantity</v>
      </c>
      <c r="D86" s="984" t="str">
        <f ca="1">'Translation Table'!H427</f>
        <v>CO2 Content</v>
      </c>
      <c r="E86" s="1000"/>
      <c r="F86" s="984" t="str">
        <f ca="1">'Translation Table'!H428</f>
        <v>CH4 Content</v>
      </c>
      <c r="G86" s="999"/>
      <c r="H86" s="1000"/>
      <c r="I86" s="1002" t="str">
        <f ca="1">'Translation Table'!H429</f>
        <v>Other Hydrocarbon Content</v>
      </c>
      <c r="J86" s="999"/>
      <c r="K86" s="999"/>
      <c r="L86" s="999"/>
      <c r="M86" s="1000"/>
      <c r="N86" s="984" t="str">
        <f ca="1">'Translation Table'!H430</f>
        <v>Flare Efficiency</v>
      </c>
      <c r="O86" s="1000"/>
      <c r="P86" s="984" t="str">
        <f ca="1">'Translation Table'!H277</f>
        <v>N2O Emission Factor</v>
      </c>
      <c r="Q86" s="985"/>
      <c r="R86" s="985"/>
      <c r="S86" s="985"/>
      <c r="T86" s="986"/>
      <c r="U86" s="1001" t="str">
        <f ca="1">'Translation Table'!H278</f>
        <v>NOx Emission Factor</v>
      </c>
      <c r="V86" s="1001"/>
      <c r="W86" s="1001"/>
      <c r="X86" s="1001"/>
      <c r="Y86" s="1001"/>
      <c r="Z86" s="995" t="str">
        <f ca="1">'Translation Table'!H279</f>
        <v>CO Emission Factor</v>
      </c>
      <c r="AA86" s="1003"/>
      <c r="AB86" s="1003"/>
      <c r="AC86" s="1003"/>
      <c r="AD86" s="1004"/>
      <c r="AE86" s="1001" t="str">
        <f ca="1">'Translation Table'!H280</f>
        <v>NMVOC Emission Factor</v>
      </c>
      <c r="AF86" s="1001"/>
      <c r="AG86" s="1001"/>
      <c r="AH86" s="1001"/>
      <c r="AI86" s="1001"/>
      <c r="AJ86" s="995" t="str">
        <f ca="1">'Translation Table'!H431</f>
        <v>Emissions</v>
      </c>
      <c r="AK86" s="996"/>
      <c r="AL86" s="996"/>
      <c r="AM86" s="996"/>
      <c r="AN86" s="996"/>
      <c r="AO86" s="996"/>
      <c r="AP86" s="996"/>
    </row>
    <row r="87" spans="1:74" s="139" customFormat="1" ht="15.5" x14ac:dyDescent="0.35">
      <c r="B87" s="997"/>
      <c r="C87" s="998" t="str">
        <f ca="1">'Translation Table'!H432</f>
        <v>E+03 Nm3 per day</v>
      </c>
      <c r="D87" s="993" t="str">
        <f ca="1">'Translation Table'!H433</f>
        <v>(mol%)</v>
      </c>
      <c r="E87" s="196" t="str">
        <f ca="1">'Translation Table'!H434</f>
        <v>Density</v>
      </c>
      <c r="F87" s="993" t="str">
        <f ca="1">'Translation Table'!H435</f>
        <v>(mol%)</v>
      </c>
      <c r="G87" s="196" t="str">
        <f ca="1">'Translation Table'!H436</f>
        <v>Density</v>
      </c>
      <c r="H87" s="195" t="str">
        <f ca="1">'Translation Table'!H437</f>
        <v>Carbon Content</v>
      </c>
      <c r="I87" s="993" t="str">
        <f ca="1">'Translation Table'!H438</f>
        <v>(mol%)</v>
      </c>
      <c r="J87" s="195" t="str">
        <f ca="1">'Translation Table'!H439</f>
        <v>Carbon Content</v>
      </c>
      <c r="K87" s="195" t="str">
        <f ca="1">'Translation Table'!H440</f>
        <v>Molecular Weight</v>
      </c>
      <c r="L87" s="993" t="str">
        <f ca="1">'Translation Table'!H441</f>
        <v>Source</v>
      </c>
      <c r="M87" s="993" t="str">
        <f ca="1">'Translation Table'!H442</f>
        <v>Reference</v>
      </c>
      <c r="N87" s="993" t="str">
        <f ca="1">'Translation Table'!H443</f>
        <v>(%)</v>
      </c>
      <c r="O87" s="993" t="str">
        <f ca="1">'Translation Table'!H444</f>
        <v>Reference</v>
      </c>
      <c r="P87" s="993" t="str">
        <f ca="1">'Translation Table'!H374</f>
        <v>Value</v>
      </c>
      <c r="Q87" s="993" t="str">
        <f ca="1">'Translation Table'!H292</f>
        <v>Units of Measure</v>
      </c>
      <c r="R87" s="993" t="str">
        <f ca="1">'Translation Table'!H375</f>
        <v>Source</v>
      </c>
      <c r="S87" s="993" t="str">
        <f ca="1">'Translation Table'!H376</f>
        <v>Reference</v>
      </c>
      <c r="T87" s="197" t="str">
        <f ca="1">'Translation Table'!H295</f>
        <v>Conversion Factor</v>
      </c>
      <c r="U87" s="993" t="str">
        <f ca="1">'Translation Table'!H374</f>
        <v>Value</v>
      </c>
      <c r="V87" s="993" t="str">
        <f ca="1">'Translation Table'!H292</f>
        <v>Units of Measure</v>
      </c>
      <c r="W87" s="993" t="str">
        <f ca="1">'Translation Table'!H375</f>
        <v>Source</v>
      </c>
      <c r="X87" s="993" t="str">
        <f ca="1">'Translation Table'!H376</f>
        <v>Reference</v>
      </c>
      <c r="Y87" s="197" t="str">
        <f ca="1">'Translation Table'!H295</f>
        <v>Conversion Factor</v>
      </c>
      <c r="Z87" s="993" t="str">
        <f ca="1">'Translation Table'!H374</f>
        <v>Value</v>
      </c>
      <c r="AA87" s="993" t="str">
        <f ca="1">'Translation Table'!H292</f>
        <v>Units of Measure</v>
      </c>
      <c r="AB87" s="993" t="str">
        <f ca="1">'Translation Table'!H375</f>
        <v>Source</v>
      </c>
      <c r="AC87" s="993" t="str">
        <f ca="1">'Translation Table'!H376</f>
        <v>Reference</v>
      </c>
      <c r="AD87" s="197" t="str">
        <f ca="1">'Translation Table'!H295</f>
        <v>Conversion Factor</v>
      </c>
      <c r="AE87" s="993" t="str">
        <f ca="1">'Translation Table'!H374</f>
        <v>Value</v>
      </c>
      <c r="AF87" s="993" t="str">
        <f ca="1">'Translation Table'!H292</f>
        <v>Units of Measure</v>
      </c>
      <c r="AG87" s="993" t="str">
        <f ca="1">'Translation Table'!H375</f>
        <v>Source</v>
      </c>
      <c r="AH87" s="993" t="str">
        <f ca="1">'Translation Table'!H376</f>
        <v>Reference</v>
      </c>
      <c r="AI87" s="197" t="str">
        <f ca="1">'Translation Table'!H295</f>
        <v>Conversion Factor</v>
      </c>
      <c r="AJ87" s="196" t="str">
        <f ca="1">'Translation Table'!H296</f>
        <v>CO2</v>
      </c>
      <c r="AK87" s="196" t="str">
        <f ca="1">'Translation Table'!H297</f>
        <v>CH4</v>
      </c>
      <c r="AL87" s="196" t="str">
        <f ca="1">'Translation Table'!H298</f>
        <v>N2O</v>
      </c>
      <c r="AM87" s="196" t="str">
        <f ca="1">'Translation Table'!H299</f>
        <v>NOx</v>
      </c>
      <c r="AN87" s="196" t="str">
        <f ca="1">'Translation Table'!H300</f>
        <v>CO</v>
      </c>
      <c r="AO87" s="196" t="str">
        <f ca="1">'Translation Table'!H301</f>
        <v>NMVOC</v>
      </c>
      <c r="AP87" s="196" t="str">
        <f ca="1">'Translation Table'!H302</f>
        <v>SO2</v>
      </c>
    </row>
    <row r="88" spans="1:74" s="139" customFormat="1" ht="15.5" x14ac:dyDescent="0.35">
      <c r="B88" s="994"/>
      <c r="C88" s="994"/>
      <c r="D88" s="994"/>
      <c r="E88" s="196" t="str">
        <f ca="1">'Translation Table'!H445</f>
        <v>(kg/Nm3)</v>
      </c>
      <c r="F88" s="994"/>
      <c r="G88" s="196" t="str">
        <f ca="1">'Translation Table'!H446</f>
        <v>(kg/Nm3)</v>
      </c>
      <c r="H88" s="200" t="str">
        <f ca="1">'Translation Table'!H447</f>
        <v>(tonnes/E+03 Nm3)</v>
      </c>
      <c r="I88" s="994"/>
      <c r="J88" s="200" t="str">
        <f ca="1">'Translation Table'!H448</f>
        <v>(tonnes/E+03 Nm3)</v>
      </c>
      <c r="K88" s="200" t="str">
        <f ca="1">'Translation Table'!H449</f>
        <v>(kg/kmol)</v>
      </c>
      <c r="L88" s="994"/>
      <c r="M88" s="994"/>
      <c r="N88" s="994"/>
      <c r="O88" s="994"/>
      <c r="P88" s="994"/>
      <c r="Q88" s="994"/>
      <c r="R88" s="994"/>
      <c r="S88" s="994"/>
      <c r="T88" s="196" t="str">
        <f ca="1">'Translation Table'!H290</f>
        <v>Value</v>
      </c>
      <c r="U88" s="994"/>
      <c r="V88" s="994"/>
      <c r="W88" s="994"/>
      <c r="X88" s="994"/>
      <c r="Y88" s="196" t="str">
        <f ca="1">'Translation Table'!H290</f>
        <v>Value</v>
      </c>
      <c r="Z88" s="994"/>
      <c r="AA88" s="994"/>
      <c r="AB88" s="994"/>
      <c r="AC88" s="994"/>
      <c r="AD88" s="196" t="str">
        <f ca="1">'Translation Table'!H290</f>
        <v>Value</v>
      </c>
      <c r="AE88" s="994"/>
      <c r="AF88" s="994"/>
      <c r="AG88" s="994"/>
      <c r="AH88" s="994"/>
      <c r="AI88" s="196" t="str">
        <f ca="1">'Translation Table'!H290</f>
        <v>Value</v>
      </c>
      <c r="AJ88" s="196" t="str">
        <f ca="1">'Translation Table'!H450</f>
        <v>(tonnes/y)</v>
      </c>
      <c r="AK88" s="196" t="str">
        <f ca="1">'Translation Table'!H451</f>
        <v>(tonnes/y)</v>
      </c>
      <c r="AL88" s="196" t="str">
        <f ca="1">'Translation Table'!H452</f>
        <v>(tonnes/y)</v>
      </c>
      <c r="AM88" s="195" t="str">
        <f ca="1">'Translation Table'!H452</f>
        <v>(tonnes/y)</v>
      </c>
      <c r="AN88" s="195" t="str">
        <f ca="1">'Translation Table'!H452</f>
        <v>(tonnes/y)</v>
      </c>
      <c r="AO88" s="195" t="str">
        <f ca="1">'Translation Table'!H452</f>
        <v>(tonnes/y)</v>
      </c>
      <c r="AP88" s="195" t="str">
        <f ca="1">'Translation Table'!H452</f>
        <v>(tonnes/y)</v>
      </c>
    </row>
    <row r="89" spans="1:74" ht="16.149999999999999" customHeight="1" x14ac:dyDescent="0.35">
      <c r="A89" s="257"/>
      <c r="B89" s="238" t="str">
        <f ca="1">'Translation Table'!H453</f>
        <v>Vented</v>
      </c>
      <c r="C89" s="238">
        <f>IF('Setup - Facility Details'!E23 = "", 0,'Setup - Facility Details'!D23*_xlfn.XLOOKUP('Setup - Facility Details'!E23,'Lookup Tables'!$B$227:$B$235,'Lookup Tables'!$F$227:$F$235,,0,1))*E3m3_per_d_to_E3m3_per_d</f>
        <v>0</v>
      </c>
      <c r="D89" s="471" cm="1">
        <f t="array" ref="D89">VentedAcidGas_CO2</f>
        <v>0.25</v>
      </c>
      <c r="E89" s="472">
        <f>Constants!E$18</f>
        <v>1.8612954649952362</v>
      </c>
      <c r="F89" s="471">
        <f>VentedAcidGas_CH4</f>
        <v>0.1</v>
      </c>
      <c r="G89" s="472">
        <f>Constants!E$5</f>
        <v>0.67849950340646603</v>
      </c>
      <c r="H89" s="472">
        <f>Constants!X$5</f>
        <v>0.50796322293611185</v>
      </c>
      <c r="I89" s="473">
        <f>1-SUM('Setup - Facility Details'!E79:H79)</f>
        <v>0.59000000000000008</v>
      </c>
      <c r="J89" s="472">
        <f>10000/Constants!B$35*K89/1000*0.81</f>
        <v>11.989940111932503</v>
      </c>
      <c r="K89" s="474">
        <v>35</v>
      </c>
      <c r="L89" s="251" t="s">
        <v>596</v>
      </c>
      <c r="M89" s="225" t="s">
        <v>581</v>
      </c>
      <c r="N89" s="475">
        <v>0</v>
      </c>
      <c r="O89" s="225" t="s">
        <v>667</v>
      </c>
      <c r="P89" s="225">
        <v>0</v>
      </c>
      <c r="Q89" s="225" t="s">
        <v>2293</v>
      </c>
      <c r="R89" s="251" t="s">
        <v>596</v>
      </c>
      <c r="S89" s="225" t="s">
        <v>50</v>
      </c>
      <c r="T89" s="238"/>
      <c r="U89" s="225"/>
      <c r="V89" s="225"/>
      <c r="W89" s="251" t="s">
        <v>596</v>
      </c>
      <c r="X89" s="225"/>
      <c r="Y89" s="238"/>
      <c r="Z89" s="225"/>
      <c r="AA89" s="225"/>
      <c r="AB89" s="251" t="s">
        <v>596</v>
      </c>
      <c r="AC89" s="225"/>
      <c r="AD89" s="238"/>
      <c r="AE89" s="225"/>
      <c r="AF89" s="225"/>
      <c r="AG89" s="251" t="s">
        <v>596</v>
      </c>
      <c r="AH89" s="225"/>
      <c r="AI89" s="238"/>
      <c r="AJ89" s="463">
        <f>C89*D89*E89*365</f>
        <v>0</v>
      </c>
      <c r="AK89" s="463">
        <f>C89*F89*G89*(1-N89)*365</f>
        <v>0</v>
      </c>
      <c r="AL89" s="457">
        <f>C89*P89*T89*365</f>
        <v>0</v>
      </c>
      <c r="AM89" s="457">
        <f>C89*U89*Y89*365</f>
        <v>0</v>
      </c>
      <c r="AN89" s="457">
        <f>C89*Z89*AD89*365</f>
        <v>0</v>
      </c>
      <c r="AO89" s="457">
        <f>AK89/M_CH4/VentGas_CH4*(1-VentGas_CH4-VentGas_CO2-VentGas_N2-VentGas_H2S)*M_NMVOC</f>
        <v>0</v>
      </c>
      <c r="AP89" s="457">
        <f>C89*VentGas_H2S/Vstp*0</f>
        <v>0</v>
      </c>
      <c r="BM89" s="257"/>
      <c r="BN89" s="257"/>
      <c r="BO89" s="257"/>
      <c r="BP89" s="257"/>
      <c r="BQ89" s="257"/>
      <c r="BR89" s="257"/>
      <c r="BS89" s="257"/>
      <c r="BT89" s="257"/>
      <c r="BU89" s="257"/>
      <c r="BV89" s="257"/>
    </row>
    <row r="90" spans="1:74" ht="18" customHeight="1" x14ac:dyDescent="0.35">
      <c r="A90" s="257"/>
      <c r="B90" s="237" t="str">
        <f ca="1">'Translation Table'!H454</f>
        <v>Flared</v>
      </c>
      <c r="C90" s="237">
        <f>IF('Setup - Facility Details'!E21 = "", 0,'Setup - Facility Details'!D21*_xlfn.XLOOKUP('Setup - Facility Details'!E21,'Lookup Tables'!$C$227:$C$235,'Lookup Tables'!$G$227:$G$235,,0,1))*E3m3_per_d_to_E3m3_per_d</f>
        <v>0</v>
      </c>
      <c r="D90" s="301">
        <f>FlaredAcidGas_CO2</f>
        <v>0.25</v>
      </c>
      <c r="E90" s="476">
        <f>Constants!E$18</f>
        <v>1.8612954649952362</v>
      </c>
      <c r="F90" s="301" cm="1">
        <f t="array" ref="F90">FlaredAcidGas_CH4</f>
        <v>0.1</v>
      </c>
      <c r="G90" s="476">
        <f>Constants!E$5</f>
        <v>0.67849950340646603</v>
      </c>
      <c r="H90" s="476">
        <f>Constants!X$5</f>
        <v>0.50796322293611185</v>
      </c>
      <c r="I90" s="477">
        <f>1-SUM('Setup - Facility Details'!E78:H78)</f>
        <v>0.59000000000000008</v>
      </c>
      <c r="J90" s="476">
        <f>10000/Constants!B$35*K90/1000*0.81</f>
        <v>11.989940111932503</v>
      </c>
      <c r="K90" s="474">
        <v>35</v>
      </c>
      <c r="L90" s="251" t="s">
        <v>596</v>
      </c>
      <c r="M90" s="225" t="s">
        <v>581</v>
      </c>
      <c r="N90" s="475">
        <v>0.98</v>
      </c>
      <c r="O90" s="225" t="s">
        <v>2058</v>
      </c>
      <c r="P90" s="225">
        <v>1E-4</v>
      </c>
      <c r="Q90" s="225" t="s">
        <v>2293</v>
      </c>
      <c r="R90" s="251" t="s">
        <v>596</v>
      </c>
      <c r="S90" s="429" t="s">
        <v>2294</v>
      </c>
      <c r="T90" s="237">
        <f>g_per_scf_to_kg_per_Nm3</f>
        <v>3.5314662471284765E-2</v>
      </c>
      <c r="U90" s="225">
        <v>6.8000000000000005E-2</v>
      </c>
      <c r="V90" s="225" t="s">
        <v>2279</v>
      </c>
      <c r="W90" s="251" t="s">
        <v>596</v>
      </c>
      <c r="X90" s="225" t="s">
        <v>2709</v>
      </c>
      <c r="Y90" s="237">
        <f>lb_per_mmBTU_to_tonnes_per_GJ</f>
        <v>4.2992258230842723E-4</v>
      </c>
      <c r="Z90" s="225">
        <v>0.37</v>
      </c>
      <c r="AA90" s="225" t="s">
        <v>2279</v>
      </c>
      <c r="AB90" s="251" t="s">
        <v>596</v>
      </c>
      <c r="AC90" s="225" t="s">
        <v>2709</v>
      </c>
      <c r="AD90" s="237">
        <f>lb_per_mmBTU_to_tonnes_per_GJ</f>
        <v>4.2992258230842723E-4</v>
      </c>
      <c r="AE90" s="225"/>
      <c r="AF90" s="225"/>
      <c r="AG90" s="251" t="s">
        <v>596</v>
      </c>
      <c r="AH90" s="225"/>
      <c r="AI90" s="237"/>
      <c r="AJ90" s="407">
        <f>C90*(D90*E90*1+F90*N90*H90*M_CO2/M_C+I90*N90*J90*M_CO2/M_C)*365</f>
        <v>0</v>
      </c>
      <c r="AK90" s="407">
        <f>C90*F90*G90*(1-N90)*365</f>
        <v>0</v>
      </c>
      <c r="AL90" s="260">
        <f>C90*P90*T90*365</f>
        <v>0</v>
      </c>
      <c r="AM90" s="260">
        <f>C90*FlareGas_HHV*U90*Y90*365</f>
        <v>0</v>
      </c>
      <c r="AN90" s="260">
        <f>C90*FlareGas_HHV*Z90*AD90*365</f>
        <v>0</v>
      </c>
      <c r="AO90" s="260">
        <f>AK90/M_CH4/FlareGas_CH4*(1-FlareGas_CH4-FlareGas_CO2-FlareGas_N2-FlareGas_H2S)*M_NMVOC</f>
        <v>0</v>
      </c>
      <c r="AP90" s="260">
        <f>C90*FlareGas_H2S/Vstp*M_SO2*365</f>
        <v>0</v>
      </c>
      <c r="BO90" s="257"/>
      <c r="BP90" s="257"/>
      <c r="BQ90" s="257"/>
      <c r="BR90" s="257"/>
      <c r="BS90" s="257"/>
      <c r="BT90" s="257"/>
      <c r="BU90" s="257"/>
      <c r="BV90" s="257"/>
    </row>
    <row r="91" spans="1:74" x14ac:dyDescent="0.35">
      <c r="A91" s="257"/>
      <c r="AI91" s="250" t="str">
        <f ca="1">'Translation Table'!H455</f>
        <v>Total:</v>
      </c>
      <c r="AJ91" s="214">
        <f t="shared" ref="AJ91:AP91" si="41">SUM(AJ89:AJ90)</f>
        <v>0</v>
      </c>
      <c r="AK91" s="214">
        <f t="shared" si="41"/>
        <v>0</v>
      </c>
      <c r="AL91" s="252">
        <f t="shared" si="41"/>
        <v>0</v>
      </c>
      <c r="AM91" s="252">
        <f t="shared" si="41"/>
        <v>0</v>
      </c>
      <c r="AN91" s="252">
        <f t="shared" si="41"/>
        <v>0</v>
      </c>
      <c r="AO91" s="252">
        <f t="shared" si="41"/>
        <v>0</v>
      </c>
      <c r="AP91" s="252">
        <f t="shared" si="41"/>
        <v>0</v>
      </c>
      <c r="BO91" s="257"/>
      <c r="BP91" s="257"/>
      <c r="BQ91" s="257"/>
      <c r="BR91" s="257"/>
      <c r="BS91" s="257"/>
      <c r="BT91" s="257"/>
      <c r="BU91" s="257"/>
      <c r="BV91" s="257"/>
    </row>
    <row r="92" spans="1:74" ht="22.5" x14ac:dyDescent="0.35">
      <c r="A92" s="257"/>
      <c r="B92" s="249" t="str">
        <f ca="1">'Translation Table'!H456</f>
        <v>Electric Power Purchases</v>
      </c>
    </row>
    <row r="93" spans="1:74" x14ac:dyDescent="0.35">
      <c r="A93" s="257"/>
    </row>
    <row r="94" spans="1:74" s="139" customFormat="1" ht="15.5" x14ac:dyDescent="0.35">
      <c r="B94" s="987" t="str">
        <f ca="1">'Translation Table'!H457</f>
        <v>Type of Power Plant</v>
      </c>
      <c r="C94" s="253" t="str">
        <f ca="1">'Translation Table'!H458</f>
        <v>Purchased</v>
      </c>
      <c r="D94" s="984" t="str">
        <f ca="1">'Translation Table'!H459</f>
        <v>Emission Factors (Tonnes/MWh)</v>
      </c>
      <c r="E94" s="991"/>
      <c r="F94" s="991"/>
      <c r="G94" s="991"/>
      <c r="H94" s="991"/>
      <c r="I94" s="991"/>
      <c r="J94" s="991"/>
      <c r="K94" s="991"/>
      <c r="L94" s="992"/>
      <c r="M94" s="995" t="str">
        <f ca="1">'Translation Table'!H460</f>
        <v>Emissions</v>
      </c>
      <c r="N94" s="996"/>
      <c r="O94" s="996"/>
      <c r="P94" s="996"/>
      <c r="Q94" s="996"/>
      <c r="R94" s="996"/>
      <c r="S94" s="996"/>
      <c r="BM94" s="191"/>
      <c r="BN94" s="191"/>
      <c r="BO94" s="191"/>
      <c r="BP94" s="191"/>
      <c r="BQ94" s="191"/>
      <c r="BR94" s="191"/>
      <c r="BS94" s="191"/>
      <c r="BT94" s="191"/>
      <c r="BU94" s="191"/>
      <c r="BV94" s="191"/>
    </row>
    <row r="95" spans="1:74" s="139" customFormat="1" ht="15.5" x14ac:dyDescent="0.35">
      <c r="B95" s="988"/>
      <c r="C95" s="253" t="str">
        <f ca="1">'Translation Table'!H461</f>
        <v>Electricity</v>
      </c>
      <c r="D95" s="990" t="str">
        <f ca="1">'Translation Table'!H296</f>
        <v>CO2</v>
      </c>
      <c r="E95" s="990" t="str">
        <f ca="1">'Translation Table'!H297</f>
        <v>CH4</v>
      </c>
      <c r="F95" s="990" t="str">
        <f ca="1">'Translation Table'!H298</f>
        <v>N2O</v>
      </c>
      <c r="G95" s="993" t="str">
        <f ca="1">'Translation Table'!H299</f>
        <v>NOx</v>
      </c>
      <c r="H95" s="993" t="str">
        <f ca="1">'Translation Table'!H300</f>
        <v>CO</v>
      </c>
      <c r="I95" s="993" t="str">
        <f ca="1">'Translation Table'!H301</f>
        <v>NMVOC</v>
      </c>
      <c r="J95" s="993" t="str">
        <f ca="1">'Translation Table'!H302</f>
        <v>SO2</v>
      </c>
      <c r="K95" s="1011" t="str">
        <f ca="1">'Translation Table'!H462</f>
        <v>Reference</v>
      </c>
      <c r="L95" s="1012"/>
      <c r="M95" s="196" t="str">
        <f ca="1">'Translation Table'!H296</f>
        <v>CO2</v>
      </c>
      <c r="N95" s="196" t="str">
        <f ca="1">'Translation Table'!H297</f>
        <v>CH4</v>
      </c>
      <c r="O95" s="196" t="str">
        <f ca="1">'Translation Table'!H298</f>
        <v>N2O</v>
      </c>
      <c r="P95" s="196" t="str">
        <f ca="1">'Translation Table'!H299</f>
        <v>NOx</v>
      </c>
      <c r="Q95" s="196" t="str">
        <f ca="1">'Translation Table'!H300</f>
        <v>CO</v>
      </c>
      <c r="R95" s="196" t="str">
        <f ca="1">'Translation Table'!H301</f>
        <v>NMVOC</v>
      </c>
      <c r="S95" s="196" t="str">
        <f ca="1">'Translation Table'!H302</f>
        <v>SO2</v>
      </c>
      <c r="BM95" s="191"/>
      <c r="BN95" s="191"/>
      <c r="BO95" s="191"/>
      <c r="BP95" s="191"/>
      <c r="BQ95" s="191"/>
      <c r="BR95" s="191"/>
      <c r="BS95" s="191"/>
      <c r="BT95" s="191"/>
      <c r="BU95" s="191"/>
      <c r="BV95" s="191"/>
    </row>
    <row r="96" spans="1:74" s="139" customFormat="1" ht="15.5" x14ac:dyDescent="0.35">
      <c r="A96" s="191"/>
      <c r="B96" s="989"/>
      <c r="C96" s="253" t="str">
        <f ca="1">'Translation Table'!H463</f>
        <v>(MWh/y)</v>
      </c>
      <c r="D96" s="989"/>
      <c r="E96" s="989"/>
      <c r="F96" s="989"/>
      <c r="G96" s="1006"/>
      <c r="H96" s="1006"/>
      <c r="I96" s="1006"/>
      <c r="J96" s="1006"/>
      <c r="K96" s="995"/>
      <c r="L96" s="1004"/>
      <c r="M96" s="196" t="str">
        <f ca="1">'Translation Table'!H464</f>
        <v>(tonnes/y)</v>
      </c>
      <c r="N96" s="196" t="str">
        <f ca="1">'Translation Table'!H465</f>
        <v>(tonnes/y)</v>
      </c>
      <c r="O96" s="196" t="str">
        <f ca="1">'Translation Table'!H466</f>
        <v>(tonnes/y)</v>
      </c>
      <c r="P96" s="195" t="str">
        <f ca="1">'Translation Table'!H466</f>
        <v>(tonnes/y)</v>
      </c>
      <c r="Q96" s="195" t="str">
        <f ca="1">'Translation Table'!H466</f>
        <v>(tonnes/y)</v>
      </c>
      <c r="R96" s="195" t="str">
        <f ca="1">'Translation Table'!H466</f>
        <v>(tonnes/y)</v>
      </c>
      <c r="S96" s="195" t="str">
        <f ca="1">'Translation Table'!H466</f>
        <v>(tonnes/y)</v>
      </c>
      <c r="BM96" s="191"/>
      <c r="BN96" s="191"/>
      <c r="BO96" s="191"/>
      <c r="BP96" s="191"/>
      <c r="BQ96" s="191"/>
      <c r="BR96" s="191"/>
      <c r="BS96" s="191"/>
      <c r="BT96" s="191"/>
      <c r="BU96" s="191"/>
      <c r="BV96" s="191"/>
    </row>
    <row r="97" spans="1:19" ht="16.149999999999999" customHeight="1" x14ac:dyDescent="0.35">
      <c r="B97" s="480" t="str">
        <f ca="1">'Translation Table'!H467</f>
        <v>Hydro Electric</v>
      </c>
      <c r="C97" s="238">
        <f>'Setup - Facility Details'!D25</f>
        <v>0</v>
      </c>
      <c r="D97" s="225">
        <v>0</v>
      </c>
      <c r="E97" s="464">
        <v>0</v>
      </c>
      <c r="F97" s="464">
        <v>0</v>
      </c>
      <c r="G97" s="464">
        <v>0</v>
      </c>
      <c r="H97" s="464">
        <v>0</v>
      </c>
      <c r="I97" s="464">
        <v>0</v>
      </c>
      <c r="J97" s="464">
        <v>0</v>
      </c>
      <c r="K97" s="752" t="s">
        <v>50</v>
      </c>
      <c r="L97" s="1007"/>
      <c r="M97" s="463">
        <f t="shared" ref="M97:S100" si="42">$C97*D97</f>
        <v>0</v>
      </c>
      <c r="N97" s="463">
        <f t="shared" si="42"/>
        <v>0</v>
      </c>
      <c r="O97" s="463">
        <f t="shared" si="42"/>
        <v>0</v>
      </c>
      <c r="P97" s="463">
        <f t="shared" si="42"/>
        <v>0</v>
      </c>
      <c r="Q97" s="463">
        <f t="shared" si="42"/>
        <v>0</v>
      </c>
      <c r="R97" s="463">
        <f t="shared" si="42"/>
        <v>0</v>
      </c>
      <c r="S97" s="463">
        <f t="shared" si="42"/>
        <v>0</v>
      </c>
    </row>
    <row r="98" spans="1:19" ht="16.149999999999999" customHeight="1" x14ac:dyDescent="0.35">
      <c r="B98" s="237" t="str">
        <f ca="1">'Translation Table'!H468</f>
        <v>Coal-Fired Power Plant</v>
      </c>
      <c r="C98" s="237">
        <f>'Setup - Facility Details'!D26</f>
        <v>0</v>
      </c>
      <c r="D98" s="225">
        <v>0.89</v>
      </c>
      <c r="E98" s="464">
        <v>1.8099999999999999E-5</v>
      </c>
      <c r="F98" s="464">
        <v>1.54E-4</v>
      </c>
      <c r="G98" s="481"/>
      <c r="H98" s="481"/>
      <c r="I98" s="481"/>
      <c r="J98" s="481"/>
      <c r="K98" s="752" t="s">
        <v>2059</v>
      </c>
      <c r="L98" s="1007"/>
      <c r="M98" s="407">
        <f t="shared" si="42"/>
        <v>0</v>
      </c>
      <c r="N98" s="407">
        <f t="shared" si="42"/>
        <v>0</v>
      </c>
      <c r="O98" s="407">
        <f t="shared" si="42"/>
        <v>0</v>
      </c>
      <c r="P98" s="407">
        <f t="shared" si="42"/>
        <v>0</v>
      </c>
      <c r="Q98" s="407">
        <f t="shared" si="42"/>
        <v>0</v>
      </c>
      <c r="R98" s="407">
        <f t="shared" si="42"/>
        <v>0</v>
      </c>
      <c r="S98" s="407">
        <f t="shared" si="42"/>
        <v>0</v>
      </c>
    </row>
    <row r="99" spans="1:19" ht="16.149999999999999" customHeight="1" x14ac:dyDescent="0.35">
      <c r="A99" s="257"/>
      <c r="B99" s="480" t="str">
        <f ca="1">'Translation Table'!H469</f>
        <v>Natural Gas (Gas Turbine)</v>
      </c>
      <c r="C99" s="238">
        <f>'Setup - Facility Details'!D27</f>
        <v>0</v>
      </c>
      <c r="D99" s="225">
        <v>0.57999999999999996</v>
      </c>
      <c r="E99" s="464">
        <v>7.2600000000000003E-5</v>
      </c>
      <c r="F99" s="464">
        <v>1.0900000000000001E-4</v>
      </c>
      <c r="G99" s="481"/>
      <c r="H99" s="481"/>
      <c r="I99" s="481"/>
      <c r="J99" s="481"/>
      <c r="K99" s="752" t="s">
        <v>2059</v>
      </c>
      <c r="L99" s="1007"/>
      <c r="M99" s="463">
        <f t="shared" si="42"/>
        <v>0</v>
      </c>
      <c r="N99" s="463">
        <f t="shared" si="42"/>
        <v>0</v>
      </c>
      <c r="O99" s="463">
        <f t="shared" si="42"/>
        <v>0</v>
      </c>
      <c r="P99" s="463">
        <f t="shared" si="42"/>
        <v>0</v>
      </c>
      <c r="Q99" s="463">
        <f t="shared" si="42"/>
        <v>0</v>
      </c>
      <c r="R99" s="463">
        <f t="shared" si="42"/>
        <v>0</v>
      </c>
      <c r="S99" s="463">
        <f t="shared" si="42"/>
        <v>0</v>
      </c>
    </row>
    <row r="100" spans="1:19" ht="16.149999999999999" customHeight="1" x14ac:dyDescent="0.35">
      <c r="A100" s="257"/>
      <c r="B100" s="279" t="str">
        <f ca="1">'Translation Table'!H470</f>
        <v>Natural Gas (Combined Cycle)</v>
      </c>
      <c r="C100" s="237">
        <f>'Setup - Facility Details'!D28</f>
        <v>0</v>
      </c>
      <c r="D100" s="225">
        <v>0.4</v>
      </c>
      <c r="E100" s="464">
        <v>6.8000000000000001E-6</v>
      </c>
      <c r="F100" s="464">
        <v>2.8600000000000001E-5</v>
      </c>
      <c r="G100" s="481"/>
      <c r="H100" s="481"/>
      <c r="I100" s="481"/>
      <c r="J100" s="481"/>
      <c r="K100" s="752" t="s">
        <v>2059</v>
      </c>
      <c r="L100" s="1007"/>
      <c r="M100" s="407">
        <f t="shared" si="42"/>
        <v>0</v>
      </c>
      <c r="N100" s="407">
        <f t="shared" si="42"/>
        <v>0</v>
      </c>
      <c r="O100" s="407">
        <f t="shared" si="42"/>
        <v>0</v>
      </c>
      <c r="P100" s="407">
        <f t="shared" si="42"/>
        <v>0</v>
      </c>
      <c r="Q100" s="407">
        <f t="shared" si="42"/>
        <v>0</v>
      </c>
      <c r="R100" s="407">
        <f t="shared" si="42"/>
        <v>0</v>
      </c>
      <c r="S100" s="407">
        <f t="shared" si="42"/>
        <v>0</v>
      </c>
    </row>
    <row r="101" spans="1:19" x14ac:dyDescent="0.35">
      <c r="A101" s="257"/>
      <c r="K101" s="1005" t="str">
        <f ca="1">'Translation Table'!H471</f>
        <v>Total:</v>
      </c>
      <c r="L101" s="1005"/>
      <c r="M101" s="214">
        <f t="shared" ref="M101:S101" si="43">SUM(M97:M100)</f>
        <v>0</v>
      </c>
      <c r="N101" s="214">
        <f t="shared" si="43"/>
        <v>0</v>
      </c>
      <c r="O101" s="214">
        <f t="shared" si="43"/>
        <v>0</v>
      </c>
      <c r="P101" s="214">
        <f t="shared" si="43"/>
        <v>0</v>
      </c>
      <c r="Q101" s="214">
        <f t="shared" si="43"/>
        <v>0</v>
      </c>
      <c r="R101" s="214">
        <f t="shared" si="43"/>
        <v>0</v>
      </c>
      <c r="S101" s="214">
        <f t="shared" si="43"/>
        <v>0</v>
      </c>
    </row>
  </sheetData>
  <sheetProtection algorithmName="SHA-512" hashValue="dB3rUzsb1s0kE6ymhsAx85+anlEJ1X85+JFFeRpZAkOMXuebD5xCS+jNrLYrcZNMFbrZOne2leWVaD52bw90Fw==" saltValue="B595Q6+bw6Dt8fJ8z/3T0w==" spinCount="100000" sheet="1" objects="1" scenarios="1"/>
  <mergeCells count="208">
    <mergeCell ref="AO18:AO19"/>
    <mergeCell ref="AP18:AP19"/>
    <mergeCell ref="AQ18:AQ19"/>
    <mergeCell ref="AJ18:AJ19"/>
    <mergeCell ref="AK18:AK19"/>
    <mergeCell ref="AL18:AL19"/>
    <mergeCell ref="AN18:AN19"/>
    <mergeCell ref="AM33:AS33"/>
    <mergeCell ref="AE34:AE35"/>
    <mergeCell ref="AF34:AF35"/>
    <mergeCell ref="AH34:AH35"/>
    <mergeCell ref="AI34:AI35"/>
    <mergeCell ref="AJ34:AJ35"/>
    <mergeCell ref="AK34:AK35"/>
    <mergeCell ref="AC34:AC35"/>
    <mergeCell ref="AC33:AG33"/>
    <mergeCell ref="AH33:AL33"/>
    <mergeCell ref="AE18:AE19"/>
    <mergeCell ref="AF18:AF19"/>
    <mergeCell ref="AG18:AG19"/>
    <mergeCell ref="AI18:AI19"/>
    <mergeCell ref="K95:L96"/>
    <mergeCell ref="AD18:AD19"/>
    <mergeCell ref="AD34:AD35"/>
    <mergeCell ref="U34:U35"/>
    <mergeCell ref="V34:V35"/>
    <mergeCell ref="X34:X35"/>
    <mergeCell ref="Y34:Y35"/>
    <mergeCell ref="Z34:Z35"/>
    <mergeCell ref="AA34:AA35"/>
    <mergeCell ref="AA79:AA80"/>
    <mergeCell ref="AB79:AB80"/>
    <mergeCell ref="N33:R33"/>
    <mergeCell ref="S33:W33"/>
    <mergeCell ref="X33:AB33"/>
    <mergeCell ref="P78:T78"/>
    <mergeCell ref="P86:T86"/>
    <mergeCell ref="AJ78:AP78"/>
    <mergeCell ref="AS17:AY17"/>
    <mergeCell ref="E4:E5"/>
    <mergeCell ref="AA18:AA19"/>
    <mergeCell ref="Z18:Z19"/>
    <mergeCell ref="O18:O19"/>
    <mergeCell ref="AB18:AB19"/>
    <mergeCell ref="Y18:Y19"/>
    <mergeCell ref="M17:O17"/>
    <mergeCell ref="N18:N19"/>
    <mergeCell ref="U18:U19"/>
    <mergeCell ref="Q17:S17"/>
    <mergeCell ref="R4:R5"/>
    <mergeCell ref="S4:S5"/>
    <mergeCell ref="AD4:AD5"/>
    <mergeCell ref="R18:R19"/>
    <mergeCell ref="S18:S19"/>
    <mergeCell ref="V18:V19"/>
    <mergeCell ref="W18:W19"/>
    <mergeCell ref="AE4:AE5"/>
    <mergeCell ref="AI4:AI5"/>
    <mergeCell ref="AJ4:AJ5"/>
    <mergeCell ref="AK4:AK5"/>
    <mergeCell ref="AL4:AL5"/>
    <mergeCell ref="AO4:AO5"/>
    <mergeCell ref="AS3:AY3"/>
    <mergeCell ref="AN4:AN5"/>
    <mergeCell ref="AB4:AB5"/>
    <mergeCell ref="AA4:AA5"/>
    <mergeCell ref="Z4:Z5"/>
    <mergeCell ref="D3:F3"/>
    <mergeCell ref="J3:L3"/>
    <mergeCell ref="Y4:Y5"/>
    <mergeCell ref="K4:K5"/>
    <mergeCell ref="L4:L5"/>
    <mergeCell ref="W4:W5"/>
    <mergeCell ref="T4:T5"/>
    <mergeCell ref="V4:V5"/>
    <mergeCell ref="O4:O5"/>
    <mergeCell ref="N4:N5"/>
    <mergeCell ref="Q3:S3"/>
    <mergeCell ref="AP4:AP5"/>
    <mergeCell ref="AQ4:AQ5"/>
    <mergeCell ref="AN3:AR3"/>
    <mergeCell ref="AF4:AF5"/>
    <mergeCell ref="AG4:AG5"/>
    <mergeCell ref="G3:I3"/>
    <mergeCell ref="H4:H5"/>
    <mergeCell ref="I4:I5"/>
    <mergeCell ref="B1:C1"/>
    <mergeCell ref="P18:P19"/>
    <mergeCell ref="P4:P5"/>
    <mergeCell ref="U4:U5"/>
    <mergeCell ref="F4:F5"/>
    <mergeCell ref="D17:F17"/>
    <mergeCell ref="F18:F19"/>
    <mergeCell ref="K18:K19"/>
    <mergeCell ref="J17:L17"/>
    <mergeCell ref="B3:B5"/>
    <mergeCell ref="M3:O3"/>
    <mergeCell ref="L18:L19"/>
    <mergeCell ref="B17:B19"/>
    <mergeCell ref="E18:E19"/>
    <mergeCell ref="T18:T19"/>
    <mergeCell ref="G17:I17"/>
    <mergeCell ref="H18:H19"/>
    <mergeCell ref="I18:I19"/>
    <mergeCell ref="O34:O35"/>
    <mergeCell ref="T34:T35"/>
    <mergeCell ref="B33:B35"/>
    <mergeCell ref="E34:E35"/>
    <mergeCell ref="H34:H35"/>
    <mergeCell ref="I34:I35"/>
    <mergeCell ref="F34:F35"/>
    <mergeCell ref="D33:F33"/>
    <mergeCell ref="G33:I33"/>
    <mergeCell ref="K33:M33"/>
    <mergeCell ref="L34:L35"/>
    <mergeCell ref="M34:M35"/>
    <mergeCell ref="Q34:Q35"/>
    <mergeCell ref="N34:N35"/>
    <mergeCell ref="P34:P35"/>
    <mergeCell ref="S34:S35"/>
    <mergeCell ref="J33:J35"/>
    <mergeCell ref="AJ86:AP86"/>
    <mergeCell ref="K101:L101"/>
    <mergeCell ref="G95:G96"/>
    <mergeCell ref="H95:H96"/>
    <mergeCell ref="I95:I96"/>
    <mergeCell ref="J95:J96"/>
    <mergeCell ref="K97:L97"/>
    <mergeCell ref="K98:L98"/>
    <mergeCell ref="K99:L99"/>
    <mergeCell ref="K100:L100"/>
    <mergeCell ref="AE87:AE88"/>
    <mergeCell ref="AF87:AF88"/>
    <mergeCell ref="AG87:AG88"/>
    <mergeCell ref="AH87:AH88"/>
    <mergeCell ref="Z87:Z88"/>
    <mergeCell ref="AA87:AA88"/>
    <mergeCell ref="AB87:AB88"/>
    <mergeCell ref="S87:S88"/>
    <mergeCell ref="W87:W88"/>
    <mergeCell ref="X87:X88"/>
    <mergeCell ref="AC87:AC88"/>
    <mergeCell ref="U87:U88"/>
    <mergeCell ref="V87:V88"/>
    <mergeCell ref="D86:E86"/>
    <mergeCell ref="I78:M78"/>
    <mergeCell ref="I86:M86"/>
    <mergeCell ref="U78:Y78"/>
    <mergeCell ref="U86:Y86"/>
    <mergeCell ref="Z78:AD78"/>
    <mergeCell ref="Z86:AD86"/>
    <mergeCell ref="O87:O88"/>
    <mergeCell ref="L79:L80"/>
    <mergeCell ref="M79:M80"/>
    <mergeCell ref="L87:L88"/>
    <mergeCell ref="M87:M88"/>
    <mergeCell ref="Q87:Q88"/>
    <mergeCell ref="I79:I80"/>
    <mergeCell ref="AE78:AI78"/>
    <mergeCell ref="AE86:AI86"/>
    <mergeCell ref="N79:N80"/>
    <mergeCell ref="O79:O80"/>
    <mergeCell ref="N86:O86"/>
    <mergeCell ref="AG79:AG80"/>
    <mergeCell ref="AH79:AH80"/>
    <mergeCell ref="Z79:Z80"/>
    <mergeCell ref="AE79:AE80"/>
    <mergeCell ref="AF79:AF80"/>
    <mergeCell ref="AC79:AC80"/>
    <mergeCell ref="N78:O78"/>
    <mergeCell ref="Q79:Q80"/>
    <mergeCell ref="U79:U80"/>
    <mergeCell ref="V79:V80"/>
    <mergeCell ref="W79:W80"/>
    <mergeCell ref="X79:X80"/>
    <mergeCell ref="B94:B96"/>
    <mergeCell ref="D95:D96"/>
    <mergeCell ref="D94:L94"/>
    <mergeCell ref="R79:R80"/>
    <mergeCell ref="M94:S94"/>
    <mergeCell ref="P79:P80"/>
    <mergeCell ref="B86:B88"/>
    <mergeCell ref="C87:C88"/>
    <mergeCell ref="D87:D88"/>
    <mergeCell ref="F87:F88"/>
    <mergeCell ref="I87:I88"/>
    <mergeCell ref="F86:H86"/>
    <mergeCell ref="S79:S80"/>
    <mergeCell ref="N87:N88"/>
    <mergeCell ref="B78:B80"/>
    <mergeCell ref="D78:E78"/>
    <mergeCell ref="F78:H78"/>
    <mergeCell ref="C79:C80"/>
    <mergeCell ref="D79:D80"/>
    <mergeCell ref="F79:F80"/>
    <mergeCell ref="P87:P88"/>
    <mergeCell ref="R87:R88"/>
    <mergeCell ref="E95:E96"/>
    <mergeCell ref="F95:F96"/>
    <mergeCell ref="AN17:AR17"/>
    <mergeCell ref="T3:X3"/>
    <mergeCell ref="T17:X17"/>
    <mergeCell ref="Y3:AC3"/>
    <mergeCell ref="Y17:AC17"/>
    <mergeCell ref="AD17:AH17"/>
    <mergeCell ref="AD3:AH3"/>
    <mergeCell ref="AI3:AM3"/>
    <mergeCell ref="AI17:AM17"/>
  </mergeCells>
  <dataValidations count="4">
    <dataValidation type="decimal" allowBlank="1" showInputMessage="1" showErrorMessage="1" error="Value must be between 0 and 100%" sqref="K36:K71 N81:N82 N89:N90" xr:uid="{00000000-0002-0000-0300-000000000000}">
      <formula1>0</formula1>
      <formula2>100</formula2>
    </dataValidation>
    <dataValidation type="list" allowBlank="1" showDropDown="1" showInputMessage="1" showErrorMessage="1" sqref="E20:E29 E6:E13 K6:K13 K20:K29 N6:N13 N20:N29 R6:R13 R20:R29 V20:V29 V6:V13 AA6:AA13 AA20:AA29 AF6:AF13 AF20:AF29 AK6:AK13 AK20:AK29 AP6:AP13 AP20:AP29 E36:E71 H36:H71 L36:L71 P36:P71 U36:U71 Z36:Z71 AE36:AE71 AJ36:AJ71 L81:L82 R89:R90 R81:R82 L89:L90 W81:W82 W89:W90 AB81:AB82 AB89:AB90 AG81:AG82 AG89:AG90 H20:H29 H6:H13" xr:uid="{F9E4298E-D653-4B3A-BE7D-B8261C254B4A}">
      <formula1>RnSource</formula1>
    </dataValidation>
    <dataValidation type="decimal" operator="greaterThanOrEqual" allowBlank="1" showInputMessage="1" showErrorMessage="1" error="The value you entered is not valid._x000a__x000a_This cell accepts only zero and positive numeric values." sqref="D6:D13 D20:D29 G6:G13 G20:G29 J6:J13 J20:J29 M6:M13 M20:M29 D36:D71 D97:J100 T20:T29 T6:T13 Y20:Y29 Y6:Y13 AD6:AD13 AD20:AD29 AI6:AI13 AI20:AI29 AN6:AN13 AN20:AN29 N36:N71 S36:S71 X36:X71 AC36:AC71 AH36:AH71 K81:K82 K89:K90 P81:P82 P89:P90 U81:U82 U89:U90 Z81:Z82 Z89:Z90 AE89:AE90 G36:G71" xr:uid="{65941A8C-6C15-4EA7-B957-04D7F604AB5C}">
      <formula1>0</formula1>
    </dataValidation>
    <dataValidation type="decimal" allowBlank="1" showInputMessage="1" showErrorMessage="1" error="The value you entered is not valid._x000a__x000a_This cell accepts only values between 0 and 100." sqref="Q6:Q13 Q20:Q29" xr:uid="{224D617E-D60A-4187-B51D-789F9980349F}">
      <formula1>0</formula1>
      <formula2>100</formula2>
    </dataValidation>
  </dataValidations>
  <pageMargins left="0.7" right="0.7" top="0.75" bottom="0.75" header="0.3" footer="0.3"/>
  <pageSetup orientation="portrait"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rgb="FFE67942"/>
  </sheetPr>
  <dimension ref="A1:AT211"/>
  <sheetViews>
    <sheetView showGridLines="0" topLeftCell="B1" zoomScaleNormal="100" workbookViewId="0">
      <selection activeCell="B1" sqref="B1"/>
    </sheetView>
  </sheetViews>
  <sheetFormatPr defaultColWidth="22" defaultRowHeight="14" x14ac:dyDescent="0.3"/>
  <cols>
    <col min="1" max="1" width="15.7265625" style="256" hidden="1" customWidth="1"/>
    <col min="2" max="2" width="64.453125" style="256" customWidth="1"/>
    <col min="3" max="3" width="24.54296875" style="256" customWidth="1"/>
    <col min="4" max="4" width="32.81640625" style="256" customWidth="1"/>
    <col min="5" max="6" width="22" style="256"/>
    <col min="7" max="7" width="28.1796875" style="256" customWidth="1"/>
    <col min="8" max="16384" width="22" style="256"/>
  </cols>
  <sheetData>
    <row r="1" spans="1:46" ht="27.75" customHeight="1" x14ac:dyDescent="0.45">
      <c r="B1" s="44" t="str">
        <f ca="1">'Translation Table'!H472</f>
        <v>Equipment Component &amp; Leakage Inventory</v>
      </c>
      <c r="C1" s="44"/>
      <c r="D1" s="43"/>
    </row>
    <row r="2" spans="1:46" ht="15" customHeight="1" x14ac:dyDescent="0.45">
      <c r="B2" s="37"/>
    </row>
    <row r="3" spans="1:46" ht="15" hidden="1" customHeight="1" x14ac:dyDescent="0.45">
      <c r="B3" s="37"/>
    </row>
    <row r="4" spans="1:46" ht="15" hidden="1" customHeight="1" x14ac:dyDescent="0.3">
      <c r="B4" s="256" t="str">
        <f ca="1">'Translation Table'!H473</f>
        <v>Industry Segment:</v>
      </c>
      <c r="C4" s="256" t="str">
        <f ca="1">'Setup - Facility Details'!C11</f>
        <v>Gas Processing</v>
      </c>
      <c r="D4" s="256">
        <f ca="1">MATCH(C4,'Equipment Schedules'!C678:C686,0)</f>
        <v>5</v>
      </c>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row>
    <row r="5" spans="1:46" ht="15" hidden="1" customHeight="1" x14ac:dyDescent="0.3">
      <c r="B5" s="256" t="str">
        <f ca="1">'Translation Table'!H475</f>
        <v>Hydrocarbon Liquid:</v>
      </c>
      <c r="C5" s="482" t="str">
        <f ca="1">'Setup - Facility Details'!C13</f>
        <v>Light</v>
      </c>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row>
    <row r="6" spans="1:46" ht="15" hidden="1" customHeight="1" x14ac:dyDescent="0.3">
      <c r="B6" s="256" t="str">
        <f ca="1">'Translation Table'!H476</f>
        <v>Product Factor</v>
      </c>
      <c r="C6" s="482">
        <f ca="1">IF(OR(C5=Heavy,C5=VeryHeavy),1,0)</f>
        <v>0</v>
      </c>
      <c r="G6" s="256">
        <f ca="1">'Setup - Facility Details'!A51-1</f>
        <v>0</v>
      </c>
      <c r="I6" s="256">
        <f ca="1">'Setup - Facility Details'!A52-1</f>
        <v>0</v>
      </c>
      <c r="K6" s="256">
        <f ca="1">'Setup - Facility Details'!A53-1</f>
        <v>0</v>
      </c>
      <c r="M6" s="256">
        <f ca="1">'Setup - Facility Details'!A54-1</f>
        <v>0</v>
      </c>
      <c r="O6" s="256">
        <f ca="1">'Setup - Facility Details'!A55-1</f>
        <v>0</v>
      </c>
      <c r="Q6" s="256">
        <f ca="1">'Setup - Facility Details'!A56-1</f>
        <v>0</v>
      </c>
      <c r="S6" s="256">
        <f ca="1">'Setup - Facility Details'!A57-1</f>
        <v>0</v>
      </c>
      <c r="U6" s="256">
        <f ca="1">'Setup - Facility Details'!A58-1</f>
        <v>0</v>
      </c>
      <c r="W6" s="256">
        <f ca="1">'Setup - Facility Details'!A59-1</f>
        <v>0</v>
      </c>
      <c r="Y6" s="256">
        <f ca="1">'Setup - Facility Details'!A60-1</f>
        <v>0</v>
      </c>
      <c r="AA6" s="256">
        <f ca="1">'Setup - Facility Details'!A61-1</f>
        <v>0</v>
      </c>
      <c r="AC6" s="256">
        <f ca="1">'Setup - Facility Details'!A62-1</f>
        <v>0</v>
      </c>
      <c r="AE6" s="256">
        <f ca="1">'Setup - Facility Details'!A63-1</f>
        <v>0</v>
      </c>
      <c r="AG6" s="256">
        <f ca="1">'Setup - Facility Details'!A64-1</f>
        <v>0</v>
      </c>
      <c r="AI6" s="256">
        <f ca="1">'Setup - Facility Details'!A65-1</f>
        <v>0</v>
      </c>
      <c r="AK6" s="256">
        <f ca="1">'Setup - Facility Details'!A66-1</f>
        <v>0</v>
      </c>
      <c r="AM6" s="256">
        <f ca="1">'Setup - Facility Details'!A67-1</f>
        <v>0</v>
      </c>
      <c r="AO6" s="256">
        <f ca="1">'Setup - Facility Details'!A68-1</f>
        <v>0</v>
      </c>
      <c r="AQ6" s="256">
        <f ca="1">'Setup - Facility Details'!A69-1</f>
        <v>0</v>
      </c>
      <c r="AS6" s="256">
        <f ca="1">'Setup - Facility Details'!A70-1</f>
        <v>0</v>
      </c>
    </row>
    <row r="7" spans="1:46" ht="15" hidden="1" customHeight="1" x14ac:dyDescent="0.3">
      <c r="H7" s="256">
        <v>18</v>
      </c>
      <c r="J7" s="256">
        <v>19</v>
      </c>
      <c r="L7" s="256">
        <v>20</v>
      </c>
      <c r="N7" s="256">
        <v>21</v>
      </c>
      <c r="P7" s="256">
        <v>22</v>
      </c>
      <c r="R7" s="256">
        <v>23</v>
      </c>
      <c r="T7" s="256">
        <v>24</v>
      </c>
      <c r="V7" s="256">
        <v>25</v>
      </c>
      <c r="X7" s="256">
        <v>26</v>
      </c>
      <c r="Z7" s="256">
        <v>27</v>
      </c>
      <c r="AB7" s="256">
        <v>28</v>
      </c>
      <c r="AD7" s="256">
        <v>29</v>
      </c>
      <c r="AF7" s="256">
        <v>30</v>
      </c>
      <c r="AH7" s="256">
        <v>31</v>
      </c>
      <c r="AJ7" s="256">
        <v>32</v>
      </c>
      <c r="AL7" s="256">
        <v>33</v>
      </c>
      <c r="AN7" s="256">
        <v>34</v>
      </c>
      <c r="AP7" s="256">
        <v>35</v>
      </c>
      <c r="AR7" s="256">
        <v>36</v>
      </c>
      <c r="AT7" s="256">
        <v>37</v>
      </c>
    </row>
    <row r="8" spans="1:46" ht="15" customHeight="1" x14ac:dyDescent="0.3">
      <c r="A8" s="256" t="str">
        <f ca="1">'Translation Table'!H477</f>
        <v>Column</v>
      </c>
      <c r="B8" s="1059" t="str">
        <f ca="1">'Translation Table'!H478</f>
        <v>Equipment Component Type</v>
      </c>
      <c r="C8" s="1059" t="str">
        <f ca="1">'Translation Table'!H479</f>
        <v>Service</v>
      </c>
      <c r="D8" s="984" t="str">
        <f ca="1">'Translation Table'!H480</f>
        <v>Emission Factor  (m3 CH4/h/component)</v>
      </c>
      <c r="E8" s="999"/>
      <c r="F8" s="1000"/>
      <c r="G8" s="984" t="str">
        <f ca="1">'Translation Table'!H481</f>
        <v>Emission Calculations</v>
      </c>
      <c r="H8" s="999"/>
      <c r="I8" s="999"/>
      <c r="J8" s="999"/>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9"/>
      <c r="AK8" s="198"/>
      <c r="AL8" s="199"/>
      <c r="AM8" s="198"/>
      <c r="AN8" s="199"/>
      <c r="AO8" s="198"/>
      <c r="AP8" s="199"/>
      <c r="AQ8" s="198"/>
      <c r="AR8" s="199"/>
      <c r="AS8" s="198"/>
      <c r="AT8" s="199"/>
    </row>
    <row r="9" spans="1:46" ht="16.899999999999999" customHeight="1" x14ac:dyDescent="0.3">
      <c r="A9" s="256" t="str">
        <f ca="1">'Translation Table'!H482</f>
        <v>Pointers</v>
      </c>
      <c r="B9" s="1060"/>
      <c r="C9" s="1060"/>
      <c r="D9" s="1059" t="str">
        <f ca="1">'Translation Table'!H493</f>
        <v>Primary</v>
      </c>
      <c r="E9" s="1059" t="str">
        <f ca="1">IF($C$4=GasDistribution,"Commercial &amp; Industrial Meters","N/A")</f>
        <v>N/A</v>
      </c>
      <c r="F9" s="1059" t="str">
        <f ca="1">IF($C$4=GasDistribution,"Residential Meters","N/A")</f>
        <v>N/A</v>
      </c>
      <c r="G9" s="1002" t="str">
        <f ca="1">'Translation Table'!H494</f>
        <v>Category 1</v>
      </c>
      <c r="H9" s="1023"/>
      <c r="I9" s="1002" t="str">
        <f ca="1">'Translation Table'!H495</f>
        <v>Category 2</v>
      </c>
      <c r="J9" s="1023"/>
      <c r="K9" s="1002" t="str">
        <f ca="1">'Translation Table'!H496</f>
        <v>Category 3</v>
      </c>
      <c r="L9" s="1023"/>
      <c r="M9" s="1002" t="str">
        <f ca="1">'Translation Table'!H497</f>
        <v>Category 4</v>
      </c>
      <c r="N9" s="1023"/>
      <c r="O9" s="1002" t="str">
        <f ca="1">'Translation Table'!H498</f>
        <v>Category 5</v>
      </c>
      <c r="P9" s="1023"/>
      <c r="Q9" s="1002" t="str">
        <f ca="1">'Translation Table'!H499</f>
        <v>Category 6</v>
      </c>
      <c r="R9" s="1023"/>
      <c r="S9" s="1002" t="str">
        <f ca="1">'Translation Table'!H500</f>
        <v>Category 7</v>
      </c>
      <c r="T9" s="1023"/>
      <c r="U9" s="1002" t="str">
        <f ca="1">'Translation Table'!H501</f>
        <v>Category 8</v>
      </c>
      <c r="V9" s="1023"/>
      <c r="W9" s="1002" t="str">
        <f ca="1">'Translation Table'!H502</f>
        <v>Category 9</v>
      </c>
      <c r="X9" s="1023"/>
      <c r="Y9" s="1002" t="str">
        <f ca="1">'Translation Table'!H503</f>
        <v>Category 10</v>
      </c>
      <c r="Z9" s="1023"/>
      <c r="AA9" s="1002" t="str">
        <f ca="1">'Translation Table'!H483</f>
        <v>Category 11</v>
      </c>
      <c r="AB9" s="1023"/>
      <c r="AC9" s="1002" t="str">
        <f ca="1">'Translation Table'!H484</f>
        <v>Category 12</v>
      </c>
      <c r="AD9" s="1023"/>
      <c r="AE9" s="1002" t="str">
        <f ca="1">'Translation Table'!H485</f>
        <v>Category 13</v>
      </c>
      <c r="AF9" s="1023"/>
      <c r="AG9" s="1002" t="str">
        <f>'Translation Table'!I486</f>
        <v>Category 14</v>
      </c>
      <c r="AH9" s="1023"/>
      <c r="AI9" s="1033" t="str">
        <f ca="1">'Translation Table'!H487</f>
        <v>Category 15</v>
      </c>
      <c r="AJ9" s="1034"/>
      <c r="AK9" s="1033" t="str">
        <f ca="1">'Translation Table'!H488</f>
        <v>Category 16</v>
      </c>
      <c r="AL9" s="1034"/>
      <c r="AM9" s="1033" t="str">
        <f ca="1">'Translation Table'!H489</f>
        <v>Category 17</v>
      </c>
      <c r="AN9" s="1034"/>
      <c r="AO9" s="1033" t="str">
        <f ca="1">'Translation Table'!H490</f>
        <v>Category 18</v>
      </c>
      <c r="AP9" s="1034"/>
      <c r="AQ9" s="1033" t="str">
        <f ca="1">'Translation Table'!H491</f>
        <v>Category 19</v>
      </c>
      <c r="AR9" s="1034"/>
      <c r="AS9" s="1033" t="str">
        <f ca="1">'Translation Table'!H492</f>
        <v>Category 20</v>
      </c>
      <c r="AT9" s="1034"/>
    </row>
    <row r="10" spans="1:46" x14ac:dyDescent="0.3">
      <c r="B10" s="1060"/>
      <c r="C10" s="1060"/>
      <c r="D10" s="1065"/>
      <c r="E10" s="1060"/>
      <c r="F10" s="1060"/>
      <c r="G10" s="1018">
        <f ca="1">'Setup - Facility Details'!$C51</f>
        <v>0</v>
      </c>
      <c r="H10" s="1019"/>
      <c r="I10" s="1018">
        <f ca="1">'Setup - Facility Details'!$C52</f>
        <v>0</v>
      </c>
      <c r="J10" s="1019"/>
      <c r="K10" s="1018">
        <f ca="1">'Setup - Facility Details'!$C53</f>
        <v>0</v>
      </c>
      <c r="L10" s="1019"/>
      <c r="M10" s="1018">
        <f ca="1">'Setup - Facility Details'!$C54</f>
        <v>0</v>
      </c>
      <c r="N10" s="1019"/>
      <c r="O10" s="1018">
        <f ca="1">'Setup - Facility Details'!$C55</f>
        <v>0</v>
      </c>
      <c r="P10" s="1019"/>
      <c r="Q10" s="1018">
        <f ca="1">'Setup - Facility Details'!$C56</f>
        <v>0</v>
      </c>
      <c r="R10" s="1019"/>
      <c r="S10" s="1018">
        <f ca="1">'Setup - Facility Details'!$C57</f>
        <v>0</v>
      </c>
      <c r="T10" s="1019"/>
      <c r="U10" s="1018">
        <f ca="1">'Setup - Facility Details'!$C58</f>
        <v>0</v>
      </c>
      <c r="V10" s="1019"/>
      <c r="W10" s="1018">
        <f ca="1">'Setup - Facility Details'!$C59</f>
        <v>0</v>
      </c>
      <c r="X10" s="1019"/>
      <c r="Y10" s="1018">
        <f ca="1">'Setup - Facility Details'!$C60</f>
        <v>0</v>
      </c>
      <c r="Z10" s="1019"/>
      <c r="AA10" s="1018">
        <f ca="1">'Setup - Facility Details'!$C61</f>
        <v>0</v>
      </c>
      <c r="AB10" s="1019"/>
      <c r="AC10" s="1018">
        <f ca="1">'Setup - Facility Details'!$C62</f>
        <v>0</v>
      </c>
      <c r="AD10" s="1019"/>
      <c r="AE10" s="1018">
        <f ca="1">'Setup - Facility Details'!$C63</f>
        <v>0</v>
      </c>
      <c r="AF10" s="1019"/>
      <c r="AG10" s="1018">
        <f ca="1">'Setup - Facility Details'!$C64</f>
        <v>0</v>
      </c>
      <c r="AH10" s="1019"/>
      <c r="AI10" s="1035">
        <f ca="1">'Setup - Facility Details'!$C65</f>
        <v>0</v>
      </c>
      <c r="AJ10" s="1034"/>
      <c r="AK10" s="1035">
        <f ca="1">'Setup - Facility Details'!$C66</f>
        <v>0</v>
      </c>
      <c r="AL10" s="1034"/>
      <c r="AM10" s="1035">
        <f ca="1">'Setup - Facility Details'!$C67</f>
        <v>0</v>
      </c>
      <c r="AN10" s="1034"/>
      <c r="AO10" s="1035">
        <f ca="1">'Setup - Facility Details'!$C68</f>
        <v>0</v>
      </c>
      <c r="AP10" s="1034"/>
      <c r="AQ10" s="1035">
        <f ca="1">'Setup - Facility Details'!$C69</f>
        <v>0</v>
      </c>
      <c r="AR10" s="1034"/>
      <c r="AS10" s="1035">
        <f ca="1">'Setup - Facility Details'!$C70</f>
        <v>0</v>
      </c>
      <c r="AT10" s="1034"/>
    </row>
    <row r="11" spans="1:46" x14ac:dyDescent="0.3">
      <c r="A11" s="256">
        <v>1</v>
      </c>
      <c r="B11" s="1060"/>
      <c r="C11" s="1060"/>
      <c r="D11" s="1065"/>
      <c r="E11" s="1060"/>
      <c r="F11" s="1060"/>
      <c r="G11" s="1020"/>
      <c r="H11" s="1021"/>
      <c r="I11" s="1036"/>
      <c r="J11" s="1021"/>
      <c r="K11" s="1036"/>
      <c r="L11" s="1021"/>
      <c r="M11" s="1036"/>
      <c r="N11" s="1021"/>
      <c r="O11" s="1036"/>
      <c r="P11" s="1021"/>
      <c r="Q11" s="1036"/>
      <c r="R11" s="1021"/>
      <c r="S11" s="1036"/>
      <c r="T11" s="1021"/>
      <c r="U11" s="1036"/>
      <c r="V11" s="1021"/>
      <c r="W11" s="1036"/>
      <c r="X11" s="1021"/>
      <c r="Y11" s="1036"/>
      <c r="Z11" s="1021"/>
      <c r="AA11" s="1036"/>
      <c r="AB11" s="1021"/>
      <c r="AC11" s="1036"/>
      <c r="AD11" s="1021"/>
      <c r="AE11" s="1036"/>
      <c r="AF11" s="1021"/>
      <c r="AG11" s="1036"/>
      <c r="AH11" s="1021"/>
      <c r="AI11" s="1035"/>
      <c r="AJ11" s="1034"/>
      <c r="AK11" s="1035"/>
      <c r="AL11" s="1034"/>
      <c r="AM11" s="1035"/>
      <c r="AN11" s="1034"/>
      <c r="AO11" s="1035"/>
      <c r="AP11" s="1034"/>
      <c r="AQ11" s="1035"/>
      <c r="AR11" s="1034"/>
      <c r="AS11" s="1035"/>
      <c r="AT11" s="1034"/>
    </row>
    <row r="12" spans="1:46" ht="15.5" x14ac:dyDescent="0.3">
      <c r="B12" s="1061"/>
      <c r="C12" s="1061"/>
      <c r="D12" s="1061"/>
      <c r="E12" s="1061"/>
      <c r="F12" s="1061"/>
      <c r="G12" s="205" t="str">
        <f ca="1">'Translation Table'!H514</f>
        <v>Component Count</v>
      </c>
      <c r="H12" s="205" t="str">
        <f ca="1">'Translation Table'!H515</f>
        <v>Emissions (m3 CH4/h)</v>
      </c>
      <c r="I12" s="205" t="str">
        <f ca="1">'Translation Table'!H516</f>
        <v>Component Count</v>
      </c>
      <c r="J12" s="205" t="str">
        <f ca="1">'Translation Table'!H517</f>
        <v>Emissions (m3 CH4/h)</v>
      </c>
      <c r="K12" s="205" t="str">
        <f ca="1">'Translation Table'!H518</f>
        <v>Component Count</v>
      </c>
      <c r="L12" s="205" t="str">
        <f ca="1">'Translation Table'!H519</f>
        <v>Emissions (m3 CH4/h)</v>
      </c>
      <c r="M12" s="205" t="str">
        <f ca="1">'Translation Table'!H520</f>
        <v>Component Count</v>
      </c>
      <c r="N12" s="205" t="str">
        <f ca="1">'Translation Table'!H521</f>
        <v>Emissions (m3 CH4/h)</v>
      </c>
      <c r="O12" s="205" t="str">
        <f ca="1">'Translation Table'!H522</f>
        <v>Component Count</v>
      </c>
      <c r="P12" s="205" t="str">
        <f ca="1">'Translation Table'!H523</f>
        <v>Emissions (m3 CH4/h)</v>
      </c>
      <c r="Q12" s="205" t="str">
        <f ca="1">'Translation Table'!H524</f>
        <v>Component Count</v>
      </c>
      <c r="R12" s="205" t="str">
        <f ca="1">'Translation Table'!H525</f>
        <v>Emissions (m3 CH4/h)</v>
      </c>
      <c r="S12" s="205" t="str">
        <f ca="1">'Translation Table'!H526</f>
        <v>Component Count</v>
      </c>
      <c r="T12" s="205" t="str">
        <f ca="1">'Translation Table'!H527</f>
        <v>Emissions (m3 CH4/h)</v>
      </c>
      <c r="U12" s="205" t="str">
        <f ca="1">'Translation Table'!H528</f>
        <v>Component Count</v>
      </c>
      <c r="V12" s="205" t="str">
        <f ca="1">'Translation Table'!H529</f>
        <v>Emissions (m3 CH4/h)</v>
      </c>
      <c r="W12" s="205" t="str">
        <f ca="1">'Translation Table'!H530</f>
        <v>Component Count</v>
      </c>
      <c r="X12" s="205" t="str">
        <f ca="1">'Translation Table'!H531</f>
        <v>Emissions (m3 CH4/h)</v>
      </c>
      <c r="Y12" s="205" t="str">
        <f ca="1">'Translation Table'!H532</f>
        <v>Component Count</v>
      </c>
      <c r="Z12" s="205" t="str">
        <f ca="1">'Translation Table'!H533</f>
        <v>Emissions (m3 CH4/h)</v>
      </c>
      <c r="AA12" s="205" t="str">
        <f ca="1">'Translation Table'!H504</f>
        <v>Component Count</v>
      </c>
      <c r="AB12" s="205" t="str">
        <f ca="1">'Translation Table'!H505</f>
        <v>Emissions (m3 CH4/h)</v>
      </c>
      <c r="AC12" s="205" t="str">
        <f ca="1">'Translation Table'!H506</f>
        <v>Component Count</v>
      </c>
      <c r="AD12" s="205" t="str">
        <f ca="1">'Translation Table'!H507</f>
        <v>Emissions (m3 CH4/h)</v>
      </c>
      <c r="AE12" s="205" t="str">
        <f ca="1">'Translation Table'!H508</f>
        <v>Component Count</v>
      </c>
      <c r="AF12" s="205" t="str">
        <f ca="1">'Translation Table'!H509</f>
        <v>Emissions (m3 CH4/h)</v>
      </c>
      <c r="AG12" s="205" t="str">
        <f ca="1">'Translation Table'!H510</f>
        <v>Component Count</v>
      </c>
      <c r="AH12" s="205" t="str">
        <f ca="1">'Translation Table'!H511</f>
        <v>Emissions (m3 CH4/h)</v>
      </c>
      <c r="AI12" s="205" t="str">
        <f ca="1">'Translation Table'!H512</f>
        <v>Component Count</v>
      </c>
      <c r="AJ12" s="205" t="str">
        <f ca="1">'Translation Table'!H513</f>
        <v>Emissions (m3 CH4/h)</v>
      </c>
      <c r="AK12" s="205" t="str">
        <f ca="1">'Translation Table'!H512</f>
        <v>Component Count</v>
      </c>
      <c r="AL12" s="205" t="str">
        <f ca="1">'Translation Table'!H513</f>
        <v>Emissions (m3 CH4/h)</v>
      </c>
      <c r="AM12" s="205" t="str">
        <f ca="1">'Translation Table'!H512</f>
        <v>Component Count</v>
      </c>
      <c r="AN12" s="205" t="str">
        <f ca="1">'Translation Table'!H513</f>
        <v>Emissions (m3 CH4/h)</v>
      </c>
      <c r="AO12" s="205" t="str">
        <f ca="1">'Translation Table'!H512</f>
        <v>Component Count</v>
      </c>
      <c r="AP12" s="205" t="str">
        <f ca="1">'Translation Table'!H513</f>
        <v>Emissions (m3 CH4/h)</v>
      </c>
      <c r="AQ12" s="205" t="str">
        <f ca="1">'Translation Table'!H512</f>
        <v>Component Count</v>
      </c>
      <c r="AR12" s="205" t="str">
        <f ca="1">'Translation Table'!H513</f>
        <v>Emissions (m3 CH4/h)</v>
      </c>
      <c r="AS12" s="205" t="str">
        <f ca="1">'Translation Table'!H512</f>
        <v>Component Count</v>
      </c>
      <c r="AT12" s="205" t="str">
        <f ca="1">'Translation Table'!H513</f>
        <v>Emissions (m3 CH4/h)</v>
      </c>
    </row>
    <row r="13" spans="1:46" x14ac:dyDescent="0.3">
      <c r="A13" s="256">
        <f>9+$A$11</f>
        <v>10</v>
      </c>
      <c r="B13" s="81" t="str">
        <f ca="1">'Translation Table'!H534</f>
        <v>Valves</v>
      </c>
      <c r="C13" s="81" t="str">
        <f ca="1">'Translation Table'!H535</f>
        <v>Gas</v>
      </c>
      <c r="D13" s="483">
        <f ca="1">IF(OR($C$4=OffshoreOilProduction,$C$4=OffshoreGasProduction,$C$4=OnshoreGasProduction,$C$4=OnshoreOilProduction,$C$4=GasProcessing,$C$4=PetroleumRefining),'EFs - Equipment Leaks'!M8,IF(OR($C$4=GasTransmission,$C$4=GasStorage),'EFs - Equipment Leaks'!M50,IF($C$4=GasDistribution,'EFs - Equipment Leaks'!M92,"Error")))</f>
        <v>4.9700388624533505E-3</v>
      </c>
      <c r="E13" s="483" t="str">
        <f ca="1">IF($C$4=GasDistribution,'EFs - Equipment Leaks'!$M134,"      N/A ")</f>
        <v xml:space="preserve">      N/A </v>
      </c>
      <c r="F13" s="483" t="str">
        <f ca="1">IF($C$4=GasDistribution,'EFs - Equipment Leaks'!$M176,"      N/A ")</f>
        <v xml:space="preserve">      N/A </v>
      </c>
      <c r="G13" s="452">
        <f ca="1">IF($A13&gt;0,IF(G$6=0,0,INDIRECT(ADDRESS(G$6-1+CHOOSE($D$4,'Equipment Schedules'!$D$678,'Equipment Schedules'!$D$679,'Equipment Schedules'!$D$680,'Equipment Schedules'!$D$681,'Equipment Schedules'!$D$682,'Equipment Schedules'!$D$683,'Equipment Schedules'!$D$684,'Equipment Schedules'!$D$685,'Equipment Schedules'!$D$686),'Calculations - Fugitives'!$A13+1,,,"Equipment Schedules"))),0)</f>
        <v>0</v>
      </c>
      <c r="H13" s="484">
        <f ca="1">IF($D13="N/A","N/A",'Setup - Facility Details'!$E$51*('Setup - Facility Details'!$H$51+'Setup - Facility Details'!$I$51)*IF(ISERROR(G13),0,G13)*$D13)</f>
        <v>0</v>
      </c>
      <c r="I13" s="452">
        <f ca="1">IF($A13&gt;0,IF(I$6=0,0,INDIRECT(ADDRESS(I$6-1+CHOOSE($D$4,'Equipment Schedules'!$D$678,'Equipment Schedules'!$D$679,'Equipment Schedules'!$D$680,'Equipment Schedules'!$D$681,'Equipment Schedules'!$D$682,'Equipment Schedules'!$D$683,'Equipment Schedules'!$D$684,'Equipment Schedules'!$D$685,'Equipment Schedules'!$D$686),'Calculations - Fugitives'!$A13+1,,,"Equipment Schedules"))),0)</f>
        <v>0</v>
      </c>
      <c r="J13" s="484">
        <f ca="1">IF($D13="N/A","N/A",'Setup - Facility Details'!$E$52*('Setup - Facility Details'!$H$52+'Setup - Facility Details'!$I$52)*IF(ISERROR(I13),0,I13)*$D13)</f>
        <v>0</v>
      </c>
      <c r="K13" s="452">
        <f ca="1">IF($A13&gt;0,IF(K$6=0,0,INDIRECT(ADDRESS(K$6-1+CHOOSE($D$4,'Equipment Schedules'!$D$678,'Equipment Schedules'!$D$679,'Equipment Schedules'!$D$680,'Equipment Schedules'!$D$681,'Equipment Schedules'!$D$682,'Equipment Schedules'!$D$683,'Equipment Schedules'!$D$684,'Equipment Schedules'!$D$685,'Equipment Schedules'!$D$686),'Calculations - Fugitives'!$A13+1,,,"Equipment Schedules"))),0)</f>
        <v>0</v>
      </c>
      <c r="L13" s="484">
        <f ca="1">IF($D13="N/A","N/A",'Setup - Facility Details'!$E$53*('Setup - Facility Details'!$H$53+'Setup - Facility Details'!$I$53)*IF(ISERROR(K13),0,K13)*$D13)</f>
        <v>0</v>
      </c>
      <c r="M13" s="452">
        <f ca="1">IF($A13&gt;0,IF(M$6=0,0,INDIRECT(ADDRESS(M$6-1+CHOOSE($D$4,'Equipment Schedules'!$D$678,'Equipment Schedules'!$D$679,'Equipment Schedules'!$D$680,'Equipment Schedules'!$D$681,'Equipment Schedules'!$D$682,'Equipment Schedules'!$D$683,'Equipment Schedules'!$D$684,'Equipment Schedules'!$D$685,'Equipment Schedules'!$D$686),'Calculations - Fugitives'!$A13+1,,,"Equipment Schedules"))),0)</f>
        <v>0</v>
      </c>
      <c r="N13" s="484">
        <f ca="1">IF($D13="N/A","N/A",'Setup - Facility Details'!$E$54*('Setup - Facility Details'!$H$54+'Setup - Facility Details'!$I$54)*IF(ISERROR(M13),0,M13)*$D13)</f>
        <v>0</v>
      </c>
      <c r="O13" s="452">
        <f ca="1">IF($A13&gt;0,IF(O$6=0,0,INDIRECT(ADDRESS(O$6-1+CHOOSE($D$4,'Equipment Schedules'!$D$678,'Equipment Schedules'!$D$679,'Equipment Schedules'!$D$680,'Equipment Schedules'!$D$681,'Equipment Schedules'!$D$682,'Equipment Schedules'!$D$683,'Equipment Schedules'!$D$684,'Equipment Schedules'!$D$685,'Equipment Schedules'!$D$686),'Calculations - Fugitives'!$A13+1,,,"Equipment Schedules"))),0)</f>
        <v>0</v>
      </c>
      <c r="P13" s="484">
        <f ca="1">IF($D13="N/A","N/A",'Setup - Facility Details'!$E$55*('Setup - Facility Details'!$H$55+'Setup - Facility Details'!$I$55)*IF(ISERROR(O13),0,O13)*$D13)</f>
        <v>0</v>
      </c>
      <c r="Q13" s="452">
        <f ca="1">IF($A13&gt;0,IF(Q$6=0,0,INDIRECT(ADDRESS(Q$6-1+CHOOSE($D$4,'Equipment Schedules'!$D$678,'Equipment Schedules'!$D$679,'Equipment Schedules'!$D$680,'Equipment Schedules'!$D$681,'Equipment Schedules'!$D$682,'Equipment Schedules'!$D$683,'Equipment Schedules'!$D$684,'Equipment Schedules'!$D$685,'Equipment Schedules'!$D$686),'Calculations - Fugitives'!$A13+1,,,"Equipment Schedules"))),0)</f>
        <v>0</v>
      </c>
      <c r="R13" s="484">
        <f ca="1">IF($D13="N/A","N/A",'Setup - Facility Details'!$E$56*('Setup - Facility Details'!$H$56+'Setup - Facility Details'!$I$56)*IF(ISERROR(Q13),0,Q13)*$D13)</f>
        <v>0</v>
      </c>
      <c r="S13" s="452">
        <f ca="1">IF($A13&gt;0,IF(S$6=0,0,INDIRECT(ADDRESS(S$6-1+CHOOSE($D$4,'Equipment Schedules'!$D$678,'Equipment Schedules'!$D$679,'Equipment Schedules'!$D$680,'Equipment Schedules'!$D$681,'Equipment Schedules'!$D$682,'Equipment Schedules'!$D$683,'Equipment Schedules'!$D$684,'Equipment Schedules'!$D$685,'Equipment Schedules'!$D$686),'Calculations - Fugitives'!$A13+1,,,"Equipment Schedules"))),0)</f>
        <v>0</v>
      </c>
      <c r="T13" s="484">
        <f ca="1">IF($D13="N/A","N/A",'Setup - Facility Details'!$E$57*('Setup - Facility Details'!$H$57+'Setup - Facility Details'!$I$57)*IF(ISERROR(S13),0,S13)*$D13)</f>
        <v>0</v>
      </c>
      <c r="U13" s="452">
        <f ca="1">IF($A13&gt;0,IF(U$6=0,0,INDIRECT(ADDRESS(U$6-1+CHOOSE($D$4,'Equipment Schedules'!$D$678,'Equipment Schedules'!$D$679,'Equipment Schedules'!$D$680,'Equipment Schedules'!$D$681,'Equipment Schedules'!$D$682,'Equipment Schedules'!$D$683,'Equipment Schedules'!$D$684,'Equipment Schedules'!$D$685,'Equipment Schedules'!$D$686),'Calculations - Fugitives'!$A13+1,,,"Equipment Schedules"))),0)</f>
        <v>0</v>
      </c>
      <c r="V13" s="484">
        <f ca="1">IF($D13="N/A","N/A",'Setup - Facility Details'!$E$58*('Setup - Facility Details'!$H$58+'Setup - Facility Details'!$I$58)*IF(ISERROR(U13),0,U13)*$D13)</f>
        <v>0</v>
      </c>
      <c r="W13" s="452">
        <f ca="1">IF($A13&gt;0,IF(W$6=0,0,INDIRECT(ADDRESS(W$6-1+CHOOSE($D$4,'Equipment Schedules'!$D$678,'Equipment Schedules'!$D$679,'Equipment Schedules'!$D$680,'Equipment Schedules'!$D$681,'Equipment Schedules'!$D$682,'Equipment Schedules'!$D$683,'Equipment Schedules'!$D$684,'Equipment Schedules'!$D$685,'Equipment Schedules'!$D$686),'Calculations - Fugitives'!$A13+1,,,"Equipment Schedules"))),0)</f>
        <v>0</v>
      </c>
      <c r="X13" s="484">
        <f ca="1">IF($D13="N/A","N/A",'Setup - Facility Details'!$E$59*('Setup - Facility Details'!$H$59+'Setup - Facility Details'!$I$59)*IF(ISERROR(W13),0,W13)*$D13)</f>
        <v>0</v>
      </c>
      <c r="Y13" s="452">
        <f ca="1">IF($A13&gt;0,IF(Y$6=0,0,INDIRECT(ADDRESS(Y$6-1+CHOOSE($D$4,'Equipment Schedules'!$D$678,'Equipment Schedules'!$D$679,'Equipment Schedules'!$D$680,'Equipment Schedules'!$D$681,'Equipment Schedules'!$D$682,'Equipment Schedules'!$D$683,'Equipment Schedules'!$D$684,'Equipment Schedules'!$D$685,'Equipment Schedules'!$D$686),'Calculations - Fugitives'!$A13+1,,,"Equipment Schedules"))),0)</f>
        <v>0</v>
      </c>
      <c r="Z13" s="484">
        <f ca="1">IF($D13="N/A","N/A",'Setup - Facility Details'!$E$60*('Setup - Facility Details'!$H$60+'Setup - Facility Details'!$I$60)*IF(ISERROR(Y13),0,Y13)*$D13)</f>
        <v>0</v>
      </c>
      <c r="AA13" s="452">
        <f ca="1">IF($A13&gt;0,IF(AA$6=0,0,INDIRECT(ADDRESS(AA$6-1+CHOOSE($D$4,'Equipment Schedules'!$D$678,'Equipment Schedules'!$D$679,'Equipment Schedules'!$D$680,'Equipment Schedules'!$D$681,'Equipment Schedules'!$D$682,'Equipment Schedules'!$D$683,'Equipment Schedules'!$D$684,'Equipment Schedules'!$D$685,'Equipment Schedules'!$D$686),'Calculations - Fugitives'!$A13+1,,,"Equipment Schedules"))),0)</f>
        <v>0</v>
      </c>
      <c r="AB13" s="484">
        <f ca="1">IF($D13="N/A","N/A",'Setup - Facility Details'!$E$61*('Setup - Facility Details'!$H$61+'Setup - Facility Details'!$I$61)*IF(ISERROR(AA13),0,AA13)*$D13)</f>
        <v>0</v>
      </c>
      <c r="AC13" s="452">
        <f ca="1">IF($A13&gt;0,IF(AC$6=0,0,INDIRECT(ADDRESS(AC$6-1+CHOOSE($D$4,'Equipment Schedules'!$D$678,'Equipment Schedules'!$D$679,'Equipment Schedules'!$D$680,'Equipment Schedules'!$D$681,'Equipment Schedules'!$D$682,'Equipment Schedules'!$D$683,'Equipment Schedules'!$D$684,'Equipment Schedules'!$D$685,'Equipment Schedules'!$D$686),'Calculations - Fugitives'!$A13+1,,,"Equipment Schedules"))),0)</f>
        <v>0</v>
      </c>
      <c r="AD13" s="484">
        <f ca="1">IF($D13="N/A","N/A",'Setup - Facility Details'!$E$62*('Setup - Facility Details'!$H$62+'Setup - Facility Details'!$I$62)*IF(ISERROR(AC13),0,AC13)*$D13)</f>
        <v>0</v>
      </c>
      <c r="AE13" s="452">
        <f ca="1">IF($A13&gt;0,IF(AE$6=0,0,INDIRECT(ADDRESS(AE$6-1+CHOOSE($D$4,'Equipment Schedules'!$D$678,'Equipment Schedules'!$D$679,'Equipment Schedules'!$D$680,'Equipment Schedules'!$D$681,'Equipment Schedules'!$D$682,'Equipment Schedules'!$D$683,'Equipment Schedules'!$D$684,'Equipment Schedules'!$D$685,'Equipment Schedules'!$D$686),'Calculations - Fugitives'!$A13+1,,,"Equipment Schedules"))),0)</f>
        <v>0</v>
      </c>
      <c r="AF13" s="484">
        <f ca="1">IF($D13="N/A","N/A",'Setup - Facility Details'!$E$63*('Setup - Facility Details'!$H$63+'Setup - Facility Details'!$I$63)*IF(ISERROR(AE13),0,AE13)*$D13)</f>
        <v>0</v>
      </c>
      <c r="AG13" s="452">
        <f ca="1">IF($A13&gt;0,IF(AG$6=0,0,INDIRECT(ADDRESS(AG$6-1+CHOOSE($D$4,'Equipment Schedules'!$D$678,'Equipment Schedules'!$D$679,'Equipment Schedules'!$D$680,'Equipment Schedules'!$D$681,'Equipment Schedules'!$D$682,'Equipment Schedules'!$D$683,'Equipment Schedules'!$D$684,'Equipment Schedules'!$D$685,'Equipment Schedules'!$D$686),'Calculations - Fugitives'!$A13+1,,,"Equipment Schedules"))),0)</f>
        <v>0</v>
      </c>
      <c r="AH13" s="484">
        <f ca="1">IF($D13="N/A","N/A",'Setup - Facility Details'!$E$64*('Setup - Facility Details'!$H$64+'Setup - Facility Details'!$I$64)*IF(ISERROR(AG13),0,AG13)*$D13)</f>
        <v>0</v>
      </c>
      <c r="AI13" s="452">
        <f ca="1">IF($A13&gt;0,IF(AI$6=0,0,INDIRECT(ADDRESS(AI$6-1+CHOOSE($D$4,'Equipment Schedules'!$D$678,'Equipment Schedules'!$D$679,'Equipment Schedules'!$D$680,'Equipment Schedules'!$D$681,'Equipment Schedules'!$D$682,'Equipment Schedules'!$D$683,'Equipment Schedules'!$D$684,'Equipment Schedules'!$D$685,'Equipment Schedules'!$D$686),'Calculations - Fugitives'!$A13+1,,,"Equipment Schedules"))),0)</f>
        <v>0</v>
      </c>
      <c r="AJ13" s="484">
        <f ca="1">IF($D13="N/A","N/A",'Setup - Facility Details'!$E$65*('Setup - Facility Details'!$H$65+'Setup - Facility Details'!$I$65)*IF(ISERROR(AI13),0,AI13)*$D13)</f>
        <v>0</v>
      </c>
      <c r="AK13" s="452">
        <f ca="1">IF($A13&gt;0,IF(AK$6=0,0,INDIRECT(ADDRESS(AK$6-1+CHOOSE($D$4,'Equipment Schedules'!$D$678,'Equipment Schedules'!$D$679,'Equipment Schedules'!$D$680,'Equipment Schedules'!$D$681,'Equipment Schedules'!$D$682,'Equipment Schedules'!$D$683,'Equipment Schedules'!$D$684,'Equipment Schedules'!$D$685,'Equipment Schedules'!$D$686),'Calculations - Fugitives'!$A13+1,,,"Equipment Schedules"))),0)</f>
        <v>0</v>
      </c>
      <c r="AL13" s="484">
        <f ca="1">IF($D13="N/A","N/A",'Setup - Facility Details'!$E$66*('Setup - Facility Details'!$H$66+'Setup - Facility Details'!$I$66)*IF(ISERROR(AK13),0,AK13)*$D13)</f>
        <v>0</v>
      </c>
      <c r="AM13" s="452">
        <f ca="1">IF($A13&gt;0,IF(AM$6=0,0,INDIRECT(ADDRESS(AM$6-1+CHOOSE($D$4,'Equipment Schedules'!$D$678,'Equipment Schedules'!$D$679,'Equipment Schedules'!$D$680,'Equipment Schedules'!$D$681,'Equipment Schedules'!$D$682,'Equipment Schedules'!$D$683,'Equipment Schedules'!$D$684,'Equipment Schedules'!$D$685,'Equipment Schedules'!$D$686),'Calculations - Fugitives'!$A13+1,,,"Equipment Schedules"))),0)</f>
        <v>0</v>
      </c>
      <c r="AN13" s="484">
        <f ca="1">IF($D13="N/A","N/A",'Setup - Facility Details'!$E$67*('Setup - Facility Details'!$H$67+'Setup - Facility Details'!$I$67)*IF(ISERROR(AM13),0,AM13)*$D13)</f>
        <v>0</v>
      </c>
      <c r="AO13" s="452">
        <f ca="1">IF($A13&gt;0,IF(AO$6=0,0,INDIRECT(ADDRESS(AO$6-1+CHOOSE($D$4,'Equipment Schedules'!$D$678,'Equipment Schedules'!$D$679,'Equipment Schedules'!$D$680,'Equipment Schedules'!$D$681,'Equipment Schedules'!$D$682,'Equipment Schedules'!$D$683,'Equipment Schedules'!$D$684,'Equipment Schedules'!$D$685,'Equipment Schedules'!$D$686),'Calculations - Fugitives'!$A13+1,,,"Equipment Schedules"))),0)</f>
        <v>0</v>
      </c>
      <c r="AP13" s="484">
        <f ca="1">IF($D13="N/A","N/A",'Setup - Facility Details'!$E$68*('Setup - Facility Details'!$H$68+'Setup - Facility Details'!$I$68)*IF(ISERROR(AO13),0,AO13)*$D13)</f>
        <v>0</v>
      </c>
      <c r="AQ13" s="452">
        <f ca="1">IF($A13&gt;0,IF(AQ$6=0,0,INDIRECT(ADDRESS(AQ$6-1+CHOOSE($D$4,'Equipment Schedules'!$D$678,'Equipment Schedules'!$D$679,'Equipment Schedules'!$D$680,'Equipment Schedules'!$D$681,'Equipment Schedules'!$D$682,'Equipment Schedules'!$D$683,'Equipment Schedules'!$D$684,'Equipment Schedules'!$D$685,'Equipment Schedules'!$D$686),'Calculations - Fugitives'!$A13+1,,,"Equipment Schedules"))),0)</f>
        <v>0</v>
      </c>
      <c r="AR13" s="484">
        <f ca="1">IF($D13="N/A","N/A",'Setup - Facility Details'!$E$69*('Setup - Facility Details'!$H$69+'Setup - Facility Details'!$I$69)*IF(ISERROR(AQ13),0,AQ13)*$D13)</f>
        <v>0</v>
      </c>
      <c r="AS13" s="452">
        <f ca="1">IF($A13&gt;0,IF(AS$6=0,0,INDIRECT(ADDRESS(AS$6-1+CHOOSE($D$4,'Equipment Schedules'!$D$678,'Equipment Schedules'!$D$679,'Equipment Schedules'!$D$680,'Equipment Schedules'!$D$681,'Equipment Schedules'!$D$682,'Equipment Schedules'!$D$683,'Equipment Schedules'!$D$684,'Equipment Schedules'!$D$685,'Equipment Schedules'!$D$686),'Calculations - Fugitives'!$A13+1,,,"Equipment Schedules"))),0)</f>
        <v>0</v>
      </c>
      <c r="AT13" s="484">
        <f ca="1">IF($D13="N/A","N/A",'Setup - Facility Details'!$E$70*('Setup - Facility Details'!$H$70+'Setup - Facility Details'!$I$70)*IF(ISERROR(AS13),0,AS13)*$D13)</f>
        <v>0</v>
      </c>
    </row>
    <row r="14" spans="1:46" x14ac:dyDescent="0.3">
      <c r="A14" s="256">
        <f ca="1">IF($C$6=1,26,21)+$A$11</f>
        <v>22</v>
      </c>
      <c r="B14" s="48" t="str">
        <f ca="1">'Translation Table'!H536</f>
        <v>Valves</v>
      </c>
      <c r="C14" s="48" t="str">
        <f ca="1">'Translation Table'!H537</f>
        <v>Light Liquid</v>
      </c>
      <c r="D14" s="485">
        <f ca="1">IF(OR($C$4=OffshoreOilProduction,$C$4=OffshoreGasProduction,$C$4=OnshoreGasProduction,$C$4=OnshoreOilProduction,$C$4=GasProcessing,$C$4=PetroleumRefining),'EFs - Equipment Leaks'!M9,IF(OR($C$4=GasTransmission,$C$4=GasStorage),'EFs - Equipment Leaks'!M51,IF($C$4=GasDistribution,'EFs - Equipment Leaks'!M93,"Error")))</f>
        <v>1.6180890525589956E-3</v>
      </c>
      <c r="E14" s="485" t="str">
        <f ca="1">IF($C$4=GasDistribution,'EFs - Equipment Leaks'!$M135,"      N/A ")</f>
        <v xml:space="preserve">      N/A </v>
      </c>
      <c r="F14" s="485" t="str">
        <f ca="1">IF($C$4=GasDistribution,'EFs - Equipment Leaks'!$M177,"      N/A ")</f>
        <v xml:space="preserve">      N/A </v>
      </c>
      <c r="G14" s="193">
        <f ca="1">IF($A14&gt;0,IF(G$6=0,0,INDIRECT(ADDRESS(G$6-1+CHOOSE($D$4,'Equipment Schedules'!$D$678,'Equipment Schedules'!$D$679,'Equipment Schedules'!$D$680,'Equipment Schedules'!$D$681,'Equipment Schedules'!$D$682,'Equipment Schedules'!$D$683,'Equipment Schedules'!$D$684,'Equipment Schedules'!$D$685,'Equipment Schedules'!$D$686),'Calculations - Fugitives'!$A14+1,,,"Equipment Schedules"))),0)</f>
        <v>0</v>
      </c>
      <c r="H14" s="486">
        <f ca="1">IF($D14="N/A","N/A",'Setup - Facility Details'!$E$51*('Setup - Facility Details'!$H$51+'Setup - Facility Details'!$I$51)*IF(ISERROR(G14),0,G14)*$D14)</f>
        <v>0</v>
      </c>
      <c r="I14" s="193">
        <f ca="1">IF($A14&gt;0,IF(I$6=0,0,INDIRECT(ADDRESS(I$6-1+CHOOSE($D$4,'Equipment Schedules'!$D$678,'Equipment Schedules'!$D$679,'Equipment Schedules'!$D$680,'Equipment Schedules'!$D$681,'Equipment Schedules'!$D$682,'Equipment Schedules'!$D$683,'Equipment Schedules'!$D$684,'Equipment Schedules'!$D$685,'Equipment Schedules'!$D$686),'Calculations - Fugitives'!$A14+1,,,"Equipment Schedules"))),0)</f>
        <v>0</v>
      </c>
      <c r="J14" s="486">
        <f ca="1">IF($D14="N/A","N/A",'Setup - Facility Details'!$E$52*('Setup - Facility Details'!$H$52+'Setup - Facility Details'!$I$52)*IF(ISERROR(I14),0,I14)*$D14)</f>
        <v>0</v>
      </c>
      <c r="K14" s="193">
        <f ca="1">IF($A14&gt;0,IF(K$6=0,0,INDIRECT(ADDRESS(K$6-1+CHOOSE($D$4,'Equipment Schedules'!$D$678,'Equipment Schedules'!$D$679,'Equipment Schedules'!$D$680,'Equipment Schedules'!$D$681,'Equipment Schedules'!$D$682,'Equipment Schedules'!$D$683,'Equipment Schedules'!$D$684,'Equipment Schedules'!$D$685,'Equipment Schedules'!$D$686),'Calculations - Fugitives'!$A14+1,,,"Equipment Schedules"))),0)</f>
        <v>0</v>
      </c>
      <c r="L14" s="486">
        <f ca="1">IF($D14="N/A","N/A",'Setup - Facility Details'!$E$53*('Setup - Facility Details'!$H$53+'Setup - Facility Details'!$I$53)*IF(ISERROR(K14),0,K14)*$D14)</f>
        <v>0</v>
      </c>
      <c r="M14" s="193">
        <f ca="1">IF($A14&gt;0,IF(M$6=0,0,INDIRECT(ADDRESS(M$6-1+CHOOSE($D$4,'Equipment Schedules'!$D$678,'Equipment Schedules'!$D$679,'Equipment Schedules'!$D$680,'Equipment Schedules'!$D$681,'Equipment Schedules'!$D$682,'Equipment Schedules'!$D$683,'Equipment Schedules'!$D$684,'Equipment Schedules'!$D$685,'Equipment Schedules'!$D$686),'Calculations - Fugitives'!$A14+1,,,"Equipment Schedules"))),0)</f>
        <v>0</v>
      </c>
      <c r="N14" s="486">
        <f ca="1">IF($D14="N/A","N/A",'Setup - Facility Details'!$E$54*('Setup - Facility Details'!$H$54+'Setup - Facility Details'!$I$54)*IF(ISERROR(M14),0,M14)*$D14)</f>
        <v>0</v>
      </c>
      <c r="O14" s="193">
        <f ca="1">IF($A14&gt;0,IF(O$6=0,0,INDIRECT(ADDRESS(O$6-1+CHOOSE($D$4,'Equipment Schedules'!$D$678,'Equipment Schedules'!$D$679,'Equipment Schedules'!$D$680,'Equipment Schedules'!$D$681,'Equipment Schedules'!$D$682,'Equipment Schedules'!$D$683,'Equipment Schedules'!$D$684,'Equipment Schedules'!$D$685,'Equipment Schedules'!$D$686),'Calculations - Fugitives'!$A14+1,,,"Equipment Schedules"))),0)</f>
        <v>0</v>
      </c>
      <c r="P14" s="486">
        <f ca="1">IF($D14="N/A","N/A",'Setup - Facility Details'!$E$55*('Setup - Facility Details'!$H$55+'Setup - Facility Details'!$I$55)*IF(ISERROR(O14),0,O14)*$D14)</f>
        <v>0</v>
      </c>
      <c r="Q14" s="193">
        <f ca="1">IF($A14&gt;0,IF(Q$6=0,0,INDIRECT(ADDRESS(Q$6-1+CHOOSE($D$4,'Equipment Schedules'!$D$678,'Equipment Schedules'!$D$679,'Equipment Schedules'!$D$680,'Equipment Schedules'!$D$681,'Equipment Schedules'!$D$682,'Equipment Schedules'!$D$683,'Equipment Schedules'!$D$684,'Equipment Schedules'!$D$685,'Equipment Schedules'!$D$686),'Calculations - Fugitives'!$A14+1,,,"Equipment Schedules"))),0)</f>
        <v>0</v>
      </c>
      <c r="R14" s="486">
        <f ca="1">IF($D14="N/A","N/A",'Setup - Facility Details'!$E$56*('Setup - Facility Details'!$H$56+'Setup - Facility Details'!$I$56)*IF(ISERROR(Q14),0,Q14)*$D14)</f>
        <v>0</v>
      </c>
      <c r="S14" s="193">
        <f ca="1">IF($A14&gt;0,IF(S$6=0,0,INDIRECT(ADDRESS(S$6-1+CHOOSE($D$4,'Equipment Schedules'!$D$678,'Equipment Schedules'!$D$679,'Equipment Schedules'!$D$680,'Equipment Schedules'!$D$681,'Equipment Schedules'!$D$682,'Equipment Schedules'!$D$683,'Equipment Schedules'!$D$684,'Equipment Schedules'!$D$685,'Equipment Schedules'!$D$686),'Calculations - Fugitives'!$A14+1,,,"Equipment Schedules"))),0)</f>
        <v>0</v>
      </c>
      <c r="T14" s="486">
        <f ca="1">IF($D14="N/A","N/A",'Setup - Facility Details'!$E$57*('Setup - Facility Details'!$H$57+'Setup - Facility Details'!$I$57)*IF(ISERROR(S14),0,S14)*$D14)</f>
        <v>0</v>
      </c>
      <c r="U14" s="193">
        <f ca="1">IF($A14&gt;0,IF(U$6=0,0,INDIRECT(ADDRESS(U$6-1+CHOOSE($D$4,'Equipment Schedules'!$D$678,'Equipment Schedules'!$D$679,'Equipment Schedules'!$D$680,'Equipment Schedules'!$D$681,'Equipment Schedules'!$D$682,'Equipment Schedules'!$D$683,'Equipment Schedules'!$D$684,'Equipment Schedules'!$D$685,'Equipment Schedules'!$D$686),'Calculations - Fugitives'!$A14+1,,,"Equipment Schedules"))),0)</f>
        <v>0</v>
      </c>
      <c r="V14" s="486">
        <f ca="1">IF($D14="N/A","N/A",'Setup - Facility Details'!$E$58*('Setup - Facility Details'!$H$58+'Setup - Facility Details'!$I$58)*IF(ISERROR(U14),0,U14)*$D14)</f>
        <v>0</v>
      </c>
      <c r="W14" s="193">
        <f ca="1">IF($A14&gt;0,IF(W$6=0,0,INDIRECT(ADDRESS(W$6-1+CHOOSE($D$4,'Equipment Schedules'!$D$678,'Equipment Schedules'!$D$679,'Equipment Schedules'!$D$680,'Equipment Schedules'!$D$681,'Equipment Schedules'!$D$682,'Equipment Schedules'!$D$683,'Equipment Schedules'!$D$684,'Equipment Schedules'!$D$685,'Equipment Schedules'!$D$686),'Calculations - Fugitives'!$A14+1,,,"Equipment Schedules"))),0)</f>
        <v>0</v>
      </c>
      <c r="X14" s="486">
        <f ca="1">IF($D14="N/A","N/A",'Setup - Facility Details'!$E$59*('Setup - Facility Details'!$H$59+'Setup - Facility Details'!$I$59)*IF(ISERROR(W14),0,W14)*$D14)</f>
        <v>0</v>
      </c>
      <c r="Y14" s="193">
        <f ca="1">IF($A14&gt;0,IF(Y$6=0,0,INDIRECT(ADDRESS(Y$6-1+CHOOSE($D$4,'Equipment Schedules'!$D$678,'Equipment Schedules'!$D$679,'Equipment Schedules'!$D$680,'Equipment Schedules'!$D$681,'Equipment Schedules'!$D$682,'Equipment Schedules'!$D$683,'Equipment Schedules'!$D$684,'Equipment Schedules'!$D$685,'Equipment Schedules'!$D$686),'Calculations - Fugitives'!$A14+1,,,"Equipment Schedules"))),0)</f>
        <v>0</v>
      </c>
      <c r="Z14" s="486">
        <f ca="1">IF($D14="N/A","N/A",'Setup - Facility Details'!$E$60*('Setup - Facility Details'!$H$60+'Setup - Facility Details'!$I$60)*IF(ISERROR(Y14),0,Y14)*$D14)</f>
        <v>0</v>
      </c>
      <c r="AA14" s="193">
        <f ca="1">IF($A14&gt;0,IF(AA$6=0,0,INDIRECT(ADDRESS(AA$6-1+CHOOSE($D$4,'Equipment Schedules'!$D$678,'Equipment Schedules'!$D$679,'Equipment Schedules'!$D$680,'Equipment Schedules'!$D$681,'Equipment Schedules'!$D$682,'Equipment Schedules'!$D$683,'Equipment Schedules'!$D$684,'Equipment Schedules'!$D$685,'Equipment Schedules'!$D$686),'Calculations - Fugitives'!$A14+1,,,"Equipment Schedules"))),0)</f>
        <v>0</v>
      </c>
      <c r="AB14" s="486">
        <f ca="1">IF($D14="N/A","N/A",'Setup - Facility Details'!$E$61*('Setup - Facility Details'!$H$61+'Setup - Facility Details'!$I$61)*IF(ISERROR(AA14),0,AA14)*$D14)</f>
        <v>0</v>
      </c>
      <c r="AC14" s="193">
        <f ca="1">IF($A14&gt;0,IF(AC$6=0,0,INDIRECT(ADDRESS(AC$6-1+CHOOSE($D$4,'Equipment Schedules'!$D$678,'Equipment Schedules'!$D$679,'Equipment Schedules'!$D$680,'Equipment Schedules'!$D$681,'Equipment Schedules'!$D$682,'Equipment Schedules'!$D$683,'Equipment Schedules'!$D$684,'Equipment Schedules'!$D$685,'Equipment Schedules'!$D$686),'Calculations - Fugitives'!$A14+1,,,"Equipment Schedules"))),0)</f>
        <v>0</v>
      </c>
      <c r="AD14" s="486">
        <f ca="1">IF($D14="N/A","N/A",'Setup - Facility Details'!$E$62*('Setup - Facility Details'!$H$62+'Setup - Facility Details'!$I$62)*IF(ISERROR(AC14),0,AC14)*$D14)</f>
        <v>0</v>
      </c>
      <c r="AE14" s="193">
        <f ca="1">IF($A14&gt;0,IF(AE$6=0,0,INDIRECT(ADDRESS(AE$6-1+CHOOSE($D$4,'Equipment Schedules'!$D$678,'Equipment Schedules'!$D$679,'Equipment Schedules'!$D$680,'Equipment Schedules'!$D$681,'Equipment Schedules'!$D$682,'Equipment Schedules'!$D$683,'Equipment Schedules'!$D$684,'Equipment Schedules'!$D$685,'Equipment Schedules'!$D$686),'Calculations - Fugitives'!$A14+1,,,"Equipment Schedules"))),0)</f>
        <v>0</v>
      </c>
      <c r="AF14" s="486">
        <f ca="1">IF($D14="N/A","N/A",'Setup - Facility Details'!$E$63*('Setup - Facility Details'!$H$63+'Setup - Facility Details'!$I$63)*IF(ISERROR(AE14),0,AE14)*$D14)</f>
        <v>0</v>
      </c>
      <c r="AG14" s="193">
        <f ca="1">IF($A14&gt;0,IF(AG$6=0,0,INDIRECT(ADDRESS(AG$6-1+CHOOSE($D$4,'Equipment Schedules'!$D$678,'Equipment Schedules'!$D$679,'Equipment Schedules'!$D$680,'Equipment Schedules'!$D$681,'Equipment Schedules'!$D$682,'Equipment Schedules'!$D$683,'Equipment Schedules'!$D$684,'Equipment Schedules'!$D$685,'Equipment Schedules'!$D$686),'Calculations - Fugitives'!$A14+1,,,"Equipment Schedules"))),0)</f>
        <v>0</v>
      </c>
      <c r="AH14" s="486">
        <f ca="1">IF($D14="N/A","N/A",'Setup - Facility Details'!$E$64*('Setup - Facility Details'!$H$64+'Setup - Facility Details'!$I$64)*IF(ISERROR(AG14),0,AG14)*$D14)</f>
        <v>0</v>
      </c>
      <c r="AI14" s="193">
        <f ca="1">IF($A14&gt;0,IF(AI$6=0,0,INDIRECT(ADDRESS(AI$6-1+CHOOSE($D$4,'Equipment Schedules'!$D$678,'Equipment Schedules'!$D$679,'Equipment Schedules'!$D$680,'Equipment Schedules'!$D$681,'Equipment Schedules'!$D$682,'Equipment Schedules'!$D$683,'Equipment Schedules'!$D$684,'Equipment Schedules'!$D$685,'Equipment Schedules'!$D$686),'Calculations - Fugitives'!$A14+1,,,"Equipment Schedules"))),0)</f>
        <v>0</v>
      </c>
      <c r="AJ14" s="486">
        <f ca="1">IF($D14="N/A","N/A",'Setup - Facility Details'!$E$65*('Setup - Facility Details'!$H$65+'Setup - Facility Details'!$I$65)*IF(ISERROR(AI14),0,AI14)*$D14)</f>
        <v>0</v>
      </c>
      <c r="AK14" s="193">
        <f ca="1">IF($A14&gt;0,IF(AK$6=0,0,INDIRECT(ADDRESS(AK$6-1+CHOOSE($D$4,'Equipment Schedules'!$D$678,'Equipment Schedules'!$D$679,'Equipment Schedules'!$D$680,'Equipment Schedules'!$D$681,'Equipment Schedules'!$D$682,'Equipment Schedules'!$D$683,'Equipment Schedules'!$D$684,'Equipment Schedules'!$D$685,'Equipment Schedules'!$D$686),'Calculations - Fugitives'!$A14+1,,,"Equipment Schedules"))),0)</f>
        <v>0</v>
      </c>
      <c r="AL14" s="486">
        <f ca="1">IF($D14="N/A","N/A",'Setup - Facility Details'!$E$66*('Setup - Facility Details'!$H$66+'Setup - Facility Details'!$I$66)*IF(ISERROR(AK14),0,AK14)*$D14)</f>
        <v>0</v>
      </c>
      <c r="AM14" s="193">
        <f ca="1">IF($A14&gt;0,IF(AM$6=0,0,INDIRECT(ADDRESS(AM$6-1+CHOOSE($D$4,'Equipment Schedules'!$D$678,'Equipment Schedules'!$D$679,'Equipment Schedules'!$D$680,'Equipment Schedules'!$D$681,'Equipment Schedules'!$D$682,'Equipment Schedules'!$D$683,'Equipment Schedules'!$D$684,'Equipment Schedules'!$D$685,'Equipment Schedules'!$D$686),'Calculations - Fugitives'!$A14+1,,,"Equipment Schedules"))),0)</f>
        <v>0</v>
      </c>
      <c r="AN14" s="486">
        <f ca="1">IF($D14="N/A","N/A",'Setup - Facility Details'!$E$67*('Setup - Facility Details'!$H$67+'Setup - Facility Details'!$I$67)*IF(ISERROR(AM14),0,AM14)*$D14)</f>
        <v>0</v>
      </c>
      <c r="AO14" s="193">
        <f ca="1">IF($A14&gt;0,IF(AO$6=0,0,INDIRECT(ADDRESS(AO$6-1+CHOOSE($D$4,'Equipment Schedules'!$D$678,'Equipment Schedules'!$D$679,'Equipment Schedules'!$D$680,'Equipment Schedules'!$D$681,'Equipment Schedules'!$D$682,'Equipment Schedules'!$D$683,'Equipment Schedules'!$D$684,'Equipment Schedules'!$D$685,'Equipment Schedules'!$D$686),'Calculations - Fugitives'!$A14+1,,,"Equipment Schedules"))),0)</f>
        <v>0</v>
      </c>
      <c r="AP14" s="486">
        <f ca="1">IF($D14="N/A","N/A",'Setup - Facility Details'!$E$68*('Setup - Facility Details'!$H$68+'Setup - Facility Details'!$I$68)*IF(ISERROR(AO14),0,AO14)*$D14)</f>
        <v>0</v>
      </c>
      <c r="AQ14" s="193">
        <f ca="1">IF($A14&gt;0,IF(AQ$6=0,0,INDIRECT(ADDRESS(AQ$6-1+CHOOSE($D$4,'Equipment Schedules'!$D$678,'Equipment Schedules'!$D$679,'Equipment Schedules'!$D$680,'Equipment Schedules'!$D$681,'Equipment Schedules'!$D$682,'Equipment Schedules'!$D$683,'Equipment Schedules'!$D$684,'Equipment Schedules'!$D$685,'Equipment Schedules'!$D$686),'Calculations - Fugitives'!$A14+1,,,"Equipment Schedules"))),0)</f>
        <v>0</v>
      </c>
      <c r="AR14" s="486">
        <f ca="1">IF($D14="N/A","N/A",'Setup - Facility Details'!$E$69*('Setup - Facility Details'!$H$69+'Setup - Facility Details'!$I$69)*IF(ISERROR(AQ14),0,AQ14)*$D14)</f>
        <v>0</v>
      </c>
      <c r="AS14" s="193">
        <f ca="1">IF($A14&gt;0,IF(AS$6=0,0,INDIRECT(ADDRESS(AS$6-1+CHOOSE($D$4,'Equipment Schedules'!$D$678,'Equipment Schedules'!$D$679,'Equipment Schedules'!$D$680,'Equipment Schedules'!$D$681,'Equipment Schedules'!$D$682,'Equipment Schedules'!$D$683,'Equipment Schedules'!$D$684,'Equipment Schedules'!$D$685,'Equipment Schedules'!$D$686),'Calculations - Fugitives'!$A14+1,,,"Equipment Schedules"))),0)</f>
        <v>0</v>
      </c>
      <c r="AT14" s="486">
        <f ca="1">IF($D14="N/A","N/A",'Setup - Facility Details'!$E$70*('Setup - Facility Details'!$H$70+'Setup - Facility Details'!$I$70)*IF(ISERROR(AS14),0,AS14)*$D14)</f>
        <v>0</v>
      </c>
    </row>
    <row r="15" spans="1:46" x14ac:dyDescent="0.3">
      <c r="A15" s="256">
        <f ca="1">IF($C$6=0,26,21)+$A$11</f>
        <v>27</v>
      </c>
      <c r="B15" s="81" t="str">
        <f ca="1">'Translation Table'!H538</f>
        <v>Valves</v>
      </c>
      <c r="C15" s="81" t="str">
        <f ca="1">'Translation Table'!H539</f>
        <v>Heavy Liquid</v>
      </c>
      <c r="D15" s="483">
        <f ca="1">IF(OR($C$4=OffshoreOilProduction,$C$4=OffshoreGasProduction,$C$4=OnshoreGasProduction,$C$4=OnshoreOilProduction,$C$4=GasProcessing,$C$4=PetroleumRefining),'EFs - Equipment Leaks'!M10,IF(OR($C$4=GasTransmission,$C$4=GasStorage),'EFs - Equipment Leaks'!M52,IF($C$4=GasDistribution,'EFs - Equipment Leaks'!M94,"Error")))</f>
        <v>5.4367792165982231E-6</v>
      </c>
      <c r="E15" s="483" t="str">
        <f ca="1">IF($C$4=GasDistribution,'EFs - Equipment Leaks'!$M136,"      N/A ")</f>
        <v xml:space="preserve">      N/A </v>
      </c>
      <c r="F15" s="483" t="str">
        <f ca="1">IF($C$4=GasDistribution,'EFs - Equipment Leaks'!$M178,"      N/A ")</f>
        <v xml:space="preserve">      N/A </v>
      </c>
      <c r="G15" s="452">
        <f ca="1">IF($A15&gt;0,IF(G$6=0,0,INDIRECT(ADDRESS(G$6-1+CHOOSE($D$4,'Equipment Schedules'!$D$678,'Equipment Schedules'!$D$679,'Equipment Schedules'!$D$680,'Equipment Schedules'!$D$681,'Equipment Schedules'!$D$682,'Equipment Schedules'!$D$683,'Equipment Schedules'!$D$684,'Equipment Schedules'!$D$685,'Equipment Schedules'!$D$686),'Calculations - Fugitives'!$A15+1,,,"Equipment Schedules"))),0)</f>
        <v>0</v>
      </c>
      <c r="H15" s="484">
        <f ca="1">IF($D15="N/A","N/A",'Setup - Facility Details'!$E$51*('Setup - Facility Details'!$H$51+'Setup - Facility Details'!$I$51)*IF(ISERROR(G15),0,G15)*$D15)</f>
        <v>0</v>
      </c>
      <c r="I15" s="452">
        <f ca="1">IF($A15&gt;0,IF(I$6=0,0,INDIRECT(ADDRESS(I$6-1+CHOOSE($D$4,'Equipment Schedules'!$D$678,'Equipment Schedules'!$D$679,'Equipment Schedules'!$D$680,'Equipment Schedules'!$D$681,'Equipment Schedules'!$D$682,'Equipment Schedules'!$D$683,'Equipment Schedules'!$D$684,'Equipment Schedules'!$D$685,'Equipment Schedules'!$D$686),'Calculations - Fugitives'!$A15+1,,,"Equipment Schedules"))),0)</f>
        <v>0</v>
      </c>
      <c r="J15" s="484">
        <f ca="1">IF($D15="N/A","N/A",'Setup - Facility Details'!$E$52*('Setup - Facility Details'!$H$52+'Setup - Facility Details'!$I$52)*IF(ISERROR(I15),0,I15)*$D15)</f>
        <v>0</v>
      </c>
      <c r="K15" s="452">
        <f ca="1">IF($A15&gt;0,IF(K$6=0,0,INDIRECT(ADDRESS(K$6-1+CHOOSE($D$4,'Equipment Schedules'!$D$678,'Equipment Schedules'!$D$679,'Equipment Schedules'!$D$680,'Equipment Schedules'!$D$681,'Equipment Schedules'!$D$682,'Equipment Schedules'!$D$683,'Equipment Schedules'!$D$684,'Equipment Schedules'!$D$685,'Equipment Schedules'!$D$686),'Calculations - Fugitives'!$A15+1,,,"Equipment Schedules"))),0)</f>
        <v>0</v>
      </c>
      <c r="L15" s="484">
        <f ca="1">IF($D15="N/A","N/A",'Setup - Facility Details'!$E$53*('Setup - Facility Details'!$H$53+'Setup - Facility Details'!$I$53)*IF(ISERROR(K15),0,K15)*$D15)</f>
        <v>0</v>
      </c>
      <c r="M15" s="452">
        <f ca="1">IF($A15&gt;0,IF(M$6=0,0,INDIRECT(ADDRESS(M$6-1+CHOOSE($D$4,'Equipment Schedules'!$D$678,'Equipment Schedules'!$D$679,'Equipment Schedules'!$D$680,'Equipment Schedules'!$D$681,'Equipment Schedules'!$D$682,'Equipment Schedules'!$D$683,'Equipment Schedules'!$D$684,'Equipment Schedules'!$D$685,'Equipment Schedules'!$D$686),'Calculations - Fugitives'!$A15+1,,,"Equipment Schedules"))),0)</f>
        <v>0</v>
      </c>
      <c r="N15" s="484">
        <f ca="1">IF($D15="N/A","N/A",'Setup - Facility Details'!$E$54*('Setup - Facility Details'!$H$54+'Setup - Facility Details'!$I$54)*IF(ISERROR(M15),0,M15)*$D15)</f>
        <v>0</v>
      </c>
      <c r="O15" s="452">
        <f ca="1">IF($A15&gt;0,IF(O$6=0,0,INDIRECT(ADDRESS(O$6-1+CHOOSE($D$4,'Equipment Schedules'!$D$678,'Equipment Schedules'!$D$679,'Equipment Schedules'!$D$680,'Equipment Schedules'!$D$681,'Equipment Schedules'!$D$682,'Equipment Schedules'!$D$683,'Equipment Schedules'!$D$684,'Equipment Schedules'!$D$685,'Equipment Schedules'!$D$686),'Calculations - Fugitives'!$A15+1,,,"Equipment Schedules"))),0)</f>
        <v>0</v>
      </c>
      <c r="P15" s="484">
        <f ca="1">IF($D15="N/A","N/A",'Setup - Facility Details'!$E$55*('Setup - Facility Details'!$H$55+'Setup - Facility Details'!$I$55)*IF(ISERROR(O15),0,O15)*$D15)</f>
        <v>0</v>
      </c>
      <c r="Q15" s="452">
        <f ca="1">IF($A15&gt;0,IF(Q$6=0,0,INDIRECT(ADDRESS(Q$6-1+CHOOSE($D$4,'Equipment Schedules'!$D$678,'Equipment Schedules'!$D$679,'Equipment Schedules'!$D$680,'Equipment Schedules'!$D$681,'Equipment Schedules'!$D$682,'Equipment Schedules'!$D$683,'Equipment Schedules'!$D$684,'Equipment Schedules'!$D$685,'Equipment Schedules'!$D$686),'Calculations - Fugitives'!$A15+1,,,"Equipment Schedules"))),0)</f>
        <v>0</v>
      </c>
      <c r="R15" s="484">
        <f ca="1">IF($D15="N/A","N/A",'Setup - Facility Details'!$E$56*('Setup - Facility Details'!$H$56+'Setup - Facility Details'!$I$56)*IF(ISERROR(Q15),0,Q15)*$D15)</f>
        <v>0</v>
      </c>
      <c r="S15" s="452">
        <f ca="1">IF($A15&gt;0,IF(S$6=0,0,INDIRECT(ADDRESS(S$6-1+CHOOSE($D$4,'Equipment Schedules'!$D$678,'Equipment Schedules'!$D$679,'Equipment Schedules'!$D$680,'Equipment Schedules'!$D$681,'Equipment Schedules'!$D$682,'Equipment Schedules'!$D$683,'Equipment Schedules'!$D$684,'Equipment Schedules'!$D$685,'Equipment Schedules'!$D$686),'Calculations - Fugitives'!$A15+1,,,"Equipment Schedules"))),0)</f>
        <v>0</v>
      </c>
      <c r="T15" s="484">
        <f ca="1">IF($D15="N/A","N/A",'Setup - Facility Details'!$E$57*('Setup - Facility Details'!$H$57+'Setup - Facility Details'!$I$57)*IF(ISERROR(S15),0,S15)*$D15)</f>
        <v>0</v>
      </c>
      <c r="U15" s="452">
        <f ca="1">IF($A15&gt;0,IF(U$6=0,0,INDIRECT(ADDRESS(U$6-1+CHOOSE($D$4,'Equipment Schedules'!$D$678,'Equipment Schedules'!$D$679,'Equipment Schedules'!$D$680,'Equipment Schedules'!$D$681,'Equipment Schedules'!$D$682,'Equipment Schedules'!$D$683,'Equipment Schedules'!$D$684,'Equipment Schedules'!$D$685,'Equipment Schedules'!$D$686),'Calculations - Fugitives'!$A15+1,,,"Equipment Schedules"))),0)</f>
        <v>0</v>
      </c>
      <c r="V15" s="484">
        <f ca="1">IF($D15="N/A","N/A",'Setup - Facility Details'!$E$58*('Setup - Facility Details'!$H$58+'Setup - Facility Details'!$I$58)*IF(ISERROR(U15),0,U15)*$D15)</f>
        <v>0</v>
      </c>
      <c r="W15" s="452">
        <f ca="1">IF($A15&gt;0,IF(W$6=0,0,INDIRECT(ADDRESS(W$6-1+CHOOSE($D$4,'Equipment Schedules'!$D$678,'Equipment Schedules'!$D$679,'Equipment Schedules'!$D$680,'Equipment Schedules'!$D$681,'Equipment Schedules'!$D$682,'Equipment Schedules'!$D$683,'Equipment Schedules'!$D$684,'Equipment Schedules'!$D$685,'Equipment Schedules'!$D$686),'Calculations - Fugitives'!$A15+1,,,"Equipment Schedules"))),0)</f>
        <v>0</v>
      </c>
      <c r="X15" s="484">
        <f ca="1">IF($D15="N/A","N/A",'Setup - Facility Details'!$E$59*('Setup - Facility Details'!$H$59+'Setup - Facility Details'!$I$59)*IF(ISERROR(W15),0,W15)*$D15)</f>
        <v>0</v>
      </c>
      <c r="Y15" s="452">
        <f ca="1">IF($A15&gt;0,IF(Y$6=0,0,INDIRECT(ADDRESS(Y$6-1+CHOOSE($D$4,'Equipment Schedules'!$D$678,'Equipment Schedules'!$D$679,'Equipment Schedules'!$D$680,'Equipment Schedules'!$D$681,'Equipment Schedules'!$D$682,'Equipment Schedules'!$D$683,'Equipment Schedules'!$D$684,'Equipment Schedules'!$D$685,'Equipment Schedules'!$D$686),'Calculations - Fugitives'!$A15+1,,,"Equipment Schedules"))),0)</f>
        <v>0</v>
      </c>
      <c r="Z15" s="484">
        <f ca="1">IF($D15="N/A","N/A",'Setup - Facility Details'!$E$60*('Setup - Facility Details'!$H$60+'Setup - Facility Details'!$I$60)*IF(ISERROR(Y15),0,Y15)*$D15)</f>
        <v>0</v>
      </c>
      <c r="AA15" s="452">
        <f ca="1">IF($A15&gt;0,IF(AA$6=0,0,INDIRECT(ADDRESS(AA$6-1+CHOOSE($D$4,'Equipment Schedules'!$D$678,'Equipment Schedules'!$D$679,'Equipment Schedules'!$D$680,'Equipment Schedules'!$D$681,'Equipment Schedules'!$D$682,'Equipment Schedules'!$D$683,'Equipment Schedules'!$D$684,'Equipment Schedules'!$D$685,'Equipment Schedules'!$D$686),'Calculations - Fugitives'!$A15+1,,,"Equipment Schedules"))),0)</f>
        <v>0</v>
      </c>
      <c r="AB15" s="484">
        <f ca="1">IF($D15="N/A","N/A",'Setup - Facility Details'!$E$61*('Setup - Facility Details'!$H$61+'Setup - Facility Details'!$I$61)*IF(ISERROR(AA15),0,AA15)*$D15)</f>
        <v>0</v>
      </c>
      <c r="AC15" s="452">
        <f ca="1">IF($A15&gt;0,IF(AC$6=0,0,INDIRECT(ADDRESS(AC$6-1+CHOOSE($D$4,'Equipment Schedules'!$D$678,'Equipment Schedules'!$D$679,'Equipment Schedules'!$D$680,'Equipment Schedules'!$D$681,'Equipment Schedules'!$D$682,'Equipment Schedules'!$D$683,'Equipment Schedules'!$D$684,'Equipment Schedules'!$D$685,'Equipment Schedules'!$D$686),'Calculations - Fugitives'!$A15+1,,,"Equipment Schedules"))),0)</f>
        <v>0</v>
      </c>
      <c r="AD15" s="484">
        <f ca="1">IF($D15="N/A","N/A",'Setup - Facility Details'!$E$62*('Setup - Facility Details'!$H$62+'Setup - Facility Details'!$I$62)*IF(ISERROR(AC15),0,AC15)*$D15)</f>
        <v>0</v>
      </c>
      <c r="AE15" s="452">
        <f ca="1">IF($A15&gt;0,IF(AE$6=0,0,INDIRECT(ADDRESS(AE$6-1+CHOOSE($D$4,'Equipment Schedules'!$D$678,'Equipment Schedules'!$D$679,'Equipment Schedules'!$D$680,'Equipment Schedules'!$D$681,'Equipment Schedules'!$D$682,'Equipment Schedules'!$D$683,'Equipment Schedules'!$D$684,'Equipment Schedules'!$D$685,'Equipment Schedules'!$D$686),'Calculations - Fugitives'!$A15+1,,,"Equipment Schedules"))),0)</f>
        <v>0</v>
      </c>
      <c r="AF15" s="484">
        <f ca="1">IF($D15="N/A","N/A",'Setup - Facility Details'!$E$63*('Setup - Facility Details'!$H$63+'Setup - Facility Details'!$I$63)*IF(ISERROR(AE15),0,AE15)*$D15)</f>
        <v>0</v>
      </c>
      <c r="AG15" s="452">
        <f ca="1">IF($A15&gt;0,IF(AG$6=0,0,INDIRECT(ADDRESS(AG$6-1+CHOOSE($D$4,'Equipment Schedules'!$D$678,'Equipment Schedules'!$D$679,'Equipment Schedules'!$D$680,'Equipment Schedules'!$D$681,'Equipment Schedules'!$D$682,'Equipment Schedules'!$D$683,'Equipment Schedules'!$D$684,'Equipment Schedules'!$D$685,'Equipment Schedules'!$D$686),'Calculations - Fugitives'!$A15+1,,,"Equipment Schedules"))),0)</f>
        <v>0</v>
      </c>
      <c r="AH15" s="484">
        <f ca="1">IF($D15="N/A","N/A",'Setup - Facility Details'!$E$64*('Setup - Facility Details'!$H$64+'Setup - Facility Details'!$I$64)*IF(ISERROR(AG15),0,AG15)*$D15)</f>
        <v>0</v>
      </c>
      <c r="AI15" s="452">
        <f ca="1">IF($A15&gt;0,IF(AI$6=0,0,INDIRECT(ADDRESS(AI$6-1+CHOOSE($D$4,'Equipment Schedules'!$D$678,'Equipment Schedules'!$D$679,'Equipment Schedules'!$D$680,'Equipment Schedules'!$D$681,'Equipment Schedules'!$D$682,'Equipment Schedules'!$D$683,'Equipment Schedules'!$D$684,'Equipment Schedules'!$D$685,'Equipment Schedules'!$D$686),'Calculations - Fugitives'!$A15+1,,,"Equipment Schedules"))),0)</f>
        <v>0</v>
      </c>
      <c r="AJ15" s="484">
        <f ca="1">IF($D15="N/A","N/A",'Setup - Facility Details'!$E$65*('Setup - Facility Details'!$H$65+'Setup - Facility Details'!$I$65)*IF(ISERROR(AI15),0,AI15)*$D15)</f>
        <v>0</v>
      </c>
      <c r="AK15" s="452">
        <f ca="1">IF($A15&gt;0,IF(AK$6=0,0,INDIRECT(ADDRESS(AK$6-1+CHOOSE($D$4,'Equipment Schedules'!$D$678,'Equipment Schedules'!$D$679,'Equipment Schedules'!$D$680,'Equipment Schedules'!$D$681,'Equipment Schedules'!$D$682,'Equipment Schedules'!$D$683,'Equipment Schedules'!$D$684,'Equipment Schedules'!$D$685,'Equipment Schedules'!$D$686),'Calculations - Fugitives'!$A15+1,,,"Equipment Schedules"))),0)</f>
        <v>0</v>
      </c>
      <c r="AL15" s="484">
        <f ca="1">IF($D15="N/A","N/A",'Setup - Facility Details'!$E$66*('Setup - Facility Details'!$H$66+'Setup - Facility Details'!$I$66)*IF(ISERROR(AK15),0,AK15)*$D15)</f>
        <v>0</v>
      </c>
      <c r="AM15" s="452">
        <f ca="1">IF($A15&gt;0,IF(AM$6=0,0,INDIRECT(ADDRESS(AM$6-1+CHOOSE($D$4,'Equipment Schedules'!$D$678,'Equipment Schedules'!$D$679,'Equipment Schedules'!$D$680,'Equipment Schedules'!$D$681,'Equipment Schedules'!$D$682,'Equipment Schedules'!$D$683,'Equipment Schedules'!$D$684,'Equipment Schedules'!$D$685,'Equipment Schedules'!$D$686),'Calculations - Fugitives'!$A15+1,,,"Equipment Schedules"))),0)</f>
        <v>0</v>
      </c>
      <c r="AN15" s="484">
        <f ca="1">IF($D15="N/A","N/A",'Setup - Facility Details'!$E$67*('Setup - Facility Details'!$H$67+'Setup - Facility Details'!$I$67)*IF(ISERROR(AM15),0,AM15)*$D15)</f>
        <v>0</v>
      </c>
      <c r="AO15" s="452">
        <f ca="1">IF($A15&gt;0,IF(AO$6=0,0,INDIRECT(ADDRESS(AO$6-1+CHOOSE($D$4,'Equipment Schedules'!$D$678,'Equipment Schedules'!$D$679,'Equipment Schedules'!$D$680,'Equipment Schedules'!$D$681,'Equipment Schedules'!$D$682,'Equipment Schedules'!$D$683,'Equipment Schedules'!$D$684,'Equipment Schedules'!$D$685,'Equipment Schedules'!$D$686),'Calculations - Fugitives'!$A15+1,,,"Equipment Schedules"))),0)</f>
        <v>0</v>
      </c>
      <c r="AP15" s="484">
        <f ca="1">IF($D15="N/A","N/A",'Setup - Facility Details'!$E$68*('Setup - Facility Details'!$H$68+'Setup - Facility Details'!$I$68)*IF(ISERROR(AO15),0,AO15)*$D15)</f>
        <v>0</v>
      </c>
      <c r="AQ15" s="452">
        <f ca="1">IF($A15&gt;0,IF(AQ$6=0,0,INDIRECT(ADDRESS(AQ$6-1+CHOOSE($D$4,'Equipment Schedules'!$D$678,'Equipment Schedules'!$D$679,'Equipment Schedules'!$D$680,'Equipment Schedules'!$D$681,'Equipment Schedules'!$D$682,'Equipment Schedules'!$D$683,'Equipment Schedules'!$D$684,'Equipment Schedules'!$D$685,'Equipment Schedules'!$D$686),'Calculations - Fugitives'!$A15+1,,,"Equipment Schedules"))),0)</f>
        <v>0</v>
      </c>
      <c r="AR15" s="484">
        <f ca="1">IF($D15="N/A","N/A",'Setup - Facility Details'!$E$69*('Setup - Facility Details'!$H$69+'Setup - Facility Details'!$I$69)*IF(ISERROR(AQ15),0,AQ15)*$D15)</f>
        <v>0</v>
      </c>
      <c r="AS15" s="452">
        <f ca="1">IF($A15&gt;0,IF(AS$6=0,0,INDIRECT(ADDRESS(AS$6-1+CHOOSE($D$4,'Equipment Schedules'!$D$678,'Equipment Schedules'!$D$679,'Equipment Schedules'!$D$680,'Equipment Schedules'!$D$681,'Equipment Schedules'!$D$682,'Equipment Schedules'!$D$683,'Equipment Schedules'!$D$684,'Equipment Schedules'!$D$685,'Equipment Schedules'!$D$686),'Calculations - Fugitives'!$A15+1,,,"Equipment Schedules"))),0)</f>
        <v>0</v>
      </c>
      <c r="AT15" s="484">
        <f ca="1">IF($D15="N/A","N/A",'Setup - Facility Details'!$E$70*('Setup - Facility Details'!$H$70+'Setup - Facility Details'!$I$70)*IF(ISERROR(AS15),0,AS15)*$D15)</f>
        <v>0</v>
      </c>
    </row>
    <row r="16" spans="1:46" x14ac:dyDescent="0.3">
      <c r="A16" s="256">
        <f>10+$A$11</f>
        <v>11</v>
      </c>
      <c r="B16" s="48" t="str">
        <f ca="1">'Translation Table'!H540</f>
        <v>Valves (Block)</v>
      </c>
      <c r="C16" s="48" t="str">
        <f ca="1">'Translation Table'!H541</f>
        <v>Gas</v>
      </c>
      <c r="D16" s="485" t="str">
        <f ca="1">IF(OR($C$4=OffshoreOilProduction,$C$4=OffshoreGasProduction,$C$4=OnshoreGasProduction,$C$4=OnshoreOilProduction,$C$4=GasProcessing,$C$4=PetroleumRefining),'EFs - Equipment Leaks'!M11,IF(OR($C$4=GasTransmission,$C$4=GasStorage),'EFs - Equipment Leaks'!M53,IF($C$4=GasDistribution,'EFs - Equipment Leaks'!M95,"Error")))</f>
        <v>N/A</v>
      </c>
      <c r="E16" s="485" t="str">
        <f ca="1">IF($C$4=GasDistribution,'EFs - Equipment Leaks'!$M137,"      N/A ")</f>
        <v xml:space="preserve">      N/A </v>
      </c>
      <c r="F16" s="485" t="str">
        <f ca="1">IF($C$4=GasDistribution,'EFs - Equipment Leaks'!$M179,"      N/A ")</f>
        <v xml:space="preserve">      N/A </v>
      </c>
      <c r="G16" s="193">
        <f ca="1">IF($A16&gt;0,IF(G$6=0,0,INDIRECT(ADDRESS(G$6-1+CHOOSE($D$4,'Equipment Schedules'!$D$678,'Equipment Schedules'!$D$679,'Equipment Schedules'!$D$680,'Equipment Schedules'!$D$681,'Equipment Schedules'!$D$682,'Equipment Schedules'!$D$683,'Equipment Schedules'!$D$684,'Equipment Schedules'!$D$685,'Equipment Schedules'!$D$686),'Calculations - Fugitives'!$A16+1,,,"Equipment Schedules"))),0)</f>
        <v>0</v>
      </c>
      <c r="H16" s="486" t="str">
        <f ca="1">IF($D16="N/A","N/A",'Setup - Facility Details'!$E$51*('Setup - Facility Details'!$H$51+'Setup - Facility Details'!$I$51)*IF(ISERROR(G16),0,G16)*$D16)</f>
        <v>N/A</v>
      </c>
      <c r="I16" s="193">
        <f ca="1">IF($A16&gt;0,IF(I$6=0,0,INDIRECT(ADDRESS(I$6-1+CHOOSE($D$4,'Equipment Schedules'!$D$678,'Equipment Schedules'!$D$679,'Equipment Schedules'!$D$680,'Equipment Schedules'!$D$681,'Equipment Schedules'!$D$682,'Equipment Schedules'!$D$683,'Equipment Schedules'!$D$684,'Equipment Schedules'!$D$685,'Equipment Schedules'!$D$686),'Calculations - Fugitives'!$A16+1,,,"Equipment Schedules"))),0)</f>
        <v>0</v>
      </c>
      <c r="J16" s="486" t="str">
        <f ca="1">IF($D16="N/A","N/A",'Setup - Facility Details'!$E$52*('Setup - Facility Details'!$H$52+'Setup - Facility Details'!$I$52)*IF(ISERROR(I16),0,I16)*$D16)</f>
        <v>N/A</v>
      </c>
      <c r="K16" s="193">
        <f ca="1">IF($A16&gt;0,IF(K$6=0,0,INDIRECT(ADDRESS(K$6-1+CHOOSE($D$4,'Equipment Schedules'!$D$678,'Equipment Schedules'!$D$679,'Equipment Schedules'!$D$680,'Equipment Schedules'!$D$681,'Equipment Schedules'!$D$682,'Equipment Schedules'!$D$683,'Equipment Schedules'!$D$684,'Equipment Schedules'!$D$685,'Equipment Schedules'!$D$686),'Calculations - Fugitives'!$A16+1,,,"Equipment Schedules"))),0)</f>
        <v>0</v>
      </c>
      <c r="L16" s="486" t="str">
        <f ca="1">IF($D16="N/A","N/A",'Setup - Facility Details'!$E$53*('Setup - Facility Details'!$H$53+'Setup - Facility Details'!$I$53)*IF(ISERROR(K16),0,K16)*$D16)</f>
        <v>N/A</v>
      </c>
      <c r="M16" s="193">
        <f ca="1">IF($A16&gt;0,IF(M$6=0,0,INDIRECT(ADDRESS(M$6-1+CHOOSE($D$4,'Equipment Schedules'!$D$678,'Equipment Schedules'!$D$679,'Equipment Schedules'!$D$680,'Equipment Schedules'!$D$681,'Equipment Schedules'!$D$682,'Equipment Schedules'!$D$683,'Equipment Schedules'!$D$684,'Equipment Schedules'!$D$685,'Equipment Schedules'!$D$686),'Calculations - Fugitives'!$A16+1,,,"Equipment Schedules"))),0)</f>
        <v>0</v>
      </c>
      <c r="N16" s="486" t="str">
        <f ca="1">IF($D16="N/A","N/A",'Setup - Facility Details'!$E$54*('Setup - Facility Details'!$H$54+'Setup - Facility Details'!$I$54)*IF(ISERROR(M16),0,M16)*$D16)</f>
        <v>N/A</v>
      </c>
      <c r="O16" s="193">
        <f ca="1">IF($A16&gt;0,IF(O$6=0,0,INDIRECT(ADDRESS(O$6-1+CHOOSE($D$4,'Equipment Schedules'!$D$678,'Equipment Schedules'!$D$679,'Equipment Schedules'!$D$680,'Equipment Schedules'!$D$681,'Equipment Schedules'!$D$682,'Equipment Schedules'!$D$683,'Equipment Schedules'!$D$684,'Equipment Schedules'!$D$685,'Equipment Schedules'!$D$686),'Calculations - Fugitives'!$A16+1,,,"Equipment Schedules"))),0)</f>
        <v>0</v>
      </c>
      <c r="P16" s="486" t="str">
        <f ca="1">IF($D16="N/A","N/A",'Setup - Facility Details'!$E$55*('Setup - Facility Details'!$H$55+'Setup - Facility Details'!$I$55)*IF(ISERROR(O16),0,O16)*$D16)</f>
        <v>N/A</v>
      </c>
      <c r="Q16" s="193">
        <f ca="1">IF($A16&gt;0,IF(Q$6=0,0,INDIRECT(ADDRESS(Q$6-1+CHOOSE($D$4,'Equipment Schedules'!$D$678,'Equipment Schedules'!$D$679,'Equipment Schedules'!$D$680,'Equipment Schedules'!$D$681,'Equipment Schedules'!$D$682,'Equipment Schedules'!$D$683,'Equipment Schedules'!$D$684,'Equipment Schedules'!$D$685,'Equipment Schedules'!$D$686),'Calculations - Fugitives'!$A16+1,,,"Equipment Schedules"))),0)</f>
        <v>0</v>
      </c>
      <c r="R16" s="486" t="str">
        <f ca="1">IF($D16="N/A","N/A",'Setup - Facility Details'!$E$56*('Setup - Facility Details'!$H$56+'Setup - Facility Details'!$I$56)*IF(ISERROR(Q16),0,Q16)*$D16)</f>
        <v>N/A</v>
      </c>
      <c r="S16" s="193">
        <f ca="1">IF($A16&gt;0,IF(S$6=0,0,INDIRECT(ADDRESS(S$6-1+CHOOSE($D$4,'Equipment Schedules'!$D$678,'Equipment Schedules'!$D$679,'Equipment Schedules'!$D$680,'Equipment Schedules'!$D$681,'Equipment Schedules'!$D$682,'Equipment Schedules'!$D$683,'Equipment Schedules'!$D$684,'Equipment Schedules'!$D$685,'Equipment Schedules'!$D$686),'Calculations - Fugitives'!$A16+1,,,"Equipment Schedules"))),0)</f>
        <v>0</v>
      </c>
      <c r="T16" s="486" t="str">
        <f ca="1">IF($D16="N/A","N/A",'Setup - Facility Details'!$E$57*('Setup - Facility Details'!$H$57+'Setup - Facility Details'!$I$57)*IF(ISERROR(S16),0,S16)*$D16)</f>
        <v>N/A</v>
      </c>
      <c r="U16" s="193">
        <f ca="1">IF($A16&gt;0,IF(U$6=0,0,INDIRECT(ADDRESS(U$6-1+CHOOSE($D$4,'Equipment Schedules'!$D$678,'Equipment Schedules'!$D$679,'Equipment Schedules'!$D$680,'Equipment Schedules'!$D$681,'Equipment Schedules'!$D$682,'Equipment Schedules'!$D$683,'Equipment Schedules'!$D$684,'Equipment Schedules'!$D$685,'Equipment Schedules'!$D$686),'Calculations - Fugitives'!$A16+1,,,"Equipment Schedules"))),0)</f>
        <v>0</v>
      </c>
      <c r="V16" s="486" t="str">
        <f ca="1">IF($D16="N/A","N/A",'Setup - Facility Details'!$E$58*('Setup - Facility Details'!$H$58+'Setup - Facility Details'!$I$58)*IF(ISERROR(U16),0,U16)*$D16)</f>
        <v>N/A</v>
      </c>
      <c r="W16" s="193">
        <f ca="1">IF($A16&gt;0,IF(W$6=0,0,INDIRECT(ADDRESS(W$6-1+CHOOSE($D$4,'Equipment Schedules'!$D$678,'Equipment Schedules'!$D$679,'Equipment Schedules'!$D$680,'Equipment Schedules'!$D$681,'Equipment Schedules'!$D$682,'Equipment Schedules'!$D$683,'Equipment Schedules'!$D$684,'Equipment Schedules'!$D$685,'Equipment Schedules'!$D$686),'Calculations - Fugitives'!$A16+1,,,"Equipment Schedules"))),0)</f>
        <v>0</v>
      </c>
      <c r="X16" s="486" t="str">
        <f ca="1">IF($D16="N/A","N/A",'Setup - Facility Details'!$E$59*('Setup - Facility Details'!$H$59+'Setup - Facility Details'!$I$59)*IF(ISERROR(W16),0,W16)*$D16)</f>
        <v>N/A</v>
      </c>
      <c r="Y16" s="193">
        <f ca="1">IF($A16&gt;0,IF(Y$6=0,0,INDIRECT(ADDRESS(Y$6-1+CHOOSE($D$4,'Equipment Schedules'!$D$678,'Equipment Schedules'!$D$679,'Equipment Schedules'!$D$680,'Equipment Schedules'!$D$681,'Equipment Schedules'!$D$682,'Equipment Schedules'!$D$683,'Equipment Schedules'!$D$684,'Equipment Schedules'!$D$685,'Equipment Schedules'!$D$686),'Calculations - Fugitives'!$A16+1,,,"Equipment Schedules"))),0)</f>
        <v>0</v>
      </c>
      <c r="Z16" s="486" t="str">
        <f ca="1">IF($D16="N/A","N/A",'Setup - Facility Details'!$E$60*('Setup - Facility Details'!$H$60+'Setup - Facility Details'!$I$60)*IF(ISERROR(Y16),0,Y16)*$D16)</f>
        <v>N/A</v>
      </c>
      <c r="AA16" s="193">
        <f ca="1">IF($A16&gt;0,IF(AA$6=0,0,INDIRECT(ADDRESS(AA$6-1+CHOOSE($D$4,'Equipment Schedules'!$D$678,'Equipment Schedules'!$D$679,'Equipment Schedules'!$D$680,'Equipment Schedules'!$D$681,'Equipment Schedules'!$D$682,'Equipment Schedules'!$D$683,'Equipment Schedules'!$D$684,'Equipment Schedules'!$D$685,'Equipment Schedules'!$D$686),'Calculations - Fugitives'!$A16+1,,,"Equipment Schedules"))),0)</f>
        <v>0</v>
      </c>
      <c r="AB16" s="486" t="str">
        <f ca="1">IF($D16="N/A","N/A",'Setup - Facility Details'!$E$61*('Setup - Facility Details'!$H$61+'Setup - Facility Details'!$I$61)*IF(ISERROR(AA16),0,AA16)*$D16)</f>
        <v>N/A</v>
      </c>
      <c r="AC16" s="193">
        <f ca="1">IF($A16&gt;0,IF(AC$6=0,0,INDIRECT(ADDRESS(AC$6-1+CHOOSE($D$4,'Equipment Schedules'!$D$678,'Equipment Schedules'!$D$679,'Equipment Schedules'!$D$680,'Equipment Schedules'!$D$681,'Equipment Schedules'!$D$682,'Equipment Schedules'!$D$683,'Equipment Schedules'!$D$684,'Equipment Schedules'!$D$685,'Equipment Schedules'!$D$686),'Calculations - Fugitives'!$A16+1,,,"Equipment Schedules"))),0)</f>
        <v>0</v>
      </c>
      <c r="AD16" s="486" t="str">
        <f ca="1">IF($D16="N/A","N/A",'Setup - Facility Details'!$E$62*('Setup - Facility Details'!$H$62+'Setup - Facility Details'!$I$62)*IF(ISERROR(AC16),0,AC16)*$D16)</f>
        <v>N/A</v>
      </c>
      <c r="AE16" s="193">
        <f ca="1">IF($A16&gt;0,IF(AE$6=0,0,INDIRECT(ADDRESS(AE$6-1+CHOOSE($D$4,'Equipment Schedules'!$D$678,'Equipment Schedules'!$D$679,'Equipment Schedules'!$D$680,'Equipment Schedules'!$D$681,'Equipment Schedules'!$D$682,'Equipment Schedules'!$D$683,'Equipment Schedules'!$D$684,'Equipment Schedules'!$D$685,'Equipment Schedules'!$D$686),'Calculations - Fugitives'!$A16+1,,,"Equipment Schedules"))),0)</f>
        <v>0</v>
      </c>
      <c r="AF16" s="486" t="str">
        <f ca="1">IF($D16="N/A","N/A",'Setup - Facility Details'!$E$63*('Setup - Facility Details'!$H$63+'Setup - Facility Details'!$I$63)*IF(ISERROR(AE16),0,AE16)*$D16)</f>
        <v>N/A</v>
      </c>
      <c r="AG16" s="193">
        <f ca="1">IF($A16&gt;0,IF(AG$6=0,0,INDIRECT(ADDRESS(AG$6-1+CHOOSE($D$4,'Equipment Schedules'!$D$678,'Equipment Schedules'!$D$679,'Equipment Schedules'!$D$680,'Equipment Schedules'!$D$681,'Equipment Schedules'!$D$682,'Equipment Schedules'!$D$683,'Equipment Schedules'!$D$684,'Equipment Schedules'!$D$685,'Equipment Schedules'!$D$686),'Calculations - Fugitives'!$A16+1,,,"Equipment Schedules"))),0)</f>
        <v>0</v>
      </c>
      <c r="AH16" s="486" t="str">
        <f ca="1">IF($D16="N/A","N/A",'Setup - Facility Details'!$E$64*('Setup - Facility Details'!$H$64+'Setup - Facility Details'!$I$64)*IF(ISERROR(AG16),0,AG16)*$D16)</f>
        <v>N/A</v>
      </c>
      <c r="AI16" s="193">
        <f ca="1">IF($A16&gt;0,IF(AI$6=0,0,INDIRECT(ADDRESS(AI$6-1+CHOOSE($D$4,'Equipment Schedules'!$D$678,'Equipment Schedules'!$D$679,'Equipment Schedules'!$D$680,'Equipment Schedules'!$D$681,'Equipment Schedules'!$D$682,'Equipment Schedules'!$D$683,'Equipment Schedules'!$D$684,'Equipment Schedules'!$D$685,'Equipment Schedules'!$D$686),'Calculations - Fugitives'!$A16+1,,,"Equipment Schedules"))),0)</f>
        <v>0</v>
      </c>
      <c r="AJ16" s="486" t="str">
        <f ca="1">IF($D16="N/A","N/A",'Setup - Facility Details'!$E$65*('Setup - Facility Details'!$H$65+'Setup - Facility Details'!$I$65)*IF(ISERROR(AI16),0,AI16)*$D16)</f>
        <v>N/A</v>
      </c>
      <c r="AK16" s="193">
        <f ca="1">IF($A16&gt;0,IF(AK$6=0,0,INDIRECT(ADDRESS(AK$6-1+CHOOSE($D$4,'Equipment Schedules'!$D$678,'Equipment Schedules'!$D$679,'Equipment Schedules'!$D$680,'Equipment Schedules'!$D$681,'Equipment Schedules'!$D$682,'Equipment Schedules'!$D$683,'Equipment Schedules'!$D$684,'Equipment Schedules'!$D$685,'Equipment Schedules'!$D$686),'Calculations - Fugitives'!$A16+1,,,"Equipment Schedules"))),0)</f>
        <v>0</v>
      </c>
      <c r="AL16" s="486" t="str">
        <f ca="1">IF($D16="N/A","N/A",'Setup - Facility Details'!$E$66*('Setup - Facility Details'!$H$66+'Setup - Facility Details'!$I$66)*IF(ISERROR(AK16),0,AK16)*$D16)</f>
        <v>N/A</v>
      </c>
      <c r="AM16" s="193">
        <f ca="1">IF($A16&gt;0,IF(AM$6=0,0,INDIRECT(ADDRESS(AM$6-1+CHOOSE($D$4,'Equipment Schedules'!$D$678,'Equipment Schedules'!$D$679,'Equipment Schedules'!$D$680,'Equipment Schedules'!$D$681,'Equipment Schedules'!$D$682,'Equipment Schedules'!$D$683,'Equipment Schedules'!$D$684,'Equipment Schedules'!$D$685,'Equipment Schedules'!$D$686),'Calculations - Fugitives'!$A16+1,,,"Equipment Schedules"))),0)</f>
        <v>0</v>
      </c>
      <c r="AN16" s="486" t="str">
        <f ca="1">IF($D16="N/A","N/A",'Setup - Facility Details'!$E$67*('Setup - Facility Details'!$H$67+'Setup - Facility Details'!$I$67)*IF(ISERROR(AM16),0,AM16)*$D16)</f>
        <v>N/A</v>
      </c>
      <c r="AO16" s="193">
        <f ca="1">IF($A16&gt;0,IF(AO$6=0,0,INDIRECT(ADDRESS(AO$6-1+CHOOSE($D$4,'Equipment Schedules'!$D$678,'Equipment Schedules'!$D$679,'Equipment Schedules'!$D$680,'Equipment Schedules'!$D$681,'Equipment Schedules'!$D$682,'Equipment Schedules'!$D$683,'Equipment Schedules'!$D$684,'Equipment Schedules'!$D$685,'Equipment Schedules'!$D$686),'Calculations - Fugitives'!$A16+1,,,"Equipment Schedules"))),0)</f>
        <v>0</v>
      </c>
      <c r="AP16" s="486" t="str">
        <f ca="1">IF($D16="N/A","N/A",'Setup - Facility Details'!$E$68*('Setup - Facility Details'!$H$68+'Setup - Facility Details'!$I$68)*IF(ISERROR(AO16),0,AO16)*$D16)</f>
        <v>N/A</v>
      </c>
      <c r="AQ16" s="193">
        <f ca="1">IF($A16&gt;0,IF(AQ$6=0,0,INDIRECT(ADDRESS(AQ$6-1+CHOOSE($D$4,'Equipment Schedules'!$D$678,'Equipment Schedules'!$D$679,'Equipment Schedules'!$D$680,'Equipment Schedules'!$D$681,'Equipment Schedules'!$D$682,'Equipment Schedules'!$D$683,'Equipment Schedules'!$D$684,'Equipment Schedules'!$D$685,'Equipment Schedules'!$D$686),'Calculations - Fugitives'!$A16+1,,,"Equipment Schedules"))),0)</f>
        <v>0</v>
      </c>
      <c r="AR16" s="486" t="str">
        <f ca="1">IF($D16="N/A","N/A",'Setup - Facility Details'!$E$69*('Setup - Facility Details'!$H$69+'Setup - Facility Details'!$I$69)*IF(ISERROR(AQ16),0,AQ16)*$D16)</f>
        <v>N/A</v>
      </c>
      <c r="AS16" s="193">
        <f ca="1">IF($A16&gt;0,IF(AS$6=0,0,INDIRECT(ADDRESS(AS$6-1+CHOOSE($D$4,'Equipment Schedules'!$D$678,'Equipment Schedules'!$D$679,'Equipment Schedules'!$D$680,'Equipment Schedules'!$D$681,'Equipment Schedules'!$D$682,'Equipment Schedules'!$D$683,'Equipment Schedules'!$D$684,'Equipment Schedules'!$D$685,'Equipment Schedules'!$D$686),'Calculations - Fugitives'!$A16+1,,,"Equipment Schedules"))),0)</f>
        <v>0</v>
      </c>
      <c r="AT16" s="486" t="str">
        <f ca="1">IF($D16="N/A","N/A",'Setup - Facility Details'!$E$70*('Setup - Facility Details'!$H$70+'Setup - Facility Details'!$I$70)*IF(ISERROR(AS16),0,AS16)*$D16)</f>
        <v>N/A</v>
      </c>
    </row>
    <row r="17" spans="1:46" x14ac:dyDescent="0.3">
      <c r="A17" s="256">
        <f>11+$A$11</f>
        <v>12</v>
      </c>
      <c r="B17" s="81" t="str">
        <f ca="1">'Translation Table'!H542</f>
        <v>Valves (Control)</v>
      </c>
      <c r="C17" s="81" t="str">
        <f ca="1">'Translation Table'!H543</f>
        <v>Gas</v>
      </c>
      <c r="D17" s="483" t="str">
        <f ca="1">IF(OR($C$4=OffshoreOilProduction,$C$4=OffshoreGasProduction,$C$4=OnshoreGasProduction,$C$4=OnshoreOilProduction,$C$4=GasProcessing,$C$4=PetroleumRefining),'EFs - Equipment Leaks'!M12,IF(OR($C$4=GasTransmission,$C$4=GasStorage),'EFs - Equipment Leaks'!M54,IF($C$4=GasDistribution,'EFs - Equipment Leaks'!M96,"Error")))</f>
        <v>N/A</v>
      </c>
      <c r="E17" s="483" t="str">
        <f ca="1">IF($C$4=GasDistribution,'EFs - Equipment Leaks'!$M138,"      N/A ")</f>
        <v xml:space="preserve">      N/A </v>
      </c>
      <c r="F17" s="483" t="str">
        <f ca="1">IF($C$4=GasDistribution,'EFs - Equipment Leaks'!$M180,"      N/A ")</f>
        <v xml:space="preserve">      N/A </v>
      </c>
      <c r="G17" s="452">
        <f ca="1">IF($A17&gt;0,IF(G$6=0,0,INDIRECT(ADDRESS(G$6-1+CHOOSE($D$4,'Equipment Schedules'!$D$678,'Equipment Schedules'!$D$679,'Equipment Schedules'!$D$680,'Equipment Schedules'!$D$681,'Equipment Schedules'!$D$682,'Equipment Schedules'!$D$683,'Equipment Schedules'!$D$684,'Equipment Schedules'!$D$685,'Equipment Schedules'!$D$686),'Calculations - Fugitives'!$A17+1,,,"Equipment Schedules"))),0)</f>
        <v>0</v>
      </c>
      <c r="H17" s="484" t="str">
        <f ca="1">IF($D17="N/A","N/A",'Setup - Facility Details'!$E$51*('Setup - Facility Details'!$H$51+'Setup - Facility Details'!$I$51)*IF(ISERROR(G17),0,G17)*$D17)</f>
        <v>N/A</v>
      </c>
      <c r="I17" s="452">
        <f ca="1">IF($A17&gt;0,IF(I$6=0,0,INDIRECT(ADDRESS(I$6-1+CHOOSE($D$4,'Equipment Schedules'!$D$678,'Equipment Schedules'!$D$679,'Equipment Schedules'!$D$680,'Equipment Schedules'!$D$681,'Equipment Schedules'!$D$682,'Equipment Schedules'!$D$683,'Equipment Schedules'!$D$684,'Equipment Schedules'!$D$685,'Equipment Schedules'!$D$686),'Calculations - Fugitives'!$A17+1,,,"Equipment Schedules"))),0)</f>
        <v>0</v>
      </c>
      <c r="J17" s="484" t="str">
        <f ca="1">IF($D17="N/A","N/A",'Setup - Facility Details'!$E$52*('Setup - Facility Details'!$H$52+'Setup - Facility Details'!$I$52)*IF(ISERROR(I17),0,I17)*$D17)</f>
        <v>N/A</v>
      </c>
      <c r="K17" s="452">
        <f ca="1">IF($A17&gt;0,IF(K$6=0,0,INDIRECT(ADDRESS(K$6-1+CHOOSE($D$4,'Equipment Schedules'!$D$678,'Equipment Schedules'!$D$679,'Equipment Schedules'!$D$680,'Equipment Schedules'!$D$681,'Equipment Schedules'!$D$682,'Equipment Schedules'!$D$683,'Equipment Schedules'!$D$684,'Equipment Schedules'!$D$685,'Equipment Schedules'!$D$686),'Calculations - Fugitives'!$A17+1,,,"Equipment Schedules"))),0)</f>
        <v>0</v>
      </c>
      <c r="L17" s="484" t="str">
        <f ca="1">IF($D17="N/A","N/A",'Setup - Facility Details'!$E$53*('Setup - Facility Details'!$H$53+'Setup - Facility Details'!$I$53)*IF(ISERROR(K17),0,K17)*$D17)</f>
        <v>N/A</v>
      </c>
      <c r="M17" s="452">
        <f ca="1">IF($A17&gt;0,IF(M$6=0,0,INDIRECT(ADDRESS(M$6-1+CHOOSE($D$4,'Equipment Schedules'!$D$678,'Equipment Schedules'!$D$679,'Equipment Schedules'!$D$680,'Equipment Schedules'!$D$681,'Equipment Schedules'!$D$682,'Equipment Schedules'!$D$683,'Equipment Schedules'!$D$684,'Equipment Schedules'!$D$685,'Equipment Schedules'!$D$686),'Calculations - Fugitives'!$A17+1,,,"Equipment Schedules"))),0)</f>
        <v>0</v>
      </c>
      <c r="N17" s="484" t="str">
        <f ca="1">IF($D17="N/A","N/A",'Setup - Facility Details'!$E$54*('Setup - Facility Details'!$H$54+'Setup - Facility Details'!$I$54)*IF(ISERROR(M17),0,M17)*$D17)</f>
        <v>N/A</v>
      </c>
      <c r="O17" s="452">
        <f ca="1">IF($A17&gt;0,IF(O$6=0,0,INDIRECT(ADDRESS(O$6-1+CHOOSE($D$4,'Equipment Schedules'!$D$678,'Equipment Schedules'!$D$679,'Equipment Schedules'!$D$680,'Equipment Schedules'!$D$681,'Equipment Schedules'!$D$682,'Equipment Schedules'!$D$683,'Equipment Schedules'!$D$684,'Equipment Schedules'!$D$685,'Equipment Schedules'!$D$686),'Calculations - Fugitives'!$A17+1,,,"Equipment Schedules"))),0)</f>
        <v>0</v>
      </c>
      <c r="P17" s="484" t="str">
        <f ca="1">IF($D17="N/A","N/A",'Setup - Facility Details'!$E$55*('Setup - Facility Details'!$H$55+'Setup - Facility Details'!$I$55)*IF(ISERROR(O17),0,O17)*$D17)</f>
        <v>N/A</v>
      </c>
      <c r="Q17" s="452">
        <f ca="1">IF($A17&gt;0,IF(Q$6=0,0,INDIRECT(ADDRESS(Q$6-1+CHOOSE($D$4,'Equipment Schedules'!$D$678,'Equipment Schedules'!$D$679,'Equipment Schedules'!$D$680,'Equipment Schedules'!$D$681,'Equipment Schedules'!$D$682,'Equipment Schedules'!$D$683,'Equipment Schedules'!$D$684,'Equipment Schedules'!$D$685,'Equipment Schedules'!$D$686),'Calculations - Fugitives'!$A17+1,,,"Equipment Schedules"))),0)</f>
        <v>0</v>
      </c>
      <c r="R17" s="484" t="str">
        <f ca="1">IF($D17="N/A","N/A",'Setup - Facility Details'!$E$56*('Setup - Facility Details'!$H$56+'Setup - Facility Details'!$I$56)*IF(ISERROR(Q17),0,Q17)*$D17)</f>
        <v>N/A</v>
      </c>
      <c r="S17" s="452">
        <f ca="1">IF($A17&gt;0,IF(S$6=0,0,INDIRECT(ADDRESS(S$6-1+CHOOSE($D$4,'Equipment Schedules'!$D$678,'Equipment Schedules'!$D$679,'Equipment Schedules'!$D$680,'Equipment Schedules'!$D$681,'Equipment Schedules'!$D$682,'Equipment Schedules'!$D$683,'Equipment Schedules'!$D$684,'Equipment Schedules'!$D$685,'Equipment Schedules'!$D$686),'Calculations - Fugitives'!$A17+1,,,"Equipment Schedules"))),0)</f>
        <v>0</v>
      </c>
      <c r="T17" s="484" t="str">
        <f ca="1">IF($D17="N/A","N/A",'Setup - Facility Details'!$E$57*('Setup - Facility Details'!$H$57+'Setup - Facility Details'!$I$57)*IF(ISERROR(S17),0,S17)*$D17)</f>
        <v>N/A</v>
      </c>
      <c r="U17" s="452">
        <f ca="1">IF($A17&gt;0,IF(U$6=0,0,INDIRECT(ADDRESS(U$6-1+CHOOSE($D$4,'Equipment Schedules'!$D$678,'Equipment Schedules'!$D$679,'Equipment Schedules'!$D$680,'Equipment Schedules'!$D$681,'Equipment Schedules'!$D$682,'Equipment Schedules'!$D$683,'Equipment Schedules'!$D$684,'Equipment Schedules'!$D$685,'Equipment Schedules'!$D$686),'Calculations - Fugitives'!$A17+1,,,"Equipment Schedules"))),0)</f>
        <v>0</v>
      </c>
      <c r="V17" s="484" t="str">
        <f ca="1">IF($D17="N/A","N/A",'Setup - Facility Details'!$E$58*('Setup - Facility Details'!$H$58+'Setup - Facility Details'!$I$58)*IF(ISERROR(U17),0,U17)*$D17)</f>
        <v>N/A</v>
      </c>
      <c r="W17" s="452">
        <f ca="1">IF($A17&gt;0,IF(W$6=0,0,INDIRECT(ADDRESS(W$6-1+CHOOSE($D$4,'Equipment Schedules'!$D$678,'Equipment Schedules'!$D$679,'Equipment Schedules'!$D$680,'Equipment Schedules'!$D$681,'Equipment Schedules'!$D$682,'Equipment Schedules'!$D$683,'Equipment Schedules'!$D$684,'Equipment Schedules'!$D$685,'Equipment Schedules'!$D$686),'Calculations - Fugitives'!$A17+1,,,"Equipment Schedules"))),0)</f>
        <v>0</v>
      </c>
      <c r="X17" s="484" t="str">
        <f ca="1">IF($D17="N/A","N/A",'Setup - Facility Details'!$E$59*('Setup - Facility Details'!$H$59+'Setup - Facility Details'!$I$59)*IF(ISERROR(W17),0,W17)*$D17)</f>
        <v>N/A</v>
      </c>
      <c r="Y17" s="452">
        <f ca="1">IF($A17&gt;0,IF(Y$6=0,0,INDIRECT(ADDRESS(Y$6-1+CHOOSE($D$4,'Equipment Schedules'!$D$678,'Equipment Schedules'!$D$679,'Equipment Schedules'!$D$680,'Equipment Schedules'!$D$681,'Equipment Schedules'!$D$682,'Equipment Schedules'!$D$683,'Equipment Schedules'!$D$684,'Equipment Schedules'!$D$685,'Equipment Schedules'!$D$686),'Calculations - Fugitives'!$A17+1,,,"Equipment Schedules"))),0)</f>
        <v>0</v>
      </c>
      <c r="Z17" s="484" t="str">
        <f ca="1">IF($D17="N/A","N/A",'Setup - Facility Details'!$E$60*('Setup - Facility Details'!$H$60+'Setup - Facility Details'!$I$60)*IF(ISERROR(Y17),0,Y17)*$D17)</f>
        <v>N/A</v>
      </c>
      <c r="AA17" s="452">
        <f ca="1">IF($A17&gt;0,IF(AA$6=0,0,INDIRECT(ADDRESS(AA$6-1+CHOOSE($D$4,'Equipment Schedules'!$D$678,'Equipment Schedules'!$D$679,'Equipment Schedules'!$D$680,'Equipment Schedules'!$D$681,'Equipment Schedules'!$D$682,'Equipment Schedules'!$D$683,'Equipment Schedules'!$D$684,'Equipment Schedules'!$D$685,'Equipment Schedules'!$D$686),'Calculations - Fugitives'!$A17+1,,,"Equipment Schedules"))),0)</f>
        <v>0</v>
      </c>
      <c r="AB17" s="484" t="str">
        <f ca="1">IF($D17="N/A","N/A",'Setup - Facility Details'!$E$61*('Setup - Facility Details'!$H$61+'Setup - Facility Details'!$I$61)*IF(ISERROR(AA17),0,AA17)*$D17)</f>
        <v>N/A</v>
      </c>
      <c r="AC17" s="452">
        <f ca="1">IF($A17&gt;0,IF(AC$6=0,0,INDIRECT(ADDRESS(AC$6-1+CHOOSE($D$4,'Equipment Schedules'!$D$678,'Equipment Schedules'!$D$679,'Equipment Schedules'!$D$680,'Equipment Schedules'!$D$681,'Equipment Schedules'!$D$682,'Equipment Schedules'!$D$683,'Equipment Schedules'!$D$684,'Equipment Schedules'!$D$685,'Equipment Schedules'!$D$686),'Calculations - Fugitives'!$A17+1,,,"Equipment Schedules"))),0)</f>
        <v>0</v>
      </c>
      <c r="AD17" s="484" t="str">
        <f ca="1">IF($D17="N/A","N/A",'Setup - Facility Details'!$E$62*('Setup - Facility Details'!$H$62+'Setup - Facility Details'!$I$62)*IF(ISERROR(AC17),0,AC17)*$D17)</f>
        <v>N/A</v>
      </c>
      <c r="AE17" s="452">
        <f ca="1">IF($A17&gt;0,IF(AE$6=0,0,INDIRECT(ADDRESS(AE$6-1+CHOOSE($D$4,'Equipment Schedules'!$D$678,'Equipment Schedules'!$D$679,'Equipment Schedules'!$D$680,'Equipment Schedules'!$D$681,'Equipment Schedules'!$D$682,'Equipment Schedules'!$D$683,'Equipment Schedules'!$D$684,'Equipment Schedules'!$D$685,'Equipment Schedules'!$D$686),'Calculations - Fugitives'!$A17+1,,,"Equipment Schedules"))),0)</f>
        <v>0</v>
      </c>
      <c r="AF17" s="484" t="str">
        <f ca="1">IF($D17="N/A","N/A",'Setup - Facility Details'!$E$63*('Setup - Facility Details'!$H$63+'Setup - Facility Details'!$I$63)*IF(ISERROR(AE17),0,AE17)*$D17)</f>
        <v>N/A</v>
      </c>
      <c r="AG17" s="452">
        <f ca="1">IF($A17&gt;0,IF(AG$6=0,0,INDIRECT(ADDRESS(AG$6-1+CHOOSE($D$4,'Equipment Schedules'!$D$678,'Equipment Schedules'!$D$679,'Equipment Schedules'!$D$680,'Equipment Schedules'!$D$681,'Equipment Schedules'!$D$682,'Equipment Schedules'!$D$683,'Equipment Schedules'!$D$684,'Equipment Schedules'!$D$685,'Equipment Schedules'!$D$686),'Calculations - Fugitives'!$A17+1,,,"Equipment Schedules"))),0)</f>
        <v>0</v>
      </c>
      <c r="AH17" s="484" t="str">
        <f ca="1">IF($D17="N/A","N/A",'Setup - Facility Details'!$E$64*('Setup - Facility Details'!$H$64+'Setup - Facility Details'!$I$64)*IF(ISERROR(AG17),0,AG17)*$D17)</f>
        <v>N/A</v>
      </c>
      <c r="AI17" s="452">
        <f ca="1">IF($A17&gt;0,IF(AI$6=0,0,INDIRECT(ADDRESS(AI$6-1+CHOOSE($D$4,'Equipment Schedules'!$D$678,'Equipment Schedules'!$D$679,'Equipment Schedules'!$D$680,'Equipment Schedules'!$D$681,'Equipment Schedules'!$D$682,'Equipment Schedules'!$D$683,'Equipment Schedules'!$D$684,'Equipment Schedules'!$D$685,'Equipment Schedules'!$D$686),'Calculations - Fugitives'!$A17+1,,,"Equipment Schedules"))),0)</f>
        <v>0</v>
      </c>
      <c r="AJ17" s="484" t="str">
        <f ca="1">IF($D17="N/A","N/A",'Setup - Facility Details'!$E$65*('Setup - Facility Details'!$H$65+'Setup - Facility Details'!$I$65)*IF(ISERROR(AI17),0,AI17)*$D17)</f>
        <v>N/A</v>
      </c>
      <c r="AK17" s="452">
        <f ca="1">IF($A17&gt;0,IF(AK$6=0,0,INDIRECT(ADDRESS(AK$6-1+CHOOSE($D$4,'Equipment Schedules'!$D$678,'Equipment Schedules'!$D$679,'Equipment Schedules'!$D$680,'Equipment Schedules'!$D$681,'Equipment Schedules'!$D$682,'Equipment Schedules'!$D$683,'Equipment Schedules'!$D$684,'Equipment Schedules'!$D$685,'Equipment Schedules'!$D$686),'Calculations - Fugitives'!$A17+1,,,"Equipment Schedules"))),0)</f>
        <v>0</v>
      </c>
      <c r="AL17" s="484" t="str">
        <f ca="1">IF($D17="N/A","N/A",'Setup - Facility Details'!$E$66*('Setup - Facility Details'!$H$66+'Setup - Facility Details'!$I$66)*IF(ISERROR(AK17),0,AK17)*$D17)</f>
        <v>N/A</v>
      </c>
      <c r="AM17" s="452">
        <f ca="1">IF($A17&gt;0,IF(AM$6=0,0,INDIRECT(ADDRESS(AM$6-1+CHOOSE($D$4,'Equipment Schedules'!$D$678,'Equipment Schedules'!$D$679,'Equipment Schedules'!$D$680,'Equipment Schedules'!$D$681,'Equipment Schedules'!$D$682,'Equipment Schedules'!$D$683,'Equipment Schedules'!$D$684,'Equipment Schedules'!$D$685,'Equipment Schedules'!$D$686),'Calculations - Fugitives'!$A17+1,,,"Equipment Schedules"))),0)</f>
        <v>0</v>
      </c>
      <c r="AN17" s="484" t="str">
        <f ca="1">IF($D17="N/A","N/A",'Setup - Facility Details'!$E$67*('Setup - Facility Details'!$H$67+'Setup - Facility Details'!$I$67)*IF(ISERROR(AM17),0,AM17)*$D17)</f>
        <v>N/A</v>
      </c>
      <c r="AO17" s="452">
        <f ca="1">IF($A17&gt;0,IF(AO$6=0,0,INDIRECT(ADDRESS(AO$6-1+CHOOSE($D$4,'Equipment Schedules'!$D$678,'Equipment Schedules'!$D$679,'Equipment Schedules'!$D$680,'Equipment Schedules'!$D$681,'Equipment Schedules'!$D$682,'Equipment Schedules'!$D$683,'Equipment Schedules'!$D$684,'Equipment Schedules'!$D$685,'Equipment Schedules'!$D$686),'Calculations - Fugitives'!$A17+1,,,"Equipment Schedules"))),0)</f>
        <v>0</v>
      </c>
      <c r="AP17" s="484" t="str">
        <f ca="1">IF($D17="N/A","N/A",'Setup - Facility Details'!$E$68*('Setup - Facility Details'!$H$68+'Setup - Facility Details'!$I$68)*IF(ISERROR(AO17),0,AO17)*$D17)</f>
        <v>N/A</v>
      </c>
      <c r="AQ17" s="452">
        <f ca="1">IF($A17&gt;0,IF(AQ$6=0,0,INDIRECT(ADDRESS(AQ$6-1+CHOOSE($D$4,'Equipment Schedules'!$D$678,'Equipment Schedules'!$D$679,'Equipment Schedules'!$D$680,'Equipment Schedules'!$D$681,'Equipment Schedules'!$D$682,'Equipment Schedules'!$D$683,'Equipment Schedules'!$D$684,'Equipment Schedules'!$D$685,'Equipment Schedules'!$D$686),'Calculations - Fugitives'!$A17+1,,,"Equipment Schedules"))),0)</f>
        <v>0</v>
      </c>
      <c r="AR17" s="484" t="str">
        <f ca="1">IF($D17="N/A","N/A",'Setup - Facility Details'!$E$69*('Setup - Facility Details'!$H$69+'Setup - Facility Details'!$I$69)*IF(ISERROR(AQ17),0,AQ17)*$D17)</f>
        <v>N/A</v>
      </c>
      <c r="AS17" s="452">
        <f ca="1">IF($A17&gt;0,IF(AS$6=0,0,INDIRECT(ADDRESS(AS$6-1+CHOOSE($D$4,'Equipment Schedules'!$D$678,'Equipment Schedules'!$D$679,'Equipment Schedules'!$D$680,'Equipment Schedules'!$D$681,'Equipment Schedules'!$D$682,'Equipment Schedules'!$D$683,'Equipment Schedules'!$D$684,'Equipment Schedules'!$D$685,'Equipment Schedules'!$D$686),'Calculations - Fugitives'!$A17+1,,,"Equipment Schedules"))),0)</f>
        <v>0</v>
      </c>
      <c r="AT17" s="484" t="str">
        <f ca="1">IF($D17="N/A","N/A",'Setup - Facility Details'!$E$70*('Setup - Facility Details'!$H$70+'Setup - Facility Details'!$I$70)*IF(ISERROR(AS17),0,AS17)*$D17)</f>
        <v>N/A</v>
      </c>
    </row>
    <row r="18" spans="1:46" x14ac:dyDescent="0.3">
      <c r="A18" s="256">
        <f ca="1">IF($C$6=1,26,23)+$A$11</f>
        <v>24</v>
      </c>
      <c r="B18" s="48" t="str">
        <f ca="1">'Translation Table'!H544</f>
        <v>Pump Seals</v>
      </c>
      <c r="C18" s="48" t="str">
        <f ca="1">'Translation Table'!H545</f>
        <v>Light Liquid</v>
      </c>
      <c r="D18" s="485">
        <f ca="1">IF(OR($C$4=OffshoreOilProduction,$C$4=OffshoreGasProduction,$C$4=OnshoreGasProduction,$C$4=OnshoreOilProduction,$C$4=GasProcessing,$C$4=PetroleumRefining),'EFs - Equipment Leaks'!M13,IF(OR($C$4=GasTransmission,$C$4=GasStorage),'EFs - Equipment Leaks'!M55,IF($C$4=GasDistribution,'EFs - Equipment Leaks'!M97,"Error")))</f>
        <v>8.4140630733067732E-3</v>
      </c>
      <c r="E18" s="485" t="str">
        <f ca="1">IF($C$4=GasDistribution,'EFs - Equipment Leaks'!$M139,"      N/A ")</f>
        <v xml:space="preserve">      N/A </v>
      </c>
      <c r="F18" s="485" t="str">
        <f ca="1">IF($C$4=GasDistribution,'EFs - Equipment Leaks'!$M181,"      N/A ")</f>
        <v xml:space="preserve">      N/A </v>
      </c>
      <c r="G18" s="193">
        <f ca="1">IF($A18&gt;0,IF(G$6=0,0,INDIRECT(ADDRESS(G$6-1+CHOOSE($D$4,'Equipment Schedules'!$D$678,'Equipment Schedules'!$D$679,'Equipment Schedules'!$D$680,'Equipment Schedules'!$D$681,'Equipment Schedules'!$D$682,'Equipment Schedules'!$D$683,'Equipment Schedules'!$D$684,'Equipment Schedules'!$D$685,'Equipment Schedules'!$D$686),'Calculations - Fugitives'!$A18+1,,,"Equipment Schedules"))),0)</f>
        <v>0</v>
      </c>
      <c r="H18" s="486">
        <f ca="1">IF($D18="N/A","N/A",'Setup - Facility Details'!$E$51*('Setup - Facility Details'!$H$51+'Setup - Facility Details'!$I$51)*IF(ISERROR(G18),0,G18)*$D18)</f>
        <v>0</v>
      </c>
      <c r="I18" s="193">
        <f ca="1">IF($A18&gt;0,IF(I$6=0,0,INDIRECT(ADDRESS(I$6-1+CHOOSE($D$4,'Equipment Schedules'!$D$678,'Equipment Schedules'!$D$679,'Equipment Schedules'!$D$680,'Equipment Schedules'!$D$681,'Equipment Schedules'!$D$682,'Equipment Schedules'!$D$683,'Equipment Schedules'!$D$684,'Equipment Schedules'!$D$685,'Equipment Schedules'!$D$686),'Calculations - Fugitives'!$A18+1,,,"Equipment Schedules"))),0)</f>
        <v>0</v>
      </c>
      <c r="J18" s="486">
        <f ca="1">IF($D18="N/A","N/A",'Setup - Facility Details'!$E$52*('Setup - Facility Details'!$H$52+'Setup - Facility Details'!$I$52)*IF(ISERROR(I18),0,I18)*$D18)</f>
        <v>0</v>
      </c>
      <c r="K18" s="193">
        <f ca="1">IF($A18&gt;0,IF(K$6=0,0,INDIRECT(ADDRESS(K$6-1+CHOOSE($D$4,'Equipment Schedules'!$D$678,'Equipment Schedules'!$D$679,'Equipment Schedules'!$D$680,'Equipment Schedules'!$D$681,'Equipment Schedules'!$D$682,'Equipment Schedules'!$D$683,'Equipment Schedules'!$D$684,'Equipment Schedules'!$D$685,'Equipment Schedules'!$D$686),'Calculations - Fugitives'!$A18+1,,,"Equipment Schedules"))),0)</f>
        <v>0</v>
      </c>
      <c r="L18" s="486">
        <f ca="1">IF($D18="N/A","N/A",'Setup - Facility Details'!$E$53*('Setup - Facility Details'!$H$53+'Setup - Facility Details'!$I$53)*IF(ISERROR(K18),0,K18)*$D18)</f>
        <v>0</v>
      </c>
      <c r="M18" s="193">
        <f ca="1">IF($A18&gt;0,IF(M$6=0,0,INDIRECT(ADDRESS(M$6-1+CHOOSE($D$4,'Equipment Schedules'!$D$678,'Equipment Schedules'!$D$679,'Equipment Schedules'!$D$680,'Equipment Schedules'!$D$681,'Equipment Schedules'!$D$682,'Equipment Schedules'!$D$683,'Equipment Schedules'!$D$684,'Equipment Schedules'!$D$685,'Equipment Schedules'!$D$686),'Calculations - Fugitives'!$A18+1,,,"Equipment Schedules"))),0)</f>
        <v>0</v>
      </c>
      <c r="N18" s="486">
        <f ca="1">IF($D18="N/A","N/A",'Setup - Facility Details'!$E$54*('Setup - Facility Details'!$H$54+'Setup - Facility Details'!$I$54)*IF(ISERROR(M18),0,M18)*$D18)</f>
        <v>0</v>
      </c>
      <c r="O18" s="193">
        <f ca="1">IF($A18&gt;0,IF(O$6=0,0,INDIRECT(ADDRESS(O$6-1+CHOOSE($D$4,'Equipment Schedules'!$D$678,'Equipment Schedules'!$D$679,'Equipment Schedules'!$D$680,'Equipment Schedules'!$D$681,'Equipment Schedules'!$D$682,'Equipment Schedules'!$D$683,'Equipment Schedules'!$D$684,'Equipment Schedules'!$D$685,'Equipment Schedules'!$D$686),'Calculations - Fugitives'!$A18+1,,,"Equipment Schedules"))),0)</f>
        <v>0</v>
      </c>
      <c r="P18" s="486">
        <f ca="1">IF($D18="N/A","N/A",'Setup - Facility Details'!$E$55*('Setup - Facility Details'!$H$55+'Setup - Facility Details'!$I$55)*IF(ISERROR(O18),0,O18)*$D18)</f>
        <v>0</v>
      </c>
      <c r="Q18" s="193">
        <f ca="1">IF($A18&gt;0,IF(Q$6=0,0,INDIRECT(ADDRESS(Q$6-1+CHOOSE($D$4,'Equipment Schedules'!$D$678,'Equipment Schedules'!$D$679,'Equipment Schedules'!$D$680,'Equipment Schedules'!$D$681,'Equipment Schedules'!$D$682,'Equipment Schedules'!$D$683,'Equipment Schedules'!$D$684,'Equipment Schedules'!$D$685,'Equipment Schedules'!$D$686),'Calculations - Fugitives'!$A18+1,,,"Equipment Schedules"))),0)</f>
        <v>0</v>
      </c>
      <c r="R18" s="486">
        <f ca="1">IF($D18="N/A","N/A",'Setup - Facility Details'!$E$56*('Setup - Facility Details'!$H$56+'Setup - Facility Details'!$I$56)*IF(ISERROR(Q18),0,Q18)*$D18)</f>
        <v>0</v>
      </c>
      <c r="S18" s="193">
        <f ca="1">IF($A18&gt;0,IF(S$6=0,0,INDIRECT(ADDRESS(S$6-1+CHOOSE($D$4,'Equipment Schedules'!$D$678,'Equipment Schedules'!$D$679,'Equipment Schedules'!$D$680,'Equipment Schedules'!$D$681,'Equipment Schedules'!$D$682,'Equipment Schedules'!$D$683,'Equipment Schedules'!$D$684,'Equipment Schedules'!$D$685,'Equipment Schedules'!$D$686),'Calculations - Fugitives'!$A18+1,,,"Equipment Schedules"))),0)</f>
        <v>0</v>
      </c>
      <c r="T18" s="486">
        <f ca="1">IF($D18="N/A","N/A",'Setup - Facility Details'!$E$57*('Setup - Facility Details'!$H$57+'Setup - Facility Details'!$I$57)*IF(ISERROR(S18),0,S18)*$D18)</f>
        <v>0</v>
      </c>
      <c r="U18" s="193">
        <f ca="1">IF($A18&gt;0,IF(U$6=0,0,INDIRECT(ADDRESS(U$6-1+CHOOSE($D$4,'Equipment Schedules'!$D$678,'Equipment Schedules'!$D$679,'Equipment Schedules'!$D$680,'Equipment Schedules'!$D$681,'Equipment Schedules'!$D$682,'Equipment Schedules'!$D$683,'Equipment Schedules'!$D$684,'Equipment Schedules'!$D$685,'Equipment Schedules'!$D$686),'Calculations - Fugitives'!$A18+1,,,"Equipment Schedules"))),0)</f>
        <v>0</v>
      </c>
      <c r="V18" s="486">
        <f ca="1">IF($D18="N/A","N/A",'Setup - Facility Details'!$E$58*('Setup - Facility Details'!$H$58+'Setup - Facility Details'!$I$58)*IF(ISERROR(U18),0,U18)*$D18)</f>
        <v>0</v>
      </c>
      <c r="W18" s="193">
        <f ca="1">IF($A18&gt;0,IF(W$6=0,0,INDIRECT(ADDRESS(W$6-1+CHOOSE($D$4,'Equipment Schedules'!$D$678,'Equipment Schedules'!$D$679,'Equipment Schedules'!$D$680,'Equipment Schedules'!$D$681,'Equipment Schedules'!$D$682,'Equipment Schedules'!$D$683,'Equipment Schedules'!$D$684,'Equipment Schedules'!$D$685,'Equipment Schedules'!$D$686),'Calculations - Fugitives'!$A18+1,,,"Equipment Schedules"))),0)</f>
        <v>0</v>
      </c>
      <c r="X18" s="486">
        <f ca="1">IF($D18="N/A","N/A",'Setup - Facility Details'!$E$59*('Setup - Facility Details'!$H$59+'Setup - Facility Details'!$I$59)*IF(ISERROR(W18),0,W18)*$D18)</f>
        <v>0</v>
      </c>
      <c r="Y18" s="193">
        <f ca="1">IF($A18&gt;0,IF(Y$6=0,0,INDIRECT(ADDRESS(Y$6-1+CHOOSE($D$4,'Equipment Schedules'!$D$678,'Equipment Schedules'!$D$679,'Equipment Schedules'!$D$680,'Equipment Schedules'!$D$681,'Equipment Schedules'!$D$682,'Equipment Schedules'!$D$683,'Equipment Schedules'!$D$684,'Equipment Schedules'!$D$685,'Equipment Schedules'!$D$686),'Calculations - Fugitives'!$A18+1,,,"Equipment Schedules"))),0)</f>
        <v>0</v>
      </c>
      <c r="Z18" s="486">
        <f ca="1">IF($D18="N/A","N/A",'Setup - Facility Details'!$E$60*('Setup - Facility Details'!$H$60+'Setup - Facility Details'!$I$60)*IF(ISERROR(Y18),0,Y18)*$D18)</f>
        <v>0</v>
      </c>
      <c r="AA18" s="193">
        <f ca="1">IF($A18&gt;0,IF(AA$6=0,0,INDIRECT(ADDRESS(AA$6-1+CHOOSE($D$4,'Equipment Schedules'!$D$678,'Equipment Schedules'!$D$679,'Equipment Schedules'!$D$680,'Equipment Schedules'!$D$681,'Equipment Schedules'!$D$682,'Equipment Schedules'!$D$683,'Equipment Schedules'!$D$684,'Equipment Schedules'!$D$685,'Equipment Schedules'!$D$686),'Calculations - Fugitives'!$A18+1,,,"Equipment Schedules"))),0)</f>
        <v>0</v>
      </c>
      <c r="AB18" s="486">
        <f ca="1">IF($D18="N/A","N/A",'Setup - Facility Details'!$E$61*('Setup - Facility Details'!$H$61+'Setup - Facility Details'!$I$61)*IF(ISERROR(AA18),0,AA18)*$D18)</f>
        <v>0</v>
      </c>
      <c r="AC18" s="193">
        <f ca="1">IF($A18&gt;0,IF(AC$6=0,0,INDIRECT(ADDRESS(AC$6-1+CHOOSE($D$4,'Equipment Schedules'!$D$678,'Equipment Schedules'!$D$679,'Equipment Schedules'!$D$680,'Equipment Schedules'!$D$681,'Equipment Schedules'!$D$682,'Equipment Schedules'!$D$683,'Equipment Schedules'!$D$684,'Equipment Schedules'!$D$685,'Equipment Schedules'!$D$686),'Calculations - Fugitives'!$A18+1,,,"Equipment Schedules"))),0)</f>
        <v>0</v>
      </c>
      <c r="AD18" s="486">
        <f ca="1">IF($D18="N/A","N/A",'Setup - Facility Details'!$E$62*('Setup - Facility Details'!$H$62+'Setup - Facility Details'!$I$62)*IF(ISERROR(AC18),0,AC18)*$D18)</f>
        <v>0</v>
      </c>
      <c r="AE18" s="193">
        <f ca="1">IF($A18&gt;0,IF(AE$6=0,0,INDIRECT(ADDRESS(AE$6-1+CHOOSE($D$4,'Equipment Schedules'!$D$678,'Equipment Schedules'!$D$679,'Equipment Schedules'!$D$680,'Equipment Schedules'!$D$681,'Equipment Schedules'!$D$682,'Equipment Schedules'!$D$683,'Equipment Schedules'!$D$684,'Equipment Schedules'!$D$685,'Equipment Schedules'!$D$686),'Calculations - Fugitives'!$A18+1,,,"Equipment Schedules"))),0)</f>
        <v>0</v>
      </c>
      <c r="AF18" s="486">
        <f ca="1">IF($D18="N/A","N/A",'Setup - Facility Details'!$E$63*('Setup - Facility Details'!$H$63+'Setup - Facility Details'!$I$63)*IF(ISERROR(AE18),0,AE18)*$D18)</f>
        <v>0</v>
      </c>
      <c r="AG18" s="193">
        <f ca="1">IF($A18&gt;0,IF(AG$6=0,0,INDIRECT(ADDRESS(AG$6-1+CHOOSE($D$4,'Equipment Schedules'!$D$678,'Equipment Schedules'!$D$679,'Equipment Schedules'!$D$680,'Equipment Schedules'!$D$681,'Equipment Schedules'!$D$682,'Equipment Schedules'!$D$683,'Equipment Schedules'!$D$684,'Equipment Schedules'!$D$685,'Equipment Schedules'!$D$686),'Calculations - Fugitives'!$A18+1,,,"Equipment Schedules"))),0)</f>
        <v>0</v>
      </c>
      <c r="AH18" s="486">
        <f ca="1">IF($D18="N/A","N/A",'Setup - Facility Details'!$E$64*('Setup - Facility Details'!$H$64+'Setup - Facility Details'!$I$64)*IF(ISERROR(AG18),0,AG18)*$D18)</f>
        <v>0</v>
      </c>
      <c r="AI18" s="193">
        <f ca="1">IF($A18&gt;0,IF(AI$6=0,0,INDIRECT(ADDRESS(AI$6-1+CHOOSE($D$4,'Equipment Schedules'!$D$678,'Equipment Schedules'!$D$679,'Equipment Schedules'!$D$680,'Equipment Schedules'!$D$681,'Equipment Schedules'!$D$682,'Equipment Schedules'!$D$683,'Equipment Schedules'!$D$684,'Equipment Schedules'!$D$685,'Equipment Schedules'!$D$686),'Calculations - Fugitives'!$A18+1,,,"Equipment Schedules"))),0)</f>
        <v>0</v>
      </c>
      <c r="AJ18" s="486">
        <f ca="1">IF($D18="N/A","N/A",'Setup - Facility Details'!$E$65*('Setup - Facility Details'!$H$65+'Setup - Facility Details'!$I$65)*IF(ISERROR(AI18),0,AI18)*$D18)</f>
        <v>0</v>
      </c>
      <c r="AK18" s="193">
        <f ca="1">IF($A18&gt;0,IF(AK$6=0,0,INDIRECT(ADDRESS(AK$6-1+CHOOSE($D$4,'Equipment Schedules'!$D$678,'Equipment Schedules'!$D$679,'Equipment Schedules'!$D$680,'Equipment Schedules'!$D$681,'Equipment Schedules'!$D$682,'Equipment Schedules'!$D$683,'Equipment Schedules'!$D$684,'Equipment Schedules'!$D$685,'Equipment Schedules'!$D$686),'Calculations - Fugitives'!$A18+1,,,"Equipment Schedules"))),0)</f>
        <v>0</v>
      </c>
      <c r="AL18" s="486">
        <f ca="1">IF($D18="N/A","N/A",'Setup - Facility Details'!$E$66*('Setup - Facility Details'!$H$66+'Setup - Facility Details'!$I$66)*IF(ISERROR(AK18),0,AK18)*$D18)</f>
        <v>0</v>
      </c>
      <c r="AM18" s="193">
        <f ca="1">IF($A18&gt;0,IF(AM$6=0,0,INDIRECT(ADDRESS(AM$6-1+CHOOSE($D$4,'Equipment Schedules'!$D$678,'Equipment Schedules'!$D$679,'Equipment Schedules'!$D$680,'Equipment Schedules'!$D$681,'Equipment Schedules'!$D$682,'Equipment Schedules'!$D$683,'Equipment Schedules'!$D$684,'Equipment Schedules'!$D$685,'Equipment Schedules'!$D$686),'Calculations - Fugitives'!$A18+1,,,"Equipment Schedules"))),0)</f>
        <v>0</v>
      </c>
      <c r="AN18" s="486">
        <f ca="1">IF($D18="N/A","N/A",'Setup - Facility Details'!$E$67*('Setup - Facility Details'!$H$67+'Setup - Facility Details'!$I$67)*IF(ISERROR(AM18),0,AM18)*$D18)</f>
        <v>0</v>
      </c>
      <c r="AO18" s="193">
        <f ca="1">IF($A18&gt;0,IF(AO$6=0,0,INDIRECT(ADDRESS(AO$6-1+CHOOSE($D$4,'Equipment Schedules'!$D$678,'Equipment Schedules'!$D$679,'Equipment Schedules'!$D$680,'Equipment Schedules'!$D$681,'Equipment Schedules'!$D$682,'Equipment Schedules'!$D$683,'Equipment Schedules'!$D$684,'Equipment Schedules'!$D$685,'Equipment Schedules'!$D$686),'Calculations - Fugitives'!$A18+1,,,"Equipment Schedules"))),0)</f>
        <v>0</v>
      </c>
      <c r="AP18" s="486">
        <f ca="1">IF($D18="N/A","N/A",'Setup - Facility Details'!$E$68*('Setup - Facility Details'!$H$68+'Setup - Facility Details'!$I$68)*IF(ISERROR(AO18),0,AO18)*$D18)</f>
        <v>0</v>
      </c>
      <c r="AQ18" s="193">
        <f ca="1">IF($A18&gt;0,IF(AQ$6=0,0,INDIRECT(ADDRESS(AQ$6-1+CHOOSE($D$4,'Equipment Schedules'!$D$678,'Equipment Schedules'!$D$679,'Equipment Schedules'!$D$680,'Equipment Schedules'!$D$681,'Equipment Schedules'!$D$682,'Equipment Schedules'!$D$683,'Equipment Schedules'!$D$684,'Equipment Schedules'!$D$685,'Equipment Schedules'!$D$686),'Calculations - Fugitives'!$A18+1,,,"Equipment Schedules"))),0)</f>
        <v>0</v>
      </c>
      <c r="AR18" s="486">
        <f ca="1">IF($D18="N/A","N/A",'Setup - Facility Details'!$E$69*('Setup - Facility Details'!$H$69+'Setup - Facility Details'!$I$69)*IF(ISERROR(AQ18),0,AQ18)*$D18)</f>
        <v>0</v>
      </c>
      <c r="AS18" s="193">
        <f ca="1">IF($A18&gt;0,IF(AS$6=0,0,INDIRECT(ADDRESS(AS$6-1+CHOOSE($D$4,'Equipment Schedules'!$D$678,'Equipment Schedules'!$D$679,'Equipment Schedules'!$D$680,'Equipment Schedules'!$D$681,'Equipment Schedules'!$D$682,'Equipment Schedules'!$D$683,'Equipment Schedules'!$D$684,'Equipment Schedules'!$D$685,'Equipment Schedules'!$D$686),'Calculations - Fugitives'!$A18+1,,,"Equipment Schedules"))),0)</f>
        <v>0</v>
      </c>
      <c r="AT18" s="486">
        <f ca="1">IF($D18="N/A","N/A",'Setup - Facility Details'!$E$70*('Setup - Facility Details'!$H$70+'Setup - Facility Details'!$I$70)*IF(ISERROR(AS18),0,AS18)*$D18)</f>
        <v>0</v>
      </c>
    </row>
    <row r="19" spans="1:46" x14ac:dyDescent="0.3">
      <c r="A19" s="256">
        <f ca="1">IF($C$6=0,26,23)+$A$11</f>
        <v>27</v>
      </c>
      <c r="B19" s="81" t="str">
        <f ca="1">'Translation Table'!H546</f>
        <v>Pump Seals</v>
      </c>
      <c r="C19" s="81" t="str">
        <f ca="1">'Translation Table'!H547</f>
        <v>Heavy Liquid</v>
      </c>
      <c r="D19" s="483">
        <f ca="1">IF(OR($C$4=OffshoreOilProduction,$C$4=OffshoreGasProduction,$C$4=OnshoreGasProduction,$C$4=OnshoreOilProduction,$C$4=GasProcessing,$C$4=PetroleumRefining),'EFs - Equipment Leaks'!M14,IF(OR($C$4=GasTransmission,$C$4=GasStorage),'EFs - Equipment Leaks'!M56,IF($C$4=GasDistribution,'EFs - Equipment Leaks'!M98,"Error")))</f>
        <v>7.766827452283177E-5</v>
      </c>
      <c r="E19" s="483" t="str">
        <f ca="1">IF($C$4=GasDistribution,'EFs - Equipment Leaks'!$M140,"      N/A ")</f>
        <v xml:space="preserve">      N/A </v>
      </c>
      <c r="F19" s="483" t="str">
        <f ca="1">IF($C$4=GasDistribution,'EFs - Equipment Leaks'!$M182,"      N/A ")</f>
        <v xml:space="preserve">      N/A </v>
      </c>
      <c r="G19" s="452">
        <f ca="1">IF($A19&gt;0,IF(G$6=0,0,INDIRECT(ADDRESS(G$6-1+CHOOSE($D$4,'Equipment Schedules'!$D$678,'Equipment Schedules'!$D$679,'Equipment Schedules'!$D$680,'Equipment Schedules'!$D$681,'Equipment Schedules'!$D$682,'Equipment Schedules'!$D$683,'Equipment Schedules'!$D$684,'Equipment Schedules'!$D$685,'Equipment Schedules'!$D$686),'Calculations - Fugitives'!$A19+1,,,"Equipment Schedules"))),0)</f>
        <v>0</v>
      </c>
      <c r="H19" s="484">
        <f ca="1">IF($D19="N/A","N/A",'Setup - Facility Details'!$E$51*('Setup - Facility Details'!$H$51+'Setup - Facility Details'!$I$51)*IF(ISERROR(G19),0,G19)*$D19)</f>
        <v>0</v>
      </c>
      <c r="I19" s="452">
        <f ca="1">IF($A19&gt;0,IF(I$6=0,0,INDIRECT(ADDRESS(I$6-1+CHOOSE($D$4,'Equipment Schedules'!$D$678,'Equipment Schedules'!$D$679,'Equipment Schedules'!$D$680,'Equipment Schedules'!$D$681,'Equipment Schedules'!$D$682,'Equipment Schedules'!$D$683,'Equipment Schedules'!$D$684,'Equipment Schedules'!$D$685,'Equipment Schedules'!$D$686),'Calculations - Fugitives'!$A19+1,,,"Equipment Schedules"))),0)</f>
        <v>0</v>
      </c>
      <c r="J19" s="484">
        <f ca="1">IF($D19="N/A","N/A",'Setup - Facility Details'!$E$52*('Setup - Facility Details'!$H$52+'Setup - Facility Details'!$I$52)*IF(ISERROR(I19),0,I19)*$D19)</f>
        <v>0</v>
      </c>
      <c r="K19" s="452">
        <f ca="1">IF($A19&gt;0,IF(K$6=0,0,INDIRECT(ADDRESS(K$6-1+CHOOSE($D$4,'Equipment Schedules'!$D$678,'Equipment Schedules'!$D$679,'Equipment Schedules'!$D$680,'Equipment Schedules'!$D$681,'Equipment Schedules'!$D$682,'Equipment Schedules'!$D$683,'Equipment Schedules'!$D$684,'Equipment Schedules'!$D$685,'Equipment Schedules'!$D$686),'Calculations - Fugitives'!$A19+1,,,"Equipment Schedules"))),0)</f>
        <v>0</v>
      </c>
      <c r="L19" s="484">
        <f ca="1">IF($D19="N/A","N/A",'Setup - Facility Details'!$E$53*('Setup - Facility Details'!$H$53+'Setup - Facility Details'!$I$53)*IF(ISERROR(K19),0,K19)*$D19)</f>
        <v>0</v>
      </c>
      <c r="M19" s="452">
        <f ca="1">IF($A19&gt;0,IF(M$6=0,0,INDIRECT(ADDRESS(M$6-1+CHOOSE($D$4,'Equipment Schedules'!$D$678,'Equipment Schedules'!$D$679,'Equipment Schedules'!$D$680,'Equipment Schedules'!$D$681,'Equipment Schedules'!$D$682,'Equipment Schedules'!$D$683,'Equipment Schedules'!$D$684,'Equipment Schedules'!$D$685,'Equipment Schedules'!$D$686),'Calculations - Fugitives'!$A19+1,,,"Equipment Schedules"))),0)</f>
        <v>0</v>
      </c>
      <c r="N19" s="484">
        <f ca="1">IF($D19="N/A","N/A",'Setup - Facility Details'!$E$54*('Setup - Facility Details'!$H$54+'Setup - Facility Details'!$I$54)*IF(ISERROR(M19),0,M19)*$D19)</f>
        <v>0</v>
      </c>
      <c r="O19" s="452">
        <f ca="1">IF($A19&gt;0,IF(O$6=0,0,INDIRECT(ADDRESS(O$6-1+CHOOSE($D$4,'Equipment Schedules'!$D$678,'Equipment Schedules'!$D$679,'Equipment Schedules'!$D$680,'Equipment Schedules'!$D$681,'Equipment Schedules'!$D$682,'Equipment Schedules'!$D$683,'Equipment Schedules'!$D$684,'Equipment Schedules'!$D$685,'Equipment Schedules'!$D$686),'Calculations - Fugitives'!$A19+1,,,"Equipment Schedules"))),0)</f>
        <v>0</v>
      </c>
      <c r="P19" s="484">
        <f ca="1">IF($D19="N/A","N/A",'Setup - Facility Details'!$E$55*('Setup - Facility Details'!$H$55+'Setup - Facility Details'!$I$55)*IF(ISERROR(O19),0,O19)*$D19)</f>
        <v>0</v>
      </c>
      <c r="Q19" s="452">
        <f ca="1">IF($A19&gt;0,IF(Q$6=0,0,INDIRECT(ADDRESS(Q$6-1+CHOOSE($D$4,'Equipment Schedules'!$D$678,'Equipment Schedules'!$D$679,'Equipment Schedules'!$D$680,'Equipment Schedules'!$D$681,'Equipment Schedules'!$D$682,'Equipment Schedules'!$D$683,'Equipment Schedules'!$D$684,'Equipment Schedules'!$D$685,'Equipment Schedules'!$D$686),'Calculations - Fugitives'!$A19+1,,,"Equipment Schedules"))),0)</f>
        <v>0</v>
      </c>
      <c r="R19" s="484">
        <f ca="1">IF($D19="N/A","N/A",'Setup - Facility Details'!$E$56*('Setup - Facility Details'!$H$56+'Setup - Facility Details'!$I$56)*IF(ISERROR(Q19),0,Q19)*$D19)</f>
        <v>0</v>
      </c>
      <c r="S19" s="452">
        <f ca="1">IF($A19&gt;0,IF(S$6=0,0,INDIRECT(ADDRESS(S$6-1+CHOOSE($D$4,'Equipment Schedules'!$D$678,'Equipment Schedules'!$D$679,'Equipment Schedules'!$D$680,'Equipment Schedules'!$D$681,'Equipment Schedules'!$D$682,'Equipment Schedules'!$D$683,'Equipment Schedules'!$D$684,'Equipment Schedules'!$D$685,'Equipment Schedules'!$D$686),'Calculations - Fugitives'!$A19+1,,,"Equipment Schedules"))),0)</f>
        <v>0</v>
      </c>
      <c r="T19" s="484">
        <f ca="1">IF($D19="N/A","N/A",'Setup - Facility Details'!$E$57*('Setup - Facility Details'!$H$57+'Setup - Facility Details'!$I$57)*IF(ISERROR(S19),0,S19)*$D19)</f>
        <v>0</v>
      </c>
      <c r="U19" s="452">
        <f ca="1">IF($A19&gt;0,IF(U$6=0,0,INDIRECT(ADDRESS(U$6-1+CHOOSE($D$4,'Equipment Schedules'!$D$678,'Equipment Schedules'!$D$679,'Equipment Schedules'!$D$680,'Equipment Schedules'!$D$681,'Equipment Schedules'!$D$682,'Equipment Schedules'!$D$683,'Equipment Schedules'!$D$684,'Equipment Schedules'!$D$685,'Equipment Schedules'!$D$686),'Calculations - Fugitives'!$A19+1,,,"Equipment Schedules"))),0)</f>
        <v>0</v>
      </c>
      <c r="V19" s="484">
        <f ca="1">IF($D19="N/A","N/A",'Setup - Facility Details'!$E$58*('Setup - Facility Details'!$H$58+'Setup - Facility Details'!$I$58)*IF(ISERROR(U19),0,U19)*$D19)</f>
        <v>0</v>
      </c>
      <c r="W19" s="452">
        <f ca="1">IF($A19&gt;0,IF(W$6=0,0,INDIRECT(ADDRESS(W$6-1+CHOOSE($D$4,'Equipment Schedules'!$D$678,'Equipment Schedules'!$D$679,'Equipment Schedules'!$D$680,'Equipment Schedules'!$D$681,'Equipment Schedules'!$D$682,'Equipment Schedules'!$D$683,'Equipment Schedules'!$D$684,'Equipment Schedules'!$D$685,'Equipment Schedules'!$D$686),'Calculations - Fugitives'!$A19+1,,,"Equipment Schedules"))),0)</f>
        <v>0</v>
      </c>
      <c r="X19" s="484">
        <f ca="1">IF($D19="N/A","N/A",'Setup - Facility Details'!$E$59*('Setup - Facility Details'!$H$59+'Setup - Facility Details'!$I$59)*IF(ISERROR(W19),0,W19)*$D19)</f>
        <v>0</v>
      </c>
      <c r="Y19" s="452">
        <f ca="1">IF($A19&gt;0,IF(Y$6=0,0,INDIRECT(ADDRESS(Y$6-1+CHOOSE($D$4,'Equipment Schedules'!$D$678,'Equipment Schedules'!$D$679,'Equipment Schedules'!$D$680,'Equipment Schedules'!$D$681,'Equipment Schedules'!$D$682,'Equipment Schedules'!$D$683,'Equipment Schedules'!$D$684,'Equipment Schedules'!$D$685,'Equipment Schedules'!$D$686),'Calculations - Fugitives'!$A19+1,,,"Equipment Schedules"))),0)</f>
        <v>0</v>
      </c>
      <c r="Z19" s="484">
        <f ca="1">IF($D19="N/A","N/A",'Setup - Facility Details'!$E$60*('Setup - Facility Details'!$H$60+'Setup - Facility Details'!$I$60)*IF(ISERROR(Y19),0,Y19)*$D19)</f>
        <v>0</v>
      </c>
      <c r="AA19" s="452">
        <f ca="1">IF($A19&gt;0,IF(AA$6=0,0,INDIRECT(ADDRESS(AA$6-1+CHOOSE($D$4,'Equipment Schedules'!$D$678,'Equipment Schedules'!$D$679,'Equipment Schedules'!$D$680,'Equipment Schedules'!$D$681,'Equipment Schedules'!$D$682,'Equipment Schedules'!$D$683,'Equipment Schedules'!$D$684,'Equipment Schedules'!$D$685,'Equipment Schedules'!$D$686),'Calculations - Fugitives'!$A19+1,,,"Equipment Schedules"))),0)</f>
        <v>0</v>
      </c>
      <c r="AB19" s="484">
        <f ca="1">IF($D19="N/A","N/A",'Setup - Facility Details'!$E$61*('Setup - Facility Details'!$H$61+'Setup - Facility Details'!$I$61)*IF(ISERROR(AA19),0,AA19)*$D19)</f>
        <v>0</v>
      </c>
      <c r="AC19" s="452">
        <f ca="1">IF($A19&gt;0,IF(AC$6=0,0,INDIRECT(ADDRESS(AC$6-1+CHOOSE($D$4,'Equipment Schedules'!$D$678,'Equipment Schedules'!$D$679,'Equipment Schedules'!$D$680,'Equipment Schedules'!$D$681,'Equipment Schedules'!$D$682,'Equipment Schedules'!$D$683,'Equipment Schedules'!$D$684,'Equipment Schedules'!$D$685,'Equipment Schedules'!$D$686),'Calculations - Fugitives'!$A19+1,,,"Equipment Schedules"))),0)</f>
        <v>0</v>
      </c>
      <c r="AD19" s="484">
        <f ca="1">IF($D19="N/A","N/A",'Setup - Facility Details'!$E$62*('Setup - Facility Details'!$H$62+'Setup - Facility Details'!$I$62)*IF(ISERROR(AC19),0,AC19)*$D19)</f>
        <v>0</v>
      </c>
      <c r="AE19" s="452">
        <f ca="1">IF($A19&gt;0,IF(AE$6=0,0,INDIRECT(ADDRESS(AE$6-1+CHOOSE($D$4,'Equipment Schedules'!$D$678,'Equipment Schedules'!$D$679,'Equipment Schedules'!$D$680,'Equipment Schedules'!$D$681,'Equipment Schedules'!$D$682,'Equipment Schedules'!$D$683,'Equipment Schedules'!$D$684,'Equipment Schedules'!$D$685,'Equipment Schedules'!$D$686),'Calculations - Fugitives'!$A19+1,,,"Equipment Schedules"))),0)</f>
        <v>0</v>
      </c>
      <c r="AF19" s="484">
        <f ca="1">IF($D19="N/A","N/A",'Setup - Facility Details'!$E$63*('Setup - Facility Details'!$H$63+'Setup - Facility Details'!$I$63)*IF(ISERROR(AE19),0,AE19)*$D19)</f>
        <v>0</v>
      </c>
      <c r="AG19" s="452">
        <f ca="1">IF($A19&gt;0,IF(AG$6=0,0,INDIRECT(ADDRESS(AG$6-1+CHOOSE($D$4,'Equipment Schedules'!$D$678,'Equipment Schedules'!$D$679,'Equipment Schedules'!$D$680,'Equipment Schedules'!$D$681,'Equipment Schedules'!$D$682,'Equipment Schedules'!$D$683,'Equipment Schedules'!$D$684,'Equipment Schedules'!$D$685,'Equipment Schedules'!$D$686),'Calculations - Fugitives'!$A19+1,,,"Equipment Schedules"))),0)</f>
        <v>0</v>
      </c>
      <c r="AH19" s="484">
        <f ca="1">IF($D19="N/A","N/A",'Setup - Facility Details'!$E$64*('Setup - Facility Details'!$H$64+'Setup - Facility Details'!$I$64)*IF(ISERROR(AG19),0,AG19)*$D19)</f>
        <v>0</v>
      </c>
      <c r="AI19" s="452">
        <f ca="1">IF($A19&gt;0,IF(AI$6=0,0,INDIRECT(ADDRESS(AI$6-1+CHOOSE($D$4,'Equipment Schedules'!$D$678,'Equipment Schedules'!$D$679,'Equipment Schedules'!$D$680,'Equipment Schedules'!$D$681,'Equipment Schedules'!$D$682,'Equipment Schedules'!$D$683,'Equipment Schedules'!$D$684,'Equipment Schedules'!$D$685,'Equipment Schedules'!$D$686),'Calculations - Fugitives'!$A19+1,,,"Equipment Schedules"))),0)</f>
        <v>0</v>
      </c>
      <c r="AJ19" s="484">
        <f ca="1">IF($D19="N/A","N/A",'Setup - Facility Details'!$E$65*('Setup - Facility Details'!$H$65+'Setup - Facility Details'!$I$65)*IF(ISERROR(AI19),0,AI19)*$D19)</f>
        <v>0</v>
      </c>
      <c r="AK19" s="452">
        <f ca="1">IF($A19&gt;0,IF(AK$6=0,0,INDIRECT(ADDRESS(AK$6-1+CHOOSE($D$4,'Equipment Schedules'!$D$678,'Equipment Schedules'!$D$679,'Equipment Schedules'!$D$680,'Equipment Schedules'!$D$681,'Equipment Schedules'!$D$682,'Equipment Schedules'!$D$683,'Equipment Schedules'!$D$684,'Equipment Schedules'!$D$685,'Equipment Schedules'!$D$686),'Calculations - Fugitives'!$A19+1,,,"Equipment Schedules"))),0)</f>
        <v>0</v>
      </c>
      <c r="AL19" s="484">
        <f ca="1">IF($D19="N/A","N/A",'Setup - Facility Details'!$E$66*('Setup - Facility Details'!$H$66+'Setup - Facility Details'!$I$66)*IF(ISERROR(AK19),0,AK19)*$D19)</f>
        <v>0</v>
      </c>
      <c r="AM19" s="452">
        <f ca="1">IF($A19&gt;0,IF(AM$6=0,0,INDIRECT(ADDRESS(AM$6-1+CHOOSE($D$4,'Equipment Schedules'!$D$678,'Equipment Schedules'!$D$679,'Equipment Schedules'!$D$680,'Equipment Schedules'!$D$681,'Equipment Schedules'!$D$682,'Equipment Schedules'!$D$683,'Equipment Schedules'!$D$684,'Equipment Schedules'!$D$685,'Equipment Schedules'!$D$686),'Calculations - Fugitives'!$A19+1,,,"Equipment Schedules"))),0)</f>
        <v>0</v>
      </c>
      <c r="AN19" s="484">
        <f ca="1">IF($D19="N/A","N/A",'Setup - Facility Details'!$E$67*('Setup - Facility Details'!$H$67+'Setup - Facility Details'!$I$67)*IF(ISERROR(AM19),0,AM19)*$D19)</f>
        <v>0</v>
      </c>
      <c r="AO19" s="452">
        <f ca="1">IF($A19&gt;0,IF(AO$6=0,0,INDIRECT(ADDRESS(AO$6-1+CHOOSE($D$4,'Equipment Schedules'!$D$678,'Equipment Schedules'!$D$679,'Equipment Schedules'!$D$680,'Equipment Schedules'!$D$681,'Equipment Schedules'!$D$682,'Equipment Schedules'!$D$683,'Equipment Schedules'!$D$684,'Equipment Schedules'!$D$685,'Equipment Schedules'!$D$686),'Calculations - Fugitives'!$A19+1,,,"Equipment Schedules"))),0)</f>
        <v>0</v>
      </c>
      <c r="AP19" s="484">
        <f ca="1">IF($D19="N/A","N/A",'Setup - Facility Details'!$E$68*('Setup - Facility Details'!$H$68+'Setup - Facility Details'!$I$68)*IF(ISERROR(AO19),0,AO19)*$D19)</f>
        <v>0</v>
      </c>
      <c r="AQ19" s="452">
        <f ca="1">IF($A19&gt;0,IF(AQ$6=0,0,INDIRECT(ADDRESS(AQ$6-1+CHOOSE($D$4,'Equipment Schedules'!$D$678,'Equipment Schedules'!$D$679,'Equipment Schedules'!$D$680,'Equipment Schedules'!$D$681,'Equipment Schedules'!$D$682,'Equipment Schedules'!$D$683,'Equipment Schedules'!$D$684,'Equipment Schedules'!$D$685,'Equipment Schedules'!$D$686),'Calculations - Fugitives'!$A19+1,,,"Equipment Schedules"))),0)</f>
        <v>0</v>
      </c>
      <c r="AR19" s="484">
        <f ca="1">IF($D19="N/A","N/A",'Setup - Facility Details'!$E$69*('Setup - Facility Details'!$H$69+'Setup - Facility Details'!$I$69)*IF(ISERROR(AQ19),0,AQ19)*$D19)</f>
        <v>0</v>
      </c>
      <c r="AS19" s="452">
        <f ca="1">IF($A19&gt;0,IF(AS$6=0,0,INDIRECT(ADDRESS(AS$6-1+CHOOSE($D$4,'Equipment Schedules'!$D$678,'Equipment Schedules'!$D$679,'Equipment Schedules'!$D$680,'Equipment Schedules'!$D$681,'Equipment Schedules'!$D$682,'Equipment Schedules'!$D$683,'Equipment Schedules'!$D$684,'Equipment Schedules'!$D$685,'Equipment Schedules'!$D$686),'Calculations - Fugitives'!$A19+1,,,"Equipment Schedules"))),0)</f>
        <v>0</v>
      </c>
      <c r="AT19" s="484">
        <f ca="1">IF($D19="N/A","N/A",'Setup - Facility Details'!$E$70*('Setup - Facility Details'!$H$70+'Setup - Facility Details'!$I$70)*IF(ISERROR(AS19),0,AS19)*$D19)</f>
        <v>0</v>
      </c>
    </row>
    <row r="20" spans="1:46" x14ac:dyDescent="0.3">
      <c r="A20" s="256">
        <f>14+$A$11</f>
        <v>15</v>
      </c>
      <c r="B20" s="48" t="str">
        <f ca="1">'Translation Table'!H548</f>
        <v>Compressor Seals (Reciprocating - Operating)</v>
      </c>
      <c r="C20" s="48" t="str">
        <f ca="1">'Translation Table'!H549</f>
        <v>Gas</v>
      </c>
      <c r="D20" s="485">
        <f ca="1">IF(OR($C$4=OffshoreOilProduction,$C$4=OffshoreGasProduction,$C$4=OnshoreGasProduction,$C$4=OnshoreOilProduction,$C$4=GasProcessing,$C$4=PetroleumRefining),'EFs - Equipment Leaks'!M15,IF(OR($C$4=GasTransmission,$C$4=GasStorage),'EFs - Equipment Leaks'!M57,IF($C$4=GasDistribution,'EFs - Equipment Leaks'!M99,"Error")))</f>
        <v>9.7191871087976642E-3</v>
      </c>
      <c r="E20" s="485" t="str">
        <f ca="1">IF($C$4=GasDistribution,'EFs - Equipment Leaks'!$M141,"      N/A ")</f>
        <v xml:space="preserve">      N/A </v>
      </c>
      <c r="F20" s="485" t="str">
        <f ca="1">IF($C$4=GasDistribution,'EFs - Equipment Leaks'!$M183,"      N/A ")</f>
        <v xml:space="preserve">      N/A </v>
      </c>
      <c r="G20" s="193">
        <f ca="1">IF($A20&gt;0,IF(G$6=0,0,INDIRECT(ADDRESS(G$6-1+CHOOSE($D$4,'Equipment Schedules'!$D$678,'Equipment Schedules'!$D$679,'Equipment Schedules'!$D$680,'Equipment Schedules'!$D$681,'Equipment Schedules'!$D$682,'Equipment Schedules'!$D$683,'Equipment Schedules'!$D$684,'Equipment Schedules'!$D$685,'Equipment Schedules'!$D$686),'Calculations - Fugitives'!$A20+1,,,"Equipment Schedules"))),0)</f>
        <v>0</v>
      </c>
      <c r="H20" s="486">
        <f ca="1">IF($D20="N/A","N/A",'Setup - Facility Details'!$E$51*('Setup - Facility Details'!$H$51+'Setup - Facility Details'!$I$51)*IF(ISERROR(G20),0,G20)*$D20)</f>
        <v>0</v>
      </c>
      <c r="I20" s="193">
        <f ca="1">IF($A20&gt;0,IF(I$6=0,0,INDIRECT(ADDRESS(I$6-1+CHOOSE($D$4,'Equipment Schedules'!$D$678,'Equipment Schedules'!$D$679,'Equipment Schedules'!$D$680,'Equipment Schedules'!$D$681,'Equipment Schedules'!$D$682,'Equipment Schedules'!$D$683,'Equipment Schedules'!$D$684,'Equipment Schedules'!$D$685,'Equipment Schedules'!$D$686),'Calculations - Fugitives'!$A20+1,,,"Equipment Schedules"))),0)</f>
        <v>0</v>
      </c>
      <c r="J20" s="486">
        <f ca="1">IF($D20="N/A","N/A",'Setup - Facility Details'!$E$52*('Setup - Facility Details'!$H$52+'Setup - Facility Details'!$I$52)*IF(ISERROR(I20),0,I20)*$D20)</f>
        <v>0</v>
      </c>
      <c r="K20" s="193">
        <f ca="1">IF($A20&gt;0,IF(K$6=0,0,INDIRECT(ADDRESS(K$6-1+CHOOSE($D$4,'Equipment Schedules'!$D$678,'Equipment Schedules'!$D$679,'Equipment Schedules'!$D$680,'Equipment Schedules'!$D$681,'Equipment Schedules'!$D$682,'Equipment Schedules'!$D$683,'Equipment Schedules'!$D$684,'Equipment Schedules'!$D$685,'Equipment Schedules'!$D$686),'Calculations - Fugitives'!$A20+1,,,"Equipment Schedules"))),0)</f>
        <v>0</v>
      </c>
      <c r="L20" s="486">
        <f ca="1">IF($D20="N/A","N/A",'Setup - Facility Details'!$E$53*('Setup - Facility Details'!$H$53+'Setup - Facility Details'!$I$53)*IF(ISERROR(K20),0,K20)*$D20)</f>
        <v>0</v>
      </c>
      <c r="M20" s="193">
        <f ca="1">IF($A20&gt;0,IF(M$6=0,0,INDIRECT(ADDRESS(M$6-1+CHOOSE($D$4,'Equipment Schedules'!$D$678,'Equipment Schedules'!$D$679,'Equipment Schedules'!$D$680,'Equipment Schedules'!$D$681,'Equipment Schedules'!$D$682,'Equipment Schedules'!$D$683,'Equipment Schedules'!$D$684,'Equipment Schedules'!$D$685,'Equipment Schedules'!$D$686),'Calculations - Fugitives'!$A20+1,,,"Equipment Schedules"))),0)</f>
        <v>0</v>
      </c>
      <c r="N20" s="486">
        <f ca="1">IF($D20="N/A","N/A",'Setup - Facility Details'!$E$54*('Setup - Facility Details'!$H$54+'Setup - Facility Details'!$I$54)*IF(ISERROR(M20),0,M20)*$D20)</f>
        <v>0</v>
      </c>
      <c r="O20" s="193">
        <f ca="1">IF($A20&gt;0,IF(O$6=0,0,INDIRECT(ADDRESS(O$6-1+CHOOSE($D$4,'Equipment Schedules'!$D$678,'Equipment Schedules'!$D$679,'Equipment Schedules'!$D$680,'Equipment Schedules'!$D$681,'Equipment Schedules'!$D$682,'Equipment Schedules'!$D$683,'Equipment Schedules'!$D$684,'Equipment Schedules'!$D$685,'Equipment Schedules'!$D$686),'Calculations - Fugitives'!$A20+1,,,"Equipment Schedules"))),0)</f>
        <v>0</v>
      </c>
      <c r="P20" s="486">
        <f ca="1">IF($D20="N/A","N/A",'Setup - Facility Details'!$E$55*('Setup - Facility Details'!$H$55+'Setup - Facility Details'!$I$55)*IF(ISERROR(O20),0,O20)*$D20)</f>
        <v>0</v>
      </c>
      <c r="Q20" s="193">
        <f ca="1">IF($A20&gt;0,IF(Q$6=0,0,INDIRECT(ADDRESS(Q$6-1+CHOOSE($D$4,'Equipment Schedules'!$D$678,'Equipment Schedules'!$D$679,'Equipment Schedules'!$D$680,'Equipment Schedules'!$D$681,'Equipment Schedules'!$D$682,'Equipment Schedules'!$D$683,'Equipment Schedules'!$D$684,'Equipment Schedules'!$D$685,'Equipment Schedules'!$D$686),'Calculations - Fugitives'!$A20+1,,,"Equipment Schedules"))),0)</f>
        <v>0</v>
      </c>
      <c r="R20" s="486">
        <f ca="1">IF($D20="N/A","N/A",'Setup - Facility Details'!$E$56*('Setup - Facility Details'!$H$56+'Setup - Facility Details'!$I$56)*IF(ISERROR(Q20),0,Q20)*$D20)</f>
        <v>0</v>
      </c>
      <c r="S20" s="193">
        <f ca="1">IF($A20&gt;0,IF(S$6=0,0,INDIRECT(ADDRESS(S$6-1+CHOOSE($D$4,'Equipment Schedules'!$D$678,'Equipment Schedules'!$D$679,'Equipment Schedules'!$D$680,'Equipment Schedules'!$D$681,'Equipment Schedules'!$D$682,'Equipment Schedules'!$D$683,'Equipment Schedules'!$D$684,'Equipment Schedules'!$D$685,'Equipment Schedules'!$D$686),'Calculations - Fugitives'!$A20+1,,,"Equipment Schedules"))),0)</f>
        <v>0</v>
      </c>
      <c r="T20" s="486">
        <f ca="1">IF($D20="N/A","N/A",'Setup - Facility Details'!$E$57*('Setup - Facility Details'!$H$57+'Setup - Facility Details'!$I$57)*IF(ISERROR(S20),0,S20)*$D20)</f>
        <v>0</v>
      </c>
      <c r="U20" s="193">
        <f ca="1">IF($A20&gt;0,IF(U$6=0,0,INDIRECT(ADDRESS(U$6-1+CHOOSE($D$4,'Equipment Schedules'!$D$678,'Equipment Schedules'!$D$679,'Equipment Schedules'!$D$680,'Equipment Schedules'!$D$681,'Equipment Schedules'!$D$682,'Equipment Schedules'!$D$683,'Equipment Schedules'!$D$684,'Equipment Schedules'!$D$685,'Equipment Schedules'!$D$686),'Calculations - Fugitives'!$A20+1,,,"Equipment Schedules"))),0)</f>
        <v>0</v>
      </c>
      <c r="V20" s="486">
        <f ca="1">IF($D20="N/A","N/A",'Setup - Facility Details'!$E$58*('Setup - Facility Details'!$H$58+'Setup - Facility Details'!$I$58)*IF(ISERROR(U20),0,U20)*$D20)</f>
        <v>0</v>
      </c>
      <c r="W20" s="193">
        <f ca="1">IF($A20&gt;0,IF(W$6=0,0,INDIRECT(ADDRESS(W$6-1+CHOOSE($D$4,'Equipment Schedules'!$D$678,'Equipment Schedules'!$D$679,'Equipment Schedules'!$D$680,'Equipment Schedules'!$D$681,'Equipment Schedules'!$D$682,'Equipment Schedules'!$D$683,'Equipment Schedules'!$D$684,'Equipment Schedules'!$D$685,'Equipment Schedules'!$D$686),'Calculations - Fugitives'!$A20+1,,,"Equipment Schedules"))),0)</f>
        <v>0</v>
      </c>
      <c r="X20" s="486">
        <f ca="1">IF($D20="N/A","N/A",'Setup - Facility Details'!$E$59*('Setup - Facility Details'!$H$59+'Setup - Facility Details'!$I$59)*IF(ISERROR(W20),0,W20)*$D20)</f>
        <v>0</v>
      </c>
      <c r="Y20" s="193">
        <f ca="1">IF($A20&gt;0,IF(Y$6=0,0,INDIRECT(ADDRESS(Y$6-1+CHOOSE($D$4,'Equipment Schedules'!$D$678,'Equipment Schedules'!$D$679,'Equipment Schedules'!$D$680,'Equipment Schedules'!$D$681,'Equipment Schedules'!$D$682,'Equipment Schedules'!$D$683,'Equipment Schedules'!$D$684,'Equipment Schedules'!$D$685,'Equipment Schedules'!$D$686),'Calculations - Fugitives'!$A20+1,,,"Equipment Schedules"))),0)</f>
        <v>0</v>
      </c>
      <c r="Z20" s="486">
        <f ca="1">IF($D20="N/A","N/A",'Setup - Facility Details'!$E$60*('Setup - Facility Details'!$H$60+'Setup - Facility Details'!$I$60)*IF(ISERROR(Y20),0,Y20)*$D20)</f>
        <v>0</v>
      </c>
      <c r="AA20" s="193">
        <f ca="1">IF($A20&gt;0,IF(AA$6=0,0,INDIRECT(ADDRESS(AA$6-1+CHOOSE($D$4,'Equipment Schedules'!$D$678,'Equipment Schedules'!$D$679,'Equipment Schedules'!$D$680,'Equipment Schedules'!$D$681,'Equipment Schedules'!$D$682,'Equipment Schedules'!$D$683,'Equipment Schedules'!$D$684,'Equipment Schedules'!$D$685,'Equipment Schedules'!$D$686),'Calculations - Fugitives'!$A20+1,,,"Equipment Schedules"))),0)</f>
        <v>0</v>
      </c>
      <c r="AB20" s="486">
        <f ca="1">IF($D20="N/A","N/A",'Setup - Facility Details'!$E$61*('Setup - Facility Details'!$H$61+'Setup - Facility Details'!$I$61)*IF(ISERROR(AA20),0,AA20)*$D20)</f>
        <v>0</v>
      </c>
      <c r="AC20" s="193">
        <f ca="1">IF($A20&gt;0,IF(AC$6=0,0,INDIRECT(ADDRESS(AC$6-1+CHOOSE($D$4,'Equipment Schedules'!$D$678,'Equipment Schedules'!$D$679,'Equipment Schedules'!$D$680,'Equipment Schedules'!$D$681,'Equipment Schedules'!$D$682,'Equipment Schedules'!$D$683,'Equipment Schedules'!$D$684,'Equipment Schedules'!$D$685,'Equipment Schedules'!$D$686),'Calculations - Fugitives'!$A20+1,,,"Equipment Schedules"))),0)</f>
        <v>0</v>
      </c>
      <c r="AD20" s="486">
        <f ca="1">IF($D20="N/A","N/A",'Setup - Facility Details'!$E$62*('Setup - Facility Details'!$H$62+'Setup - Facility Details'!$I$62)*IF(ISERROR(AC20),0,AC20)*$D20)</f>
        <v>0</v>
      </c>
      <c r="AE20" s="193">
        <f ca="1">IF($A20&gt;0,IF(AE$6=0,0,INDIRECT(ADDRESS(AE$6-1+CHOOSE($D$4,'Equipment Schedules'!$D$678,'Equipment Schedules'!$D$679,'Equipment Schedules'!$D$680,'Equipment Schedules'!$D$681,'Equipment Schedules'!$D$682,'Equipment Schedules'!$D$683,'Equipment Schedules'!$D$684,'Equipment Schedules'!$D$685,'Equipment Schedules'!$D$686),'Calculations - Fugitives'!$A20+1,,,"Equipment Schedules"))),0)</f>
        <v>0</v>
      </c>
      <c r="AF20" s="486">
        <f ca="1">IF($D20="N/A","N/A",'Setup - Facility Details'!$E$63*('Setup - Facility Details'!$H$63+'Setup - Facility Details'!$I$63)*IF(ISERROR(AE20),0,AE20)*$D20)</f>
        <v>0</v>
      </c>
      <c r="AG20" s="193">
        <f ca="1">IF($A20&gt;0,IF(AG$6=0,0,INDIRECT(ADDRESS(AG$6-1+CHOOSE($D$4,'Equipment Schedules'!$D$678,'Equipment Schedules'!$D$679,'Equipment Schedules'!$D$680,'Equipment Schedules'!$D$681,'Equipment Schedules'!$D$682,'Equipment Schedules'!$D$683,'Equipment Schedules'!$D$684,'Equipment Schedules'!$D$685,'Equipment Schedules'!$D$686),'Calculations - Fugitives'!$A20+1,,,"Equipment Schedules"))),0)</f>
        <v>0</v>
      </c>
      <c r="AH20" s="486">
        <f ca="1">IF($D20="N/A","N/A",'Setup - Facility Details'!$E$64*('Setup - Facility Details'!$H$64+'Setup - Facility Details'!$I$64)*IF(ISERROR(AG20),0,AG20)*$D20)</f>
        <v>0</v>
      </c>
      <c r="AI20" s="193">
        <f ca="1">IF($A20&gt;0,IF(AI$6=0,0,INDIRECT(ADDRESS(AI$6-1+CHOOSE($D$4,'Equipment Schedules'!$D$678,'Equipment Schedules'!$D$679,'Equipment Schedules'!$D$680,'Equipment Schedules'!$D$681,'Equipment Schedules'!$D$682,'Equipment Schedules'!$D$683,'Equipment Schedules'!$D$684,'Equipment Schedules'!$D$685,'Equipment Schedules'!$D$686),'Calculations - Fugitives'!$A20+1,,,"Equipment Schedules"))),0)</f>
        <v>0</v>
      </c>
      <c r="AJ20" s="486">
        <f ca="1">IF($D20="N/A","N/A",'Setup - Facility Details'!$E$65*('Setup - Facility Details'!$H$65+'Setup - Facility Details'!$I$65)*IF(ISERROR(AI20),0,AI20)*$D20)</f>
        <v>0</v>
      </c>
      <c r="AK20" s="193">
        <f ca="1">IF($A20&gt;0,IF(AK$6=0,0,INDIRECT(ADDRESS(AK$6-1+CHOOSE($D$4,'Equipment Schedules'!$D$678,'Equipment Schedules'!$D$679,'Equipment Schedules'!$D$680,'Equipment Schedules'!$D$681,'Equipment Schedules'!$D$682,'Equipment Schedules'!$D$683,'Equipment Schedules'!$D$684,'Equipment Schedules'!$D$685,'Equipment Schedules'!$D$686),'Calculations - Fugitives'!$A20+1,,,"Equipment Schedules"))),0)</f>
        <v>0</v>
      </c>
      <c r="AL20" s="486">
        <f ca="1">IF($D20="N/A","N/A",'Setup - Facility Details'!$E$66*('Setup - Facility Details'!$H$66+'Setup - Facility Details'!$I$66)*IF(ISERROR(AK20),0,AK20)*$D20)</f>
        <v>0</v>
      </c>
      <c r="AM20" s="193">
        <f ca="1">IF($A20&gt;0,IF(AM$6=0,0,INDIRECT(ADDRESS(AM$6-1+CHOOSE($D$4,'Equipment Schedules'!$D$678,'Equipment Schedules'!$D$679,'Equipment Schedules'!$D$680,'Equipment Schedules'!$D$681,'Equipment Schedules'!$D$682,'Equipment Schedules'!$D$683,'Equipment Schedules'!$D$684,'Equipment Schedules'!$D$685,'Equipment Schedules'!$D$686),'Calculations - Fugitives'!$A20+1,,,"Equipment Schedules"))),0)</f>
        <v>0</v>
      </c>
      <c r="AN20" s="486">
        <f ca="1">IF($D20="N/A","N/A",'Setup - Facility Details'!$E$67*('Setup - Facility Details'!$H$67+'Setup - Facility Details'!$I$67)*IF(ISERROR(AM20),0,AM20)*$D20)</f>
        <v>0</v>
      </c>
      <c r="AO20" s="193">
        <f ca="1">IF($A20&gt;0,IF(AO$6=0,0,INDIRECT(ADDRESS(AO$6-1+CHOOSE($D$4,'Equipment Schedules'!$D$678,'Equipment Schedules'!$D$679,'Equipment Schedules'!$D$680,'Equipment Schedules'!$D$681,'Equipment Schedules'!$D$682,'Equipment Schedules'!$D$683,'Equipment Schedules'!$D$684,'Equipment Schedules'!$D$685,'Equipment Schedules'!$D$686),'Calculations - Fugitives'!$A20+1,,,"Equipment Schedules"))),0)</f>
        <v>0</v>
      </c>
      <c r="AP20" s="486">
        <f ca="1">IF($D20="N/A","N/A",'Setup - Facility Details'!$E$68*('Setup - Facility Details'!$H$68+'Setup - Facility Details'!$I$68)*IF(ISERROR(AO20),0,AO20)*$D20)</f>
        <v>0</v>
      </c>
      <c r="AQ20" s="193">
        <f ca="1">IF($A20&gt;0,IF(AQ$6=0,0,INDIRECT(ADDRESS(AQ$6-1+CHOOSE($D$4,'Equipment Schedules'!$D$678,'Equipment Schedules'!$D$679,'Equipment Schedules'!$D$680,'Equipment Schedules'!$D$681,'Equipment Schedules'!$D$682,'Equipment Schedules'!$D$683,'Equipment Schedules'!$D$684,'Equipment Schedules'!$D$685,'Equipment Schedules'!$D$686),'Calculations - Fugitives'!$A20+1,,,"Equipment Schedules"))),0)</f>
        <v>0</v>
      </c>
      <c r="AR20" s="486">
        <f ca="1">IF($D20="N/A","N/A",'Setup - Facility Details'!$E$69*('Setup - Facility Details'!$H$69+'Setup - Facility Details'!$I$69)*IF(ISERROR(AQ20),0,AQ20)*$D20)</f>
        <v>0</v>
      </c>
      <c r="AS20" s="193">
        <f ca="1">IF($A20&gt;0,IF(AS$6=0,0,INDIRECT(ADDRESS(AS$6-1+CHOOSE($D$4,'Equipment Schedules'!$D$678,'Equipment Schedules'!$D$679,'Equipment Schedules'!$D$680,'Equipment Schedules'!$D$681,'Equipment Schedules'!$D$682,'Equipment Schedules'!$D$683,'Equipment Schedules'!$D$684,'Equipment Schedules'!$D$685,'Equipment Schedules'!$D$686),'Calculations - Fugitives'!$A20+1,,,"Equipment Schedules"))),0)</f>
        <v>0</v>
      </c>
      <c r="AT20" s="486">
        <f ca="1">IF($D20="N/A","N/A",'Setup - Facility Details'!$E$70*('Setup - Facility Details'!$H$70+'Setup - Facility Details'!$I$70)*IF(ISERROR(AS20),0,AS20)*$D20)</f>
        <v>0</v>
      </c>
    </row>
    <row r="21" spans="1:46" x14ac:dyDescent="0.3">
      <c r="A21" s="256">
        <f>14+$A$11</f>
        <v>15</v>
      </c>
      <c r="B21" s="81" t="str">
        <f ca="1">'Translation Table'!H550</f>
        <v>Compressor Seals (Reciprocating - Standby &amp; Pressurized)</v>
      </c>
      <c r="C21" s="81" t="str">
        <f ca="1">'Translation Table'!H551</f>
        <v>Gas</v>
      </c>
      <c r="D21" s="483">
        <f ca="1">IF(OR($C$4=OffshoreOilProduction,$C$4=OffshoreGasProduction,$C$4=OnshoreGasProduction,$C$4=OnshoreOilProduction,$C$4=GasProcessing,$C$4=PetroleumRefining),'EFs - Equipment Leaks'!M16,IF(OR($C$4=GasTransmission,$C$4=GasStorage),'EFs - Equipment Leaks'!M58,IF($C$4=GasDistribution,'EFs - Equipment Leaks'!M100,"Error")))</f>
        <v>9.8296324168521826E-2</v>
      </c>
      <c r="E21" s="483" t="str">
        <f ca="1">IF($C$4=GasDistribution,'EFs - Equipment Leaks'!$M142,"      N/A ")</f>
        <v xml:space="preserve">      N/A </v>
      </c>
      <c r="F21" s="483" t="str">
        <f ca="1">IF($C$4=GasDistribution,'EFs - Equipment Leaks'!$M184,"      N/A ")</f>
        <v xml:space="preserve">      N/A </v>
      </c>
      <c r="G21" s="452">
        <f ca="1">G20</f>
        <v>0</v>
      </c>
      <c r="H21" s="484">
        <f ca="1">IF($D21="N/A","N/A",'Setup - Facility Details'!$E$51*('Setup - Facility Details'!$H$51+'Setup - Facility Details'!$I$51)*IF(ISERROR(G21),0,G21)*$D21)</f>
        <v>0</v>
      </c>
      <c r="I21" s="452">
        <f ca="1">I20</f>
        <v>0</v>
      </c>
      <c r="J21" s="484">
        <f ca="1">IF($D21="N/A","N/A",'Setup - Facility Details'!$E$52*('Setup - Facility Details'!$H$52+'Setup - Facility Details'!$I$52)*IF(ISERROR(I21),0,I21)*$D21)</f>
        <v>0</v>
      </c>
      <c r="K21" s="452">
        <f ca="1">K20</f>
        <v>0</v>
      </c>
      <c r="L21" s="484">
        <f ca="1">IF($D21="N/A","N/A",'Setup - Facility Details'!$E$53*('Setup - Facility Details'!$H$53+'Setup - Facility Details'!$I$53)*IF(ISERROR(K21),0,K21)*$D21)</f>
        <v>0</v>
      </c>
      <c r="M21" s="452">
        <f ca="1">M20</f>
        <v>0</v>
      </c>
      <c r="N21" s="484">
        <f ca="1">IF($D21="N/A","N/A",'Setup - Facility Details'!$E$54*('Setup - Facility Details'!$H$54+'Setup - Facility Details'!$I$54)*IF(ISERROR(M21),0,M21)*$D21)</f>
        <v>0</v>
      </c>
      <c r="O21" s="452">
        <f ca="1">O20</f>
        <v>0</v>
      </c>
      <c r="P21" s="484">
        <f ca="1">IF($D21="N/A","N/A",'Setup - Facility Details'!$E$55*('Setup - Facility Details'!$H$55+'Setup - Facility Details'!$I$55)*IF(ISERROR(O21),0,O21)*$D21)</f>
        <v>0</v>
      </c>
      <c r="Q21" s="452">
        <f ca="1">Q20</f>
        <v>0</v>
      </c>
      <c r="R21" s="484">
        <f ca="1">IF($D21="N/A","N/A",'Setup - Facility Details'!$E$56*('Setup - Facility Details'!$H$56+'Setup - Facility Details'!$I$56)*IF(ISERROR(Q21),0,Q21)*$D21)</f>
        <v>0</v>
      </c>
      <c r="S21" s="452">
        <f ca="1">S20</f>
        <v>0</v>
      </c>
      <c r="T21" s="484">
        <f ca="1">IF($D21="N/A","N/A",'Setup - Facility Details'!$E$57*('Setup - Facility Details'!$H$57+'Setup - Facility Details'!$I$57)*IF(ISERROR(S21),0,S21)*$D21)</f>
        <v>0</v>
      </c>
      <c r="U21" s="452">
        <f ca="1">U20</f>
        <v>0</v>
      </c>
      <c r="V21" s="484">
        <f ca="1">IF($D21="N/A","N/A",'Setup - Facility Details'!$E$58*('Setup - Facility Details'!$H$58+'Setup - Facility Details'!$I$58)*IF(ISERROR(U21),0,U21)*$D21)</f>
        <v>0</v>
      </c>
      <c r="W21" s="452">
        <f ca="1">W20</f>
        <v>0</v>
      </c>
      <c r="X21" s="484">
        <f ca="1">IF($D21="N/A","N/A",'Setup - Facility Details'!$E$59*('Setup - Facility Details'!$H$59+'Setup - Facility Details'!$I$59)*IF(ISERROR(W21),0,W21)*$D21)</f>
        <v>0</v>
      </c>
      <c r="Y21" s="452">
        <f ca="1">Y20</f>
        <v>0</v>
      </c>
      <c r="Z21" s="484">
        <f ca="1">IF($D21="N/A","N/A",'Setup - Facility Details'!$E$60*('Setup - Facility Details'!$H$60+'Setup - Facility Details'!$I$60)*IF(ISERROR(Y21),0,Y21)*$D21)</f>
        <v>0</v>
      </c>
      <c r="AA21" s="452">
        <f ca="1">AA20</f>
        <v>0</v>
      </c>
      <c r="AB21" s="484">
        <f ca="1">IF($D21="N/A","N/A",'Setup - Facility Details'!$E$61*('Setup - Facility Details'!$H$61+'Setup - Facility Details'!$I$61)*IF(ISERROR(AA21),0,AA21)*$D21)</f>
        <v>0</v>
      </c>
      <c r="AC21" s="452">
        <f ca="1">AC20</f>
        <v>0</v>
      </c>
      <c r="AD21" s="484">
        <f ca="1">IF($D21="N/A","N/A",'Setup - Facility Details'!$E$62*('Setup - Facility Details'!$H$62+'Setup - Facility Details'!$I$62)*IF(ISERROR(AC21),0,AC21)*$D21)</f>
        <v>0</v>
      </c>
      <c r="AE21" s="452">
        <f ca="1">AE20</f>
        <v>0</v>
      </c>
      <c r="AF21" s="484">
        <f ca="1">IF($D21="N/A","N/A",'Setup - Facility Details'!$E$63*('Setup - Facility Details'!$H$63+'Setup - Facility Details'!$I$63)*IF(ISERROR(AE21),0,AE21)*$D21)</f>
        <v>0</v>
      </c>
      <c r="AG21" s="452">
        <f ca="1">AG20</f>
        <v>0</v>
      </c>
      <c r="AH21" s="484">
        <f ca="1">IF($D21="N/A","N/A",'Setup - Facility Details'!$E$64*('Setup - Facility Details'!$H$64+'Setup - Facility Details'!$I$64)*IF(ISERROR(AG21),0,AG21)*$D21)</f>
        <v>0</v>
      </c>
      <c r="AI21" s="452">
        <f ca="1">AI20</f>
        <v>0</v>
      </c>
      <c r="AJ21" s="484">
        <f ca="1">IF($D21="N/A","N/A",'Setup - Facility Details'!$E$65*('Setup - Facility Details'!$H$65+'Setup - Facility Details'!$I$65)*IF(ISERROR(AI21),0,AI21)*$D21)</f>
        <v>0</v>
      </c>
      <c r="AK21" s="452">
        <f ca="1">AK20</f>
        <v>0</v>
      </c>
      <c r="AL21" s="484">
        <f ca="1">IF($D21="N/A","N/A",'Setup - Facility Details'!$E$66*('Setup - Facility Details'!$H$66+'Setup - Facility Details'!$I$66)*IF(ISERROR(AK21),0,AK21)*$D21)</f>
        <v>0</v>
      </c>
      <c r="AM21" s="452">
        <f ca="1">AM20</f>
        <v>0</v>
      </c>
      <c r="AN21" s="484">
        <f ca="1">IF($D21="N/A","N/A",'Setup - Facility Details'!$E$67*('Setup - Facility Details'!$H$67+'Setup - Facility Details'!$I$67)*IF(ISERROR(AM21),0,AM21)*$D21)</f>
        <v>0</v>
      </c>
      <c r="AO21" s="452">
        <f ca="1">AO20</f>
        <v>0</v>
      </c>
      <c r="AP21" s="484">
        <f ca="1">IF($D21="N/A","N/A",'Setup - Facility Details'!$E$68*('Setup - Facility Details'!$H$68+'Setup - Facility Details'!$I$68)*IF(ISERROR(AO21),0,AO21)*$D21)</f>
        <v>0</v>
      </c>
      <c r="AQ21" s="452">
        <f ca="1">AQ20</f>
        <v>0</v>
      </c>
      <c r="AR21" s="484">
        <f ca="1">IF($D21="N/A","N/A",'Setup - Facility Details'!$E$69*('Setup - Facility Details'!$H$69+'Setup - Facility Details'!$I$69)*IF(ISERROR(AQ21),0,AQ21)*$D21)</f>
        <v>0</v>
      </c>
      <c r="AS21" s="452">
        <f ca="1">AS20</f>
        <v>0</v>
      </c>
      <c r="AT21" s="484">
        <f ca="1">IF($D21="N/A","N/A",'Setup - Facility Details'!$E$70*('Setup - Facility Details'!$H$70+'Setup - Facility Details'!$I$70)*IF(ISERROR(AS21),0,AS21)*$D21)</f>
        <v>0</v>
      </c>
    </row>
    <row r="22" spans="1:46" x14ac:dyDescent="0.3">
      <c r="A22" s="256">
        <f>14+$A$11</f>
        <v>15</v>
      </c>
      <c r="B22" s="48" t="str">
        <f ca="1">'Translation Table'!H552</f>
        <v>Compressor Seals (Reciprocating - Depressurized)</v>
      </c>
      <c r="C22" s="48" t="str">
        <f ca="1">'Translation Table'!H553</f>
        <v>Gas</v>
      </c>
      <c r="D22" s="485">
        <f ca="1">IF(OR($C$4=OffshoreOilProduction,$C$4=OffshoreGasProduction,$C$4=OnshoreGasProduction,$C$4=OnshoreOilProduction,$C$4=GasProcessing,$C$4=PetroleumRefining),'EFs - Equipment Leaks'!M17,IF(OR($C$4=GasTransmission,$C$4=GasStorage),'EFs - Equipment Leaks'!M59,IF($C$4=GasDistribution,'EFs - Equipment Leaks'!M101,"Error")))</f>
        <v>0</v>
      </c>
      <c r="E22" s="485" t="str">
        <f ca="1">IF($C$4=GasDistribution,'EFs - Equipment Leaks'!$M143,"      N/A ")</f>
        <v xml:space="preserve">      N/A </v>
      </c>
      <c r="F22" s="485" t="str">
        <f ca="1">IF($C$4=GasDistribution,'EFs - Equipment Leaks'!$M185,"      N/A ")</f>
        <v xml:space="preserve">      N/A </v>
      </c>
      <c r="G22" s="193">
        <f ca="1">G20</f>
        <v>0</v>
      </c>
      <c r="H22" s="486">
        <f ca="1">IF($D22="N/A","N/A",'Setup - Facility Details'!$E$51*('Setup - Facility Details'!$H$51+'Setup - Facility Details'!$I$51)*IF(ISERROR(G22),0,G22)*$D22)</f>
        <v>0</v>
      </c>
      <c r="I22" s="193">
        <f ca="1">I20</f>
        <v>0</v>
      </c>
      <c r="J22" s="486">
        <f ca="1">IF($D22="N/A","N/A",'Setup - Facility Details'!$E$52*('Setup - Facility Details'!$H$52+'Setup - Facility Details'!$I$52)*IF(ISERROR(I22),0,I22)*$D22)</f>
        <v>0</v>
      </c>
      <c r="K22" s="193">
        <f ca="1">K20</f>
        <v>0</v>
      </c>
      <c r="L22" s="486">
        <f ca="1">IF($D22="N/A","N/A",'Setup - Facility Details'!$E$53*('Setup - Facility Details'!$H$53+'Setup - Facility Details'!$I$53)*IF(ISERROR(K22),0,K22)*$D22)</f>
        <v>0</v>
      </c>
      <c r="M22" s="193">
        <f ca="1">M20</f>
        <v>0</v>
      </c>
      <c r="N22" s="486">
        <f ca="1">IF($D22="N/A","N/A",'Setup - Facility Details'!$E$54*('Setup - Facility Details'!$H$54+'Setup - Facility Details'!$I$54)*IF(ISERROR(M22),0,M22)*$D22)</f>
        <v>0</v>
      </c>
      <c r="O22" s="193">
        <f ca="1">O20</f>
        <v>0</v>
      </c>
      <c r="P22" s="486">
        <f ca="1">IF($D22="N/A","N/A",'Setup - Facility Details'!$E$55*('Setup - Facility Details'!$H$55+'Setup - Facility Details'!$I$55)*IF(ISERROR(O22),0,O22)*$D22)</f>
        <v>0</v>
      </c>
      <c r="Q22" s="193">
        <f ca="1">Q20</f>
        <v>0</v>
      </c>
      <c r="R22" s="486">
        <f ca="1">IF($D22="N/A","N/A",'Setup - Facility Details'!$E$56*('Setup - Facility Details'!$H$56+'Setup - Facility Details'!$I$56)*IF(ISERROR(Q22),0,Q22)*$D22)</f>
        <v>0</v>
      </c>
      <c r="S22" s="193">
        <f ca="1">S20</f>
        <v>0</v>
      </c>
      <c r="T22" s="486">
        <f ca="1">IF($D22="N/A","N/A",'Setup - Facility Details'!$E$57*('Setup - Facility Details'!$H$57+'Setup - Facility Details'!$I$57)*IF(ISERROR(S22),0,S22)*$D22)</f>
        <v>0</v>
      </c>
      <c r="U22" s="193">
        <f ca="1">U20</f>
        <v>0</v>
      </c>
      <c r="V22" s="486">
        <f ca="1">IF($D22="N/A","N/A",'Setup - Facility Details'!$E$58*('Setup - Facility Details'!$H$58+'Setup - Facility Details'!$I$58)*IF(ISERROR(U22),0,U22)*$D22)</f>
        <v>0</v>
      </c>
      <c r="W22" s="193">
        <f ca="1">W20</f>
        <v>0</v>
      </c>
      <c r="X22" s="486">
        <f ca="1">IF($D22="N/A","N/A",'Setup - Facility Details'!$E$59*('Setup - Facility Details'!$H$59+'Setup - Facility Details'!$I$59)*IF(ISERROR(W22),0,W22)*$D22)</f>
        <v>0</v>
      </c>
      <c r="Y22" s="193">
        <f ca="1">Y20</f>
        <v>0</v>
      </c>
      <c r="Z22" s="486">
        <f ca="1">IF($D22="N/A","N/A",'Setup - Facility Details'!$E$60*('Setup - Facility Details'!$H$60+'Setup - Facility Details'!$I$60)*IF(ISERROR(Y22),0,Y22)*$D22)</f>
        <v>0</v>
      </c>
      <c r="AA22" s="193">
        <f ca="1">AA20</f>
        <v>0</v>
      </c>
      <c r="AB22" s="486">
        <f ca="1">IF($D22="N/A","N/A",'Setup - Facility Details'!$E$61*('Setup - Facility Details'!$H$61+'Setup - Facility Details'!$I$61)*IF(ISERROR(AA22),0,AA22)*$D22)</f>
        <v>0</v>
      </c>
      <c r="AC22" s="193">
        <f ca="1">AC20</f>
        <v>0</v>
      </c>
      <c r="AD22" s="486">
        <f ca="1">IF($D22="N/A","N/A",'Setup - Facility Details'!$E$62*('Setup - Facility Details'!$H$62+'Setup - Facility Details'!$I$62)*IF(ISERROR(AC22),0,AC22)*$D22)</f>
        <v>0</v>
      </c>
      <c r="AE22" s="193">
        <f ca="1">AE20</f>
        <v>0</v>
      </c>
      <c r="AF22" s="486">
        <f ca="1">IF($D22="N/A","N/A",'Setup - Facility Details'!$E$63*('Setup - Facility Details'!$H$63+'Setup - Facility Details'!$I$63)*IF(ISERROR(AE22),0,AE22)*$D22)</f>
        <v>0</v>
      </c>
      <c r="AG22" s="193">
        <f ca="1">AG20</f>
        <v>0</v>
      </c>
      <c r="AH22" s="486">
        <f ca="1">IF($D22="N/A","N/A",'Setup - Facility Details'!$E$64*('Setup - Facility Details'!$H$64+'Setup - Facility Details'!$I$64)*IF(ISERROR(AG22),0,AG22)*$D22)</f>
        <v>0</v>
      </c>
      <c r="AI22" s="193">
        <f ca="1">AI20</f>
        <v>0</v>
      </c>
      <c r="AJ22" s="486">
        <f ca="1">IF($D22="N/A","N/A",'Setup - Facility Details'!$E$65*('Setup - Facility Details'!$H$65+'Setup - Facility Details'!$I$65)*IF(ISERROR(AI22),0,AI22)*$D22)</f>
        <v>0</v>
      </c>
      <c r="AK22" s="193">
        <f ca="1">AK20</f>
        <v>0</v>
      </c>
      <c r="AL22" s="486">
        <f ca="1">IF($D22="N/A","N/A",'Setup - Facility Details'!$E$66*('Setup - Facility Details'!$H$66+'Setup - Facility Details'!$I$66)*IF(ISERROR(AK22),0,AK22)*$D22)</f>
        <v>0</v>
      </c>
      <c r="AM22" s="193">
        <f ca="1">AM20</f>
        <v>0</v>
      </c>
      <c r="AN22" s="486">
        <f ca="1">IF($D22="N/A","N/A",'Setup - Facility Details'!$E$67*('Setup - Facility Details'!$H$67+'Setup - Facility Details'!$I$67)*IF(ISERROR(AM22),0,AM22)*$D22)</f>
        <v>0</v>
      </c>
      <c r="AO22" s="193">
        <f ca="1">AO20</f>
        <v>0</v>
      </c>
      <c r="AP22" s="486">
        <f ca="1">IF($D22="N/A","N/A",'Setup - Facility Details'!$E$68*('Setup - Facility Details'!$H$68+'Setup - Facility Details'!$I$68)*IF(ISERROR(AO22),0,AO22)*$D22)</f>
        <v>0</v>
      </c>
      <c r="AQ22" s="193">
        <f ca="1">AQ20</f>
        <v>0</v>
      </c>
      <c r="AR22" s="486">
        <f ca="1">IF($D22="N/A","N/A",'Setup - Facility Details'!$E$69*('Setup - Facility Details'!$H$69+'Setup - Facility Details'!$I$69)*IF(ISERROR(AQ22),0,AQ22)*$D22)</f>
        <v>0</v>
      </c>
      <c r="AS22" s="193">
        <f ca="1">AS20</f>
        <v>0</v>
      </c>
      <c r="AT22" s="486">
        <f ca="1">IF($D22="N/A","N/A",'Setup - Facility Details'!$E$70*('Setup - Facility Details'!$H$70+'Setup - Facility Details'!$I$70)*IF(ISERROR(AS22),0,AS22)*$D22)</f>
        <v>0</v>
      </c>
    </row>
    <row r="23" spans="1:46" x14ac:dyDescent="0.3">
      <c r="A23" s="256">
        <f>15+$A$11</f>
        <v>16</v>
      </c>
      <c r="B23" s="81" t="str">
        <f ca="1">'Translation Table'!H554</f>
        <v>Compressor Wet Seals (Centrifugal - Operating)</v>
      </c>
      <c r="C23" s="81" t="str">
        <f ca="1">'Translation Table'!H555</f>
        <v>Gas</v>
      </c>
      <c r="D23" s="483">
        <f ca="1">IF(OR($C$4=OffshoreOilProduction,$C$4=OffshoreGasProduction,$C$4=OnshoreGasProduction,$C$4=OnshoreOilProduction,$C$4=GasProcessing,$C$4=PetroleumRefining),'EFs - Equipment Leaks'!M18,IF(OR($C$4=GasTransmission,$C$4=GasStorage),'EFs - Equipment Leaks'!M60,IF($C$4=GasDistribution,'EFs - Equipment Leaks'!M102,"Error")))</f>
        <v>35.718012624831424</v>
      </c>
      <c r="E23" s="483" t="str">
        <f ca="1">IF($C$4=GasDistribution,'EFs - Equipment Leaks'!$M144,"      N/A ")</f>
        <v xml:space="preserve">      N/A </v>
      </c>
      <c r="F23" s="483" t="str">
        <f ca="1">IF($C$4=GasDistribution,'EFs - Equipment Leaks'!$M186,"      N/A ")</f>
        <v xml:space="preserve">      N/A </v>
      </c>
      <c r="G23" s="452">
        <f ca="1">IF($A23&gt;0,IF(G$6=0,0,INDIRECT(ADDRESS(G$6-1+CHOOSE($D$4,'Equipment Schedules'!$D$678,'Equipment Schedules'!$D$679,'Equipment Schedules'!$D$680,'Equipment Schedules'!$D$681,'Equipment Schedules'!$D$682,'Equipment Schedules'!$D$683,'Equipment Schedules'!$D$684,'Equipment Schedules'!$D$685,'Equipment Schedules'!$D$686),'Calculations - Fugitives'!$A23+1,,,"Equipment Schedules"))),0)</f>
        <v>0</v>
      </c>
      <c r="H23" s="484">
        <f ca="1">IF($D23="N/A","N/A",'Setup - Facility Details'!$E$51*('Setup - Facility Details'!$H$51+'Setup - Facility Details'!$I$51)*IF(ISERROR(G23),0,G23)*$D23)</f>
        <v>0</v>
      </c>
      <c r="I23" s="452">
        <f ca="1">IF($A23&gt;0,IF(I$6=0,0,INDIRECT(ADDRESS(I$6-1+CHOOSE($D$4,'Equipment Schedules'!$D$678,'Equipment Schedules'!$D$679,'Equipment Schedules'!$D$680,'Equipment Schedules'!$D$681,'Equipment Schedules'!$D$682,'Equipment Schedules'!$D$683,'Equipment Schedules'!$D$684,'Equipment Schedules'!$D$685,'Equipment Schedules'!$D$686),'Calculations - Fugitives'!$A23+1,,,"Equipment Schedules"))),0)</f>
        <v>0</v>
      </c>
      <c r="J23" s="484">
        <f ca="1">IF($D23="N/A","N/A",'Setup - Facility Details'!$E$52*('Setup - Facility Details'!$H$52+'Setup - Facility Details'!$I$52)*IF(ISERROR(I23),0,I23)*$D23)</f>
        <v>0</v>
      </c>
      <c r="K23" s="452">
        <f ca="1">IF($A23&gt;0,IF(K$6=0,0,INDIRECT(ADDRESS(K$6-1+CHOOSE($D$4,'Equipment Schedules'!$D$678,'Equipment Schedules'!$D$679,'Equipment Schedules'!$D$680,'Equipment Schedules'!$D$681,'Equipment Schedules'!$D$682,'Equipment Schedules'!$D$683,'Equipment Schedules'!$D$684,'Equipment Schedules'!$D$685,'Equipment Schedules'!$D$686),'Calculations - Fugitives'!$A23+1,,,"Equipment Schedules"))),0)</f>
        <v>0</v>
      </c>
      <c r="L23" s="484">
        <f ca="1">IF($D23="N/A","N/A",'Setup - Facility Details'!$E$53*('Setup - Facility Details'!$H$53+'Setup - Facility Details'!$I$53)*IF(ISERROR(K23),0,K23)*$D23)</f>
        <v>0</v>
      </c>
      <c r="M23" s="452">
        <f ca="1">IF($A23&gt;0,IF(M$6=0,0,INDIRECT(ADDRESS(M$6-1+CHOOSE($D$4,'Equipment Schedules'!$D$678,'Equipment Schedules'!$D$679,'Equipment Schedules'!$D$680,'Equipment Schedules'!$D$681,'Equipment Schedules'!$D$682,'Equipment Schedules'!$D$683,'Equipment Schedules'!$D$684,'Equipment Schedules'!$D$685,'Equipment Schedules'!$D$686),'Calculations - Fugitives'!$A23+1,,,"Equipment Schedules"))),0)</f>
        <v>0</v>
      </c>
      <c r="N23" s="484">
        <f ca="1">IF($D23="N/A","N/A",'Setup - Facility Details'!$E$54*('Setup - Facility Details'!$H$54+'Setup - Facility Details'!$I$54)*IF(ISERROR(M23),0,M23)*$D23)</f>
        <v>0</v>
      </c>
      <c r="O23" s="452">
        <f ca="1">IF($A23&gt;0,IF(O$6=0,0,INDIRECT(ADDRESS(O$6-1+CHOOSE($D$4,'Equipment Schedules'!$D$678,'Equipment Schedules'!$D$679,'Equipment Schedules'!$D$680,'Equipment Schedules'!$D$681,'Equipment Schedules'!$D$682,'Equipment Schedules'!$D$683,'Equipment Schedules'!$D$684,'Equipment Schedules'!$D$685,'Equipment Schedules'!$D$686),'Calculations - Fugitives'!$A23+1,,,"Equipment Schedules"))),0)</f>
        <v>0</v>
      </c>
      <c r="P23" s="484">
        <f ca="1">IF($D23="N/A","N/A",'Setup - Facility Details'!$E$55*('Setup - Facility Details'!$H$55+'Setup - Facility Details'!$I$55)*IF(ISERROR(O23),0,O23)*$D23)</f>
        <v>0</v>
      </c>
      <c r="Q23" s="452">
        <f ca="1">IF($A23&gt;0,IF(Q$6=0,0,INDIRECT(ADDRESS(Q$6-1+CHOOSE($D$4,'Equipment Schedules'!$D$678,'Equipment Schedules'!$D$679,'Equipment Schedules'!$D$680,'Equipment Schedules'!$D$681,'Equipment Schedules'!$D$682,'Equipment Schedules'!$D$683,'Equipment Schedules'!$D$684,'Equipment Schedules'!$D$685,'Equipment Schedules'!$D$686),'Calculations - Fugitives'!$A23+1,,,"Equipment Schedules"))),0)</f>
        <v>0</v>
      </c>
      <c r="R23" s="484">
        <f ca="1">IF($D23="N/A","N/A",'Setup - Facility Details'!$E$56*('Setup - Facility Details'!$H$56+'Setup - Facility Details'!$I$56)*IF(ISERROR(Q23),0,Q23)*$D23)</f>
        <v>0</v>
      </c>
      <c r="S23" s="452">
        <f ca="1">IF($A23&gt;0,IF(S$6=0,0,INDIRECT(ADDRESS(S$6-1+CHOOSE($D$4,'Equipment Schedules'!$D$678,'Equipment Schedules'!$D$679,'Equipment Schedules'!$D$680,'Equipment Schedules'!$D$681,'Equipment Schedules'!$D$682,'Equipment Schedules'!$D$683,'Equipment Schedules'!$D$684,'Equipment Schedules'!$D$685,'Equipment Schedules'!$D$686),'Calculations - Fugitives'!$A23+1,,,"Equipment Schedules"))),0)</f>
        <v>0</v>
      </c>
      <c r="T23" s="484">
        <f ca="1">IF($D23="N/A","N/A",'Setup - Facility Details'!$E$57*('Setup - Facility Details'!$H$57+'Setup - Facility Details'!$I$57)*IF(ISERROR(S23),0,S23)*$D23)</f>
        <v>0</v>
      </c>
      <c r="U23" s="452">
        <f ca="1">IF($A23&gt;0,IF(U$6=0,0,INDIRECT(ADDRESS(U$6-1+CHOOSE($D$4,'Equipment Schedules'!$D$678,'Equipment Schedules'!$D$679,'Equipment Schedules'!$D$680,'Equipment Schedules'!$D$681,'Equipment Schedules'!$D$682,'Equipment Schedules'!$D$683,'Equipment Schedules'!$D$684,'Equipment Schedules'!$D$685,'Equipment Schedules'!$D$686),'Calculations - Fugitives'!$A23+1,,,"Equipment Schedules"))),0)</f>
        <v>0</v>
      </c>
      <c r="V23" s="484">
        <f ca="1">IF($D23="N/A","N/A",'Setup - Facility Details'!$E$58*('Setup - Facility Details'!$H$58+'Setup - Facility Details'!$I$58)*IF(ISERROR(U23),0,U23)*$D23)</f>
        <v>0</v>
      </c>
      <c r="W23" s="452">
        <f ca="1">IF($A23&gt;0,IF(W$6=0,0,INDIRECT(ADDRESS(W$6-1+CHOOSE($D$4,'Equipment Schedules'!$D$678,'Equipment Schedules'!$D$679,'Equipment Schedules'!$D$680,'Equipment Schedules'!$D$681,'Equipment Schedules'!$D$682,'Equipment Schedules'!$D$683,'Equipment Schedules'!$D$684,'Equipment Schedules'!$D$685,'Equipment Schedules'!$D$686),'Calculations - Fugitives'!$A23+1,,,"Equipment Schedules"))),0)</f>
        <v>0</v>
      </c>
      <c r="X23" s="484">
        <f ca="1">IF($D23="N/A","N/A",'Setup - Facility Details'!$E$59*('Setup - Facility Details'!$H$59+'Setup - Facility Details'!$I$59)*IF(ISERROR(W23),0,W23)*$D23)</f>
        <v>0</v>
      </c>
      <c r="Y23" s="452">
        <f ca="1">IF($A23&gt;0,IF(Y$6=0,0,INDIRECT(ADDRESS(Y$6-1+CHOOSE($D$4,'Equipment Schedules'!$D$678,'Equipment Schedules'!$D$679,'Equipment Schedules'!$D$680,'Equipment Schedules'!$D$681,'Equipment Schedules'!$D$682,'Equipment Schedules'!$D$683,'Equipment Schedules'!$D$684,'Equipment Schedules'!$D$685,'Equipment Schedules'!$D$686),'Calculations - Fugitives'!$A23+1,,,"Equipment Schedules"))),0)</f>
        <v>0</v>
      </c>
      <c r="Z23" s="484">
        <f ca="1">IF($D23="N/A","N/A",'Setup - Facility Details'!$E$60*('Setup - Facility Details'!$H$60+'Setup - Facility Details'!$I$60)*IF(ISERROR(Y23),0,Y23)*$D23)</f>
        <v>0</v>
      </c>
      <c r="AA23" s="452">
        <f ca="1">IF($A23&gt;0,IF(AA$6=0,0,INDIRECT(ADDRESS(AA$6-1+CHOOSE($D$4,'Equipment Schedules'!$D$678,'Equipment Schedules'!$D$679,'Equipment Schedules'!$D$680,'Equipment Schedules'!$D$681,'Equipment Schedules'!$D$682,'Equipment Schedules'!$D$683,'Equipment Schedules'!$D$684,'Equipment Schedules'!$D$685,'Equipment Schedules'!$D$686),'Calculations - Fugitives'!$A23+1,,,"Equipment Schedules"))),0)</f>
        <v>0</v>
      </c>
      <c r="AB23" s="484">
        <f ca="1">IF($D23="N/A","N/A",'Setup - Facility Details'!$E$61*('Setup - Facility Details'!$H$61+'Setup - Facility Details'!$I$61)*IF(ISERROR(AA23),0,AA23)*$D23)</f>
        <v>0</v>
      </c>
      <c r="AC23" s="452">
        <f ca="1">IF($A23&gt;0,IF(AC$6=0,0,INDIRECT(ADDRESS(AC$6-1+CHOOSE($D$4,'Equipment Schedules'!$D$678,'Equipment Schedules'!$D$679,'Equipment Schedules'!$D$680,'Equipment Schedules'!$D$681,'Equipment Schedules'!$D$682,'Equipment Schedules'!$D$683,'Equipment Schedules'!$D$684,'Equipment Schedules'!$D$685,'Equipment Schedules'!$D$686),'Calculations - Fugitives'!$A23+1,,,"Equipment Schedules"))),0)</f>
        <v>0</v>
      </c>
      <c r="AD23" s="484">
        <f ca="1">IF($D23="N/A","N/A",'Setup - Facility Details'!$E$62*('Setup - Facility Details'!$H$62+'Setup - Facility Details'!$I$62)*IF(ISERROR(AC23),0,AC23)*$D23)</f>
        <v>0</v>
      </c>
      <c r="AE23" s="452">
        <f ca="1">IF($A23&gt;0,IF(AE$6=0,0,INDIRECT(ADDRESS(AE$6-1+CHOOSE($D$4,'Equipment Schedules'!$D$678,'Equipment Schedules'!$D$679,'Equipment Schedules'!$D$680,'Equipment Schedules'!$D$681,'Equipment Schedules'!$D$682,'Equipment Schedules'!$D$683,'Equipment Schedules'!$D$684,'Equipment Schedules'!$D$685,'Equipment Schedules'!$D$686),'Calculations - Fugitives'!$A23+1,,,"Equipment Schedules"))),0)</f>
        <v>0</v>
      </c>
      <c r="AF23" s="484">
        <f ca="1">IF($D23="N/A","N/A",'Setup - Facility Details'!$E$63*('Setup - Facility Details'!$H$63+'Setup - Facility Details'!$I$63)*IF(ISERROR(AE23),0,AE23)*$D23)</f>
        <v>0</v>
      </c>
      <c r="AG23" s="452">
        <f ca="1">IF($A23&gt;0,IF(AG$6=0,0,INDIRECT(ADDRESS(AG$6-1+CHOOSE($D$4,'Equipment Schedules'!$D$678,'Equipment Schedules'!$D$679,'Equipment Schedules'!$D$680,'Equipment Schedules'!$D$681,'Equipment Schedules'!$D$682,'Equipment Schedules'!$D$683,'Equipment Schedules'!$D$684,'Equipment Schedules'!$D$685,'Equipment Schedules'!$D$686),'Calculations - Fugitives'!$A23+1,,,"Equipment Schedules"))),0)</f>
        <v>0</v>
      </c>
      <c r="AH23" s="484">
        <f ca="1">IF($D23="N/A","N/A",'Setup - Facility Details'!$E$64*('Setup - Facility Details'!$H$64+'Setup - Facility Details'!$I$64)*IF(ISERROR(AG23),0,AG23)*$D23)</f>
        <v>0</v>
      </c>
      <c r="AI23" s="452">
        <f ca="1">IF($A23&gt;0,IF(AI$6=0,0,INDIRECT(ADDRESS(AI$6-1+CHOOSE($D$4,'Equipment Schedules'!$D$678,'Equipment Schedules'!$D$679,'Equipment Schedules'!$D$680,'Equipment Schedules'!$D$681,'Equipment Schedules'!$D$682,'Equipment Schedules'!$D$683,'Equipment Schedules'!$D$684,'Equipment Schedules'!$D$685,'Equipment Schedules'!$D$686),'Calculations - Fugitives'!$A23+1,,,"Equipment Schedules"))),0)</f>
        <v>0</v>
      </c>
      <c r="AJ23" s="484">
        <f ca="1">IF($D23="N/A","N/A",'Setup - Facility Details'!$E$65*('Setup - Facility Details'!$H$65+'Setup - Facility Details'!$I$65)*IF(ISERROR(AI23),0,AI23)*$D23)</f>
        <v>0</v>
      </c>
      <c r="AK23" s="452">
        <f ca="1">IF($A23&gt;0,IF(AK$6=0,0,INDIRECT(ADDRESS(AK$6-1+CHOOSE($D$4,'Equipment Schedules'!$D$678,'Equipment Schedules'!$D$679,'Equipment Schedules'!$D$680,'Equipment Schedules'!$D$681,'Equipment Schedules'!$D$682,'Equipment Schedules'!$D$683,'Equipment Schedules'!$D$684,'Equipment Schedules'!$D$685,'Equipment Schedules'!$D$686),'Calculations - Fugitives'!$A23+1,,,"Equipment Schedules"))),0)</f>
        <v>0</v>
      </c>
      <c r="AL23" s="484">
        <f ca="1">IF($D23="N/A","N/A",'Setup - Facility Details'!$E$66*('Setup - Facility Details'!$H$66+'Setup - Facility Details'!$I$66)*IF(ISERROR(AK23),0,AK23)*$D23)</f>
        <v>0</v>
      </c>
      <c r="AM23" s="452">
        <f ca="1">IF($A23&gt;0,IF(AM$6=0,0,INDIRECT(ADDRESS(AM$6-1+CHOOSE($D$4,'Equipment Schedules'!$D$678,'Equipment Schedules'!$D$679,'Equipment Schedules'!$D$680,'Equipment Schedules'!$D$681,'Equipment Schedules'!$D$682,'Equipment Schedules'!$D$683,'Equipment Schedules'!$D$684,'Equipment Schedules'!$D$685,'Equipment Schedules'!$D$686),'Calculations - Fugitives'!$A23+1,,,"Equipment Schedules"))),0)</f>
        <v>0</v>
      </c>
      <c r="AN23" s="484">
        <f ca="1">IF($D23="N/A","N/A",'Setup - Facility Details'!$E$67*('Setup - Facility Details'!$H$67+'Setup - Facility Details'!$I$67)*IF(ISERROR(AM23),0,AM23)*$D23)</f>
        <v>0</v>
      </c>
      <c r="AO23" s="452">
        <f ca="1">IF($A23&gt;0,IF(AO$6=0,0,INDIRECT(ADDRESS(AO$6-1+CHOOSE($D$4,'Equipment Schedules'!$D$678,'Equipment Schedules'!$D$679,'Equipment Schedules'!$D$680,'Equipment Schedules'!$D$681,'Equipment Schedules'!$D$682,'Equipment Schedules'!$D$683,'Equipment Schedules'!$D$684,'Equipment Schedules'!$D$685,'Equipment Schedules'!$D$686),'Calculations - Fugitives'!$A23+1,,,"Equipment Schedules"))),0)</f>
        <v>0</v>
      </c>
      <c r="AP23" s="484">
        <f ca="1">IF($D23="N/A","N/A",'Setup - Facility Details'!$E$68*('Setup - Facility Details'!$H$68+'Setup - Facility Details'!$I$68)*IF(ISERROR(AO23),0,AO23)*$D23)</f>
        <v>0</v>
      </c>
      <c r="AQ23" s="452">
        <f ca="1">IF($A23&gt;0,IF(AQ$6=0,0,INDIRECT(ADDRESS(AQ$6-1+CHOOSE($D$4,'Equipment Schedules'!$D$678,'Equipment Schedules'!$D$679,'Equipment Schedules'!$D$680,'Equipment Schedules'!$D$681,'Equipment Schedules'!$D$682,'Equipment Schedules'!$D$683,'Equipment Schedules'!$D$684,'Equipment Schedules'!$D$685,'Equipment Schedules'!$D$686),'Calculations - Fugitives'!$A23+1,,,"Equipment Schedules"))),0)</f>
        <v>0</v>
      </c>
      <c r="AR23" s="484">
        <f ca="1">IF($D23="N/A","N/A",'Setup - Facility Details'!$E$69*('Setup - Facility Details'!$H$69+'Setup - Facility Details'!$I$69)*IF(ISERROR(AQ23),0,AQ23)*$D23)</f>
        <v>0</v>
      </c>
      <c r="AS23" s="452">
        <f ca="1">IF($A23&gt;0,IF(AS$6=0,0,INDIRECT(ADDRESS(AS$6-1+CHOOSE($D$4,'Equipment Schedules'!$D$678,'Equipment Schedules'!$D$679,'Equipment Schedules'!$D$680,'Equipment Schedules'!$D$681,'Equipment Schedules'!$D$682,'Equipment Schedules'!$D$683,'Equipment Schedules'!$D$684,'Equipment Schedules'!$D$685,'Equipment Schedules'!$D$686),'Calculations - Fugitives'!$A23+1,,,"Equipment Schedules"))),0)</f>
        <v>0</v>
      </c>
      <c r="AT23" s="484">
        <f ca="1">IF($D23="N/A","N/A",'Setup - Facility Details'!$E$70*('Setup - Facility Details'!$H$70+'Setup - Facility Details'!$I$70)*IF(ISERROR(AS23),0,AS23)*$D23)</f>
        <v>0</v>
      </c>
    </row>
    <row r="24" spans="1:46" x14ac:dyDescent="0.3">
      <c r="A24" s="256">
        <f>15+$A$11</f>
        <v>16</v>
      </c>
      <c r="B24" s="48" t="str">
        <f ca="1">'Translation Table'!H556</f>
        <v>Compressor Wet Seals (Centrifugal - Standby &amp; Pressurized)</v>
      </c>
      <c r="C24" s="48" t="str">
        <f ca="1">'Translation Table'!H557</f>
        <v>Gas</v>
      </c>
      <c r="D24" s="485">
        <f ca="1">IF(OR($C$4=OffshoreOilProduction,$C$4=OffshoreGasProduction,$C$4=OnshoreGasProduction,$C$4=OnshoreOilProduction,$C$4=GasProcessing,$C$4=PetroleumRefining),'EFs - Equipment Leaks'!M19,IF(OR($C$4=GasTransmission,$C$4=GasStorage),'EFs - Equipment Leaks'!M61,IF($C$4=GasDistribution,'EFs - Equipment Leaks'!M103,"Error")))</f>
        <v>0</v>
      </c>
      <c r="E24" s="485" t="str">
        <f ca="1">IF($C$4=GasDistribution,'EFs - Equipment Leaks'!$M145,"      N/A ")</f>
        <v xml:space="preserve">      N/A </v>
      </c>
      <c r="F24" s="485" t="str">
        <f ca="1">IF($C$4=GasDistribution,'EFs - Equipment Leaks'!$M187,"      N/A ")</f>
        <v xml:space="preserve">      N/A </v>
      </c>
      <c r="G24" s="193">
        <f ca="1">G23</f>
        <v>0</v>
      </c>
      <c r="H24" s="486">
        <f ca="1">IF($D24="N/A","N/A",'Setup - Facility Details'!$E$51*('Setup - Facility Details'!$H$51+'Setup - Facility Details'!$I$51)*IF(ISERROR(G24),0,G24)*$D24)</f>
        <v>0</v>
      </c>
      <c r="I24" s="193">
        <f ca="1">I23</f>
        <v>0</v>
      </c>
      <c r="J24" s="486">
        <f ca="1">IF($D24="N/A","N/A",'Setup - Facility Details'!$E$52*('Setup - Facility Details'!$H$52+'Setup - Facility Details'!$I$52)*IF(ISERROR(I24),0,I24)*$D24)</f>
        <v>0</v>
      </c>
      <c r="K24" s="193">
        <f ca="1">K23</f>
        <v>0</v>
      </c>
      <c r="L24" s="486">
        <f ca="1">IF($D24="N/A","N/A",'Setup - Facility Details'!$E$53*('Setup - Facility Details'!$H$53+'Setup - Facility Details'!$I$53)*IF(ISERROR(K24),0,K24)*$D24)</f>
        <v>0</v>
      </c>
      <c r="M24" s="193">
        <f ca="1">M23</f>
        <v>0</v>
      </c>
      <c r="N24" s="486">
        <f ca="1">IF($D24="N/A","N/A",'Setup - Facility Details'!$E$54*('Setup - Facility Details'!$H$54+'Setup - Facility Details'!$I$54)*IF(ISERROR(M24),0,M24)*$D24)</f>
        <v>0</v>
      </c>
      <c r="O24" s="193">
        <f ca="1">O23</f>
        <v>0</v>
      </c>
      <c r="P24" s="486">
        <f ca="1">IF($D24="N/A","N/A",'Setup - Facility Details'!$E$55*('Setup - Facility Details'!$H$55+'Setup - Facility Details'!$I$55)*IF(ISERROR(O24),0,O24)*$D24)</f>
        <v>0</v>
      </c>
      <c r="Q24" s="193">
        <f ca="1">Q23</f>
        <v>0</v>
      </c>
      <c r="R24" s="486">
        <f ca="1">IF($D24="N/A","N/A",'Setup - Facility Details'!$E$56*('Setup - Facility Details'!$H$56+'Setup - Facility Details'!$I$56)*IF(ISERROR(Q24),0,Q24)*$D24)</f>
        <v>0</v>
      </c>
      <c r="S24" s="193">
        <f ca="1">S23</f>
        <v>0</v>
      </c>
      <c r="T24" s="486">
        <f ca="1">IF($D24="N/A","N/A",'Setup - Facility Details'!$E$57*('Setup - Facility Details'!$H$57+'Setup - Facility Details'!$I$57)*IF(ISERROR(S24),0,S24)*$D24)</f>
        <v>0</v>
      </c>
      <c r="U24" s="193">
        <f ca="1">U23</f>
        <v>0</v>
      </c>
      <c r="V24" s="486">
        <f ca="1">IF($D24="N/A","N/A",'Setup - Facility Details'!$E$58*('Setup - Facility Details'!$H$58+'Setup - Facility Details'!$I$58)*IF(ISERROR(U24),0,U24)*$D24)</f>
        <v>0</v>
      </c>
      <c r="W24" s="193">
        <f ca="1">W23</f>
        <v>0</v>
      </c>
      <c r="X24" s="486">
        <f ca="1">IF($D24="N/A","N/A",'Setup - Facility Details'!$E$59*('Setup - Facility Details'!$H$59+'Setup - Facility Details'!$I$59)*IF(ISERROR(W24),0,W24)*$D24)</f>
        <v>0</v>
      </c>
      <c r="Y24" s="193">
        <f ca="1">Y23</f>
        <v>0</v>
      </c>
      <c r="Z24" s="486">
        <f ca="1">IF($D24="N/A","N/A",'Setup - Facility Details'!$E$60*('Setup - Facility Details'!$H$60+'Setup - Facility Details'!$I$60)*IF(ISERROR(Y24),0,Y24)*$D24)</f>
        <v>0</v>
      </c>
      <c r="AA24" s="193">
        <f ca="1">AA23</f>
        <v>0</v>
      </c>
      <c r="AB24" s="486">
        <f ca="1">IF($D24="N/A","N/A",'Setup - Facility Details'!$E$61*('Setup - Facility Details'!$H$61+'Setup - Facility Details'!$I$61)*IF(ISERROR(AA24),0,AA24)*$D24)</f>
        <v>0</v>
      </c>
      <c r="AC24" s="193">
        <f ca="1">AC23</f>
        <v>0</v>
      </c>
      <c r="AD24" s="486">
        <f ca="1">IF($D24="N/A","N/A",'Setup - Facility Details'!$E$62*('Setup - Facility Details'!$H$62+'Setup - Facility Details'!$I$62)*IF(ISERROR(AC24),0,AC24)*$D24)</f>
        <v>0</v>
      </c>
      <c r="AE24" s="193">
        <f ca="1">AE23</f>
        <v>0</v>
      </c>
      <c r="AF24" s="486">
        <f ca="1">IF($D24="N/A","N/A",'Setup - Facility Details'!$E$63*('Setup - Facility Details'!$H$63+'Setup - Facility Details'!$I$63)*IF(ISERROR(AE24),0,AE24)*$D24)</f>
        <v>0</v>
      </c>
      <c r="AG24" s="193">
        <f ca="1">AG23</f>
        <v>0</v>
      </c>
      <c r="AH24" s="486">
        <f ca="1">IF($D24="N/A","N/A",'Setup - Facility Details'!$E$64*('Setup - Facility Details'!$H$64+'Setup - Facility Details'!$I$64)*IF(ISERROR(AG24),0,AG24)*$D24)</f>
        <v>0</v>
      </c>
      <c r="AI24" s="193">
        <f ca="1">AI23</f>
        <v>0</v>
      </c>
      <c r="AJ24" s="486">
        <f ca="1">IF($D24="N/A","N/A",'Setup - Facility Details'!$E$65*('Setup - Facility Details'!$H$65+'Setup - Facility Details'!$I$65)*IF(ISERROR(AI24),0,AI24)*$D24)</f>
        <v>0</v>
      </c>
      <c r="AK24" s="193">
        <f ca="1">AK23</f>
        <v>0</v>
      </c>
      <c r="AL24" s="486">
        <f ca="1">IF($D24="N/A","N/A",'Setup - Facility Details'!$E$66*('Setup - Facility Details'!$H$66+'Setup - Facility Details'!$I$66)*IF(ISERROR(AK24),0,AK24)*$D24)</f>
        <v>0</v>
      </c>
      <c r="AM24" s="193">
        <f ca="1">AM23</f>
        <v>0</v>
      </c>
      <c r="AN24" s="486">
        <f ca="1">IF($D24="N/A","N/A",'Setup - Facility Details'!$E$67*('Setup - Facility Details'!$H$67+'Setup - Facility Details'!$I$67)*IF(ISERROR(AM24),0,AM24)*$D24)</f>
        <v>0</v>
      </c>
      <c r="AO24" s="193">
        <f ca="1">AO23</f>
        <v>0</v>
      </c>
      <c r="AP24" s="486">
        <f ca="1">IF($D24="N/A","N/A",'Setup - Facility Details'!$E$68*('Setup - Facility Details'!$H$68+'Setup - Facility Details'!$I$68)*IF(ISERROR(AO24),0,AO24)*$D24)</f>
        <v>0</v>
      </c>
      <c r="AQ24" s="193">
        <f ca="1">AQ23</f>
        <v>0</v>
      </c>
      <c r="AR24" s="486">
        <f ca="1">IF($D24="N/A","N/A",'Setup - Facility Details'!$E$69*('Setup - Facility Details'!$H$69+'Setup - Facility Details'!$I$69)*IF(ISERROR(AQ24),0,AQ24)*$D24)</f>
        <v>0</v>
      </c>
      <c r="AS24" s="193">
        <f ca="1">AS23</f>
        <v>0</v>
      </c>
      <c r="AT24" s="486">
        <f ca="1">IF($D24="N/A","N/A",'Setup - Facility Details'!$E$70*('Setup - Facility Details'!$H$70+'Setup - Facility Details'!$I$70)*IF(ISERROR(AS24),0,AS24)*$D24)</f>
        <v>0</v>
      </c>
    </row>
    <row r="25" spans="1:46" x14ac:dyDescent="0.3">
      <c r="A25" s="256">
        <f>15+$A$11</f>
        <v>16</v>
      </c>
      <c r="B25" s="81" t="str">
        <f ca="1">'Translation Table'!H558</f>
        <v>Compressor Wet Seals (Centrifugal - Depressurized)</v>
      </c>
      <c r="C25" s="81" t="str">
        <f ca="1">'Translation Table'!H559</f>
        <v>Gas</v>
      </c>
      <c r="D25" s="483">
        <f ca="1">IF(OR($C$4=OffshoreOilProduction,$C$4=OffshoreGasProduction,$C$4=OnshoreGasProduction,$C$4=OnshoreOilProduction,$C$4=GasProcessing,$C$4=PetroleumRefining),'EFs - Equipment Leaks'!M20,IF(OR($C$4=GasTransmission,$C$4=GasStorage),'EFs - Equipment Leaks'!M62,IF($C$4=GasDistribution,'EFs - Equipment Leaks'!M104,"Error")))</f>
        <v>0</v>
      </c>
      <c r="E25" s="483" t="str">
        <f ca="1">IF($C$4=GasDistribution,'EFs - Equipment Leaks'!$M146,"      N/A ")</f>
        <v xml:space="preserve">      N/A </v>
      </c>
      <c r="F25" s="483" t="str">
        <f ca="1">IF($C$4=GasDistribution,'EFs - Equipment Leaks'!$M188,"      N/A ")</f>
        <v xml:space="preserve">      N/A </v>
      </c>
      <c r="G25" s="452">
        <f ca="1">G23</f>
        <v>0</v>
      </c>
      <c r="H25" s="484">
        <f ca="1">IF($D25="N/A","N/A",'Setup - Facility Details'!$E$51*('Setup - Facility Details'!$H$51+'Setup - Facility Details'!$I$51)*IF(ISERROR(G25),0,G25)*$D25)</f>
        <v>0</v>
      </c>
      <c r="I25" s="452">
        <f ca="1">I23</f>
        <v>0</v>
      </c>
      <c r="J25" s="484">
        <f ca="1">IF($D25="N/A","N/A",'Setup - Facility Details'!$E$52*('Setup - Facility Details'!$H$52+'Setup - Facility Details'!$I$52)*IF(ISERROR(I25),0,I25)*$D25)</f>
        <v>0</v>
      </c>
      <c r="K25" s="452">
        <f ca="1">K23</f>
        <v>0</v>
      </c>
      <c r="L25" s="484">
        <f ca="1">IF($D25="N/A","N/A",'Setup - Facility Details'!$E$53*('Setup - Facility Details'!$H$53+'Setup - Facility Details'!$I$53)*IF(ISERROR(K25),0,K25)*$D25)</f>
        <v>0</v>
      </c>
      <c r="M25" s="452">
        <f ca="1">M23</f>
        <v>0</v>
      </c>
      <c r="N25" s="484">
        <f ca="1">IF($D25="N/A","N/A",'Setup - Facility Details'!$E$54*('Setup - Facility Details'!$H$54+'Setup - Facility Details'!$I$54)*IF(ISERROR(M25),0,M25)*$D25)</f>
        <v>0</v>
      </c>
      <c r="O25" s="452">
        <f ca="1">O23</f>
        <v>0</v>
      </c>
      <c r="P25" s="484">
        <f ca="1">IF($D25="N/A","N/A",'Setup - Facility Details'!$E$55*('Setup - Facility Details'!$H$55+'Setup - Facility Details'!$I$55)*IF(ISERROR(O25),0,O25)*$D25)</f>
        <v>0</v>
      </c>
      <c r="Q25" s="452">
        <f ca="1">Q23</f>
        <v>0</v>
      </c>
      <c r="R25" s="484">
        <f ca="1">IF($D25="N/A","N/A",'Setup - Facility Details'!$E$56*('Setup - Facility Details'!$H$56+'Setup - Facility Details'!$I$56)*IF(ISERROR(Q25),0,Q25)*$D25)</f>
        <v>0</v>
      </c>
      <c r="S25" s="452">
        <f ca="1">S23</f>
        <v>0</v>
      </c>
      <c r="T25" s="484">
        <f ca="1">IF($D25="N/A","N/A",'Setup - Facility Details'!$E$57*('Setup - Facility Details'!$H$57+'Setup - Facility Details'!$I$57)*IF(ISERROR(S25),0,S25)*$D25)</f>
        <v>0</v>
      </c>
      <c r="U25" s="452">
        <f ca="1">U23</f>
        <v>0</v>
      </c>
      <c r="V25" s="484">
        <f ca="1">IF($D25="N/A","N/A",'Setup - Facility Details'!$E$58*('Setup - Facility Details'!$H$58+'Setup - Facility Details'!$I$58)*IF(ISERROR(U25),0,U25)*$D25)</f>
        <v>0</v>
      </c>
      <c r="W25" s="452">
        <f ca="1">W23</f>
        <v>0</v>
      </c>
      <c r="X25" s="484">
        <f ca="1">IF($D25="N/A","N/A",'Setup - Facility Details'!$E$59*('Setup - Facility Details'!$H$59+'Setup - Facility Details'!$I$59)*IF(ISERROR(W25),0,W25)*$D25)</f>
        <v>0</v>
      </c>
      <c r="Y25" s="452">
        <f ca="1">Y23</f>
        <v>0</v>
      </c>
      <c r="Z25" s="484">
        <f ca="1">IF($D25="N/A","N/A",'Setup - Facility Details'!$E$60*('Setup - Facility Details'!$H$60+'Setup - Facility Details'!$I$60)*IF(ISERROR(Y25),0,Y25)*$D25)</f>
        <v>0</v>
      </c>
      <c r="AA25" s="452">
        <f ca="1">AA23</f>
        <v>0</v>
      </c>
      <c r="AB25" s="484">
        <f ca="1">IF($D25="N/A","N/A",'Setup - Facility Details'!$E$61*('Setup - Facility Details'!$H$61+'Setup - Facility Details'!$I$61)*IF(ISERROR(AA25),0,AA25)*$D25)</f>
        <v>0</v>
      </c>
      <c r="AC25" s="452">
        <f ca="1">AC23</f>
        <v>0</v>
      </c>
      <c r="AD25" s="484">
        <f ca="1">IF($D25="N/A","N/A",'Setup - Facility Details'!$E$62*('Setup - Facility Details'!$H$62+'Setup - Facility Details'!$I$62)*IF(ISERROR(AC25),0,AC25)*$D25)</f>
        <v>0</v>
      </c>
      <c r="AE25" s="452">
        <f ca="1">AE23</f>
        <v>0</v>
      </c>
      <c r="AF25" s="484">
        <f ca="1">IF($D25="N/A","N/A",'Setup - Facility Details'!$E$63*('Setup - Facility Details'!$H$63+'Setup - Facility Details'!$I$63)*IF(ISERROR(AE25),0,AE25)*$D25)</f>
        <v>0</v>
      </c>
      <c r="AG25" s="452">
        <f ca="1">AG23</f>
        <v>0</v>
      </c>
      <c r="AH25" s="484">
        <f ca="1">IF($D25="N/A","N/A",'Setup - Facility Details'!$E$64*('Setup - Facility Details'!$H$64+'Setup - Facility Details'!$I$64)*IF(ISERROR(AG25),0,AG25)*$D25)</f>
        <v>0</v>
      </c>
      <c r="AI25" s="452">
        <f ca="1">AI23</f>
        <v>0</v>
      </c>
      <c r="AJ25" s="484">
        <f ca="1">IF($D25="N/A","N/A",'Setup - Facility Details'!$E$65*('Setup - Facility Details'!$H$65+'Setup - Facility Details'!$I$65)*IF(ISERROR(AI25),0,AI25)*$D25)</f>
        <v>0</v>
      </c>
      <c r="AK25" s="452">
        <f ca="1">AK23</f>
        <v>0</v>
      </c>
      <c r="AL25" s="484">
        <f ca="1">IF($D25="N/A","N/A",'Setup - Facility Details'!$E$66*('Setup - Facility Details'!$H$66+'Setup - Facility Details'!$I$66)*IF(ISERROR(AK25),0,AK25)*$D25)</f>
        <v>0</v>
      </c>
      <c r="AM25" s="452">
        <f ca="1">AM23</f>
        <v>0</v>
      </c>
      <c r="AN25" s="484">
        <f ca="1">IF($D25="N/A","N/A",'Setup - Facility Details'!$E$67*('Setup - Facility Details'!$H$67+'Setup - Facility Details'!$I$67)*IF(ISERROR(AM25),0,AM25)*$D25)</f>
        <v>0</v>
      </c>
      <c r="AO25" s="452">
        <f ca="1">AO23</f>
        <v>0</v>
      </c>
      <c r="AP25" s="484">
        <f ca="1">IF($D25="N/A","N/A",'Setup - Facility Details'!$E$68*('Setup - Facility Details'!$H$68+'Setup - Facility Details'!$I$68)*IF(ISERROR(AO25),0,AO25)*$D25)</f>
        <v>0</v>
      </c>
      <c r="AQ25" s="452">
        <f ca="1">AQ23</f>
        <v>0</v>
      </c>
      <c r="AR25" s="484">
        <f ca="1">IF($D25="N/A","N/A",'Setup - Facility Details'!$E$69*('Setup - Facility Details'!$H$69+'Setup - Facility Details'!$I$69)*IF(ISERROR(AQ25),0,AQ25)*$D25)</f>
        <v>0</v>
      </c>
      <c r="AS25" s="452">
        <f ca="1">AS23</f>
        <v>0</v>
      </c>
      <c r="AT25" s="484">
        <f ca="1">IF($D25="N/A","N/A",'Setup - Facility Details'!$E$70*('Setup - Facility Details'!$H$70+'Setup - Facility Details'!$I$70)*IF(ISERROR(AS25),0,AS25)*$D25)</f>
        <v>0</v>
      </c>
    </row>
    <row r="26" spans="1:46" x14ac:dyDescent="0.3">
      <c r="A26" s="256">
        <f>16+$A$11</f>
        <v>17</v>
      </c>
      <c r="B26" s="48" t="str">
        <f ca="1">'Translation Table'!H560</f>
        <v>Compressor Dry Seals (Centrifugal - Operating)</v>
      </c>
      <c r="C26" s="48" t="str">
        <f ca="1">'Translation Table'!H561</f>
        <v>Gas</v>
      </c>
      <c r="D26" s="485">
        <f ca="1">IF(OR($C$4=OffshoreOilProduction,$C$4=OffshoreGasProduction,$C$4=OnshoreGasProduction,$C$4=OnshoreOilProduction,$C$4=GasProcessing,$C$4=PetroleumRefining),'EFs - Equipment Leaks'!M21,IF(OR($C$4=GasTransmission,$C$4=GasStorage),'EFs - Equipment Leaks'!M63,IF($C$4=GasDistribution,'EFs - Equipment Leaks'!M105,"Error")))</f>
        <v>2.8053108245847804</v>
      </c>
      <c r="E26" s="485" t="str">
        <f ca="1">IF($C$4=GasDistribution,'EFs - Equipment Leaks'!$M147,"      N/A ")</f>
        <v xml:space="preserve">      N/A </v>
      </c>
      <c r="F26" s="485" t="str">
        <f ca="1">IF($C$4=GasDistribution,'EFs - Equipment Leaks'!$M189,"      N/A ")</f>
        <v xml:space="preserve">      N/A </v>
      </c>
      <c r="G26" s="193">
        <f ca="1">IF($A26&gt;0,IF(G$6=0,0,INDIRECT(ADDRESS(G$6-1+CHOOSE($D$4,'Equipment Schedules'!$D$678,'Equipment Schedules'!$D$679,'Equipment Schedules'!$D$680,'Equipment Schedules'!$D$681,'Equipment Schedules'!$D$682,'Equipment Schedules'!$D$683,'Equipment Schedules'!$D$684,'Equipment Schedules'!$D$685,'Equipment Schedules'!$D$686),'Calculations - Fugitives'!$A26+1,,,"Equipment Schedules"))),0)</f>
        <v>0</v>
      </c>
      <c r="H26" s="486">
        <f ca="1">IF($D26="N/A","N/A",'Setup - Facility Details'!$E$51*('Setup - Facility Details'!$H$51+'Setup - Facility Details'!$I$51)*IF(ISERROR(G26),0,G26)*$D26)</f>
        <v>0</v>
      </c>
      <c r="I26" s="193">
        <f ca="1">IF($A26&gt;0,IF(I$6=0,0,INDIRECT(ADDRESS(I$6-1+CHOOSE($D$4,'Equipment Schedules'!$D$678,'Equipment Schedules'!$D$679,'Equipment Schedules'!$D$680,'Equipment Schedules'!$D$681,'Equipment Schedules'!$D$682,'Equipment Schedules'!$D$683,'Equipment Schedules'!$D$684,'Equipment Schedules'!$D$685,'Equipment Schedules'!$D$686),'Calculations - Fugitives'!$A26+1,,,"Equipment Schedules"))),0)</f>
        <v>0</v>
      </c>
      <c r="J26" s="486">
        <f ca="1">IF($D26="N/A","N/A",'Setup - Facility Details'!$E$52*('Setup - Facility Details'!$H$52+'Setup - Facility Details'!$I$52)*IF(ISERROR(I26),0,I26)*$D26)</f>
        <v>0</v>
      </c>
      <c r="K26" s="193">
        <f ca="1">IF($A26&gt;0,IF(K$6=0,0,INDIRECT(ADDRESS(K$6-1+CHOOSE($D$4,'Equipment Schedules'!$D$678,'Equipment Schedules'!$D$679,'Equipment Schedules'!$D$680,'Equipment Schedules'!$D$681,'Equipment Schedules'!$D$682,'Equipment Schedules'!$D$683,'Equipment Schedules'!$D$684,'Equipment Schedules'!$D$685,'Equipment Schedules'!$D$686),'Calculations - Fugitives'!$A26+1,,,"Equipment Schedules"))),0)</f>
        <v>0</v>
      </c>
      <c r="L26" s="486">
        <f ca="1">IF($D26="N/A","N/A",'Setup - Facility Details'!$E$53*('Setup - Facility Details'!$H$53+'Setup - Facility Details'!$I$53)*IF(ISERROR(K26),0,K26)*$D26)</f>
        <v>0</v>
      </c>
      <c r="M26" s="193">
        <f ca="1">IF($A26&gt;0,IF(M$6=0,0,INDIRECT(ADDRESS(M$6-1+CHOOSE($D$4,'Equipment Schedules'!$D$678,'Equipment Schedules'!$D$679,'Equipment Schedules'!$D$680,'Equipment Schedules'!$D$681,'Equipment Schedules'!$D$682,'Equipment Schedules'!$D$683,'Equipment Schedules'!$D$684,'Equipment Schedules'!$D$685,'Equipment Schedules'!$D$686),'Calculations - Fugitives'!$A26+1,,,"Equipment Schedules"))),0)</f>
        <v>0</v>
      </c>
      <c r="N26" s="486">
        <f ca="1">IF($D26="N/A","N/A",'Setup - Facility Details'!$E$54*('Setup - Facility Details'!$H$54+'Setup - Facility Details'!$I$54)*IF(ISERROR(M26),0,M26)*$D26)</f>
        <v>0</v>
      </c>
      <c r="O26" s="193">
        <f ca="1">IF($A26&gt;0,IF(O$6=0,0,INDIRECT(ADDRESS(O$6-1+CHOOSE($D$4,'Equipment Schedules'!$D$678,'Equipment Schedules'!$D$679,'Equipment Schedules'!$D$680,'Equipment Schedules'!$D$681,'Equipment Schedules'!$D$682,'Equipment Schedules'!$D$683,'Equipment Schedules'!$D$684,'Equipment Schedules'!$D$685,'Equipment Schedules'!$D$686),'Calculations - Fugitives'!$A26+1,,,"Equipment Schedules"))),0)</f>
        <v>0</v>
      </c>
      <c r="P26" s="486">
        <f ca="1">IF($D26="N/A","N/A",'Setup - Facility Details'!$E$55*('Setup - Facility Details'!$H$55+'Setup - Facility Details'!$I$55)*IF(ISERROR(O26),0,O26)*$D26)</f>
        <v>0</v>
      </c>
      <c r="Q26" s="193">
        <f ca="1">IF($A26&gt;0,IF(Q$6=0,0,INDIRECT(ADDRESS(Q$6-1+CHOOSE($D$4,'Equipment Schedules'!$D$678,'Equipment Schedules'!$D$679,'Equipment Schedules'!$D$680,'Equipment Schedules'!$D$681,'Equipment Schedules'!$D$682,'Equipment Schedules'!$D$683,'Equipment Schedules'!$D$684,'Equipment Schedules'!$D$685,'Equipment Schedules'!$D$686),'Calculations - Fugitives'!$A26+1,,,"Equipment Schedules"))),0)</f>
        <v>0</v>
      </c>
      <c r="R26" s="486">
        <f ca="1">IF($D26="N/A","N/A",'Setup - Facility Details'!$E$56*('Setup - Facility Details'!$H$56+'Setup - Facility Details'!$I$56)*IF(ISERROR(Q26),0,Q26)*$D26)</f>
        <v>0</v>
      </c>
      <c r="S26" s="193">
        <f ca="1">IF($A26&gt;0,IF(S$6=0,0,INDIRECT(ADDRESS(S$6-1+CHOOSE($D$4,'Equipment Schedules'!$D$678,'Equipment Schedules'!$D$679,'Equipment Schedules'!$D$680,'Equipment Schedules'!$D$681,'Equipment Schedules'!$D$682,'Equipment Schedules'!$D$683,'Equipment Schedules'!$D$684,'Equipment Schedules'!$D$685,'Equipment Schedules'!$D$686),'Calculations - Fugitives'!$A26+1,,,"Equipment Schedules"))),0)</f>
        <v>0</v>
      </c>
      <c r="T26" s="486">
        <f ca="1">IF($D26="N/A","N/A",'Setup - Facility Details'!$E$57*('Setup - Facility Details'!$H$57+'Setup - Facility Details'!$I$57)*IF(ISERROR(S26),0,S26)*$D26)</f>
        <v>0</v>
      </c>
      <c r="U26" s="193">
        <f ca="1">IF($A26&gt;0,IF(U$6=0,0,INDIRECT(ADDRESS(U$6-1+CHOOSE($D$4,'Equipment Schedules'!$D$678,'Equipment Schedules'!$D$679,'Equipment Schedules'!$D$680,'Equipment Schedules'!$D$681,'Equipment Schedules'!$D$682,'Equipment Schedules'!$D$683,'Equipment Schedules'!$D$684,'Equipment Schedules'!$D$685,'Equipment Schedules'!$D$686),'Calculations - Fugitives'!$A26+1,,,"Equipment Schedules"))),0)</f>
        <v>0</v>
      </c>
      <c r="V26" s="486">
        <f ca="1">IF($D26="N/A","N/A",'Setup - Facility Details'!$E$58*('Setup - Facility Details'!$H$58+'Setup - Facility Details'!$I$58)*IF(ISERROR(U26),0,U26)*$D26)</f>
        <v>0</v>
      </c>
      <c r="W26" s="193">
        <f ca="1">IF($A26&gt;0,IF(W$6=0,0,INDIRECT(ADDRESS(W$6-1+CHOOSE($D$4,'Equipment Schedules'!$D$678,'Equipment Schedules'!$D$679,'Equipment Schedules'!$D$680,'Equipment Schedules'!$D$681,'Equipment Schedules'!$D$682,'Equipment Schedules'!$D$683,'Equipment Schedules'!$D$684,'Equipment Schedules'!$D$685,'Equipment Schedules'!$D$686),'Calculations - Fugitives'!$A26+1,,,"Equipment Schedules"))),0)</f>
        <v>0</v>
      </c>
      <c r="X26" s="486">
        <f ca="1">IF($D26="N/A","N/A",'Setup - Facility Details'!$E$59*('Setup - Facility Details'!$H$59+'Setup - Facility Details'!$I$59)*IF(ISERROR(W26),0,W26)*$D26)</f>
        <v>0</v>
      </c>
      <c r="Y26" s="193">
        <f ca="1">IF($A26&gt;0,IF(Y$6=0,0,INDIRECT(ADDRESS(Y$6-1+CHOOSE($D$4,'Equipment Schedules'!$D$678,'Equipment Schedules'!$D$679,'Equipment Schedules'!$D$680,'Equipment Schedules'!$D$681,'Equipment Schedules'!$D$682,'Equipment Schedules'!$D$683,'Equipment Schedules'!$D$684,'Equipment Schedules'!$D$685,'Equipment Schedules'!$D$686),'Calculations - Fugitives'!$A26+1,,,"Equipment Schedules"))),0)</f>
        <v>0</v>
      </c>
      <c r="Z26" s="486">
        <f ca="1">IF($D26="N/A","N/A",'Setup - Facility Details'!$E$60*('Setup - Facility Details'!$H$60+'Setup - Facility Details'!$I$60)*IF(ISERROR(Y26),0,Y26)*$D26)</f>
        <v>0</v>
      </c>
      <c r="AA26" s="193">
        <f ca="1">IF($A26&gt;0,IF(AA$6=0,0,INDIRECT(ADDRESS(AA$6-1+CHOOSE($D$4,'Equipment Schedules'!$D$678,'Equipment Schedules'!$D$679,'Equipment Schedules'!$D$680,'Equipment Schedules'!$D$681,'Equipment Schedules'!$D$682,'Equipment Schedules'!$D$683,'Equipment Schedules'!$D$684,'Equipment Schedules'!$D$685,'Equipment Schedules'!$D$686),'Calculations - Fugitives'!$A26+1,,,"Equipment Schedules"))),0)</f>
        <v>0</v>
      </c>
      <c r="AB26" s="486">
        <f ca="1">IF($D26="N/A","N/A",'Setup - Facility Details'!$E$61*('Setup - Facility Details'!$H$61+'Setup - Facility Details'!$I$61)*IF(ISERROR(AA26),0,AA26)*$D26)</f>
        <v>0</v>
      </c>
      <c r="AC26" s="193">
        <f ca="1">IF($A26&gt;0,IF(AC$6=0,0,INDIRECT(ADDRESS(AC$6-1+CHOOSE($D$4,'Equipment Schedules'!$D$678,'Equipment Schedules'!$D$679,'Equipment Schedules'!$D$680,'Equipment Schedules'!$D$681,'Equipment Schedules'!$D$682,'Equipment Schedules'!$D$683,'Equipment Schedules'!$D$684,'Equipment Schedules'!$D$685,'Equipment Schedules'!$D$686),'Calculations - Fugitives'!$A26+1,,,"Equipment Schedules"))),0)</f>
        <v>0</v>
      </c>
      <c r="AD26" s="486">
        <f ca="1">IF($D26="N/A","N/A",'Setup - Facility Details'!$E$62*('Setup - Facility Details'!$H$62+'Setup - Facility Details'!$I$62)*IF(ISERROR(AC26),0,AC26)*$D26)</f>
        <v>0</v>
      </c>
      <c r="AE26" s="193">
        <f ca="1">IF($A26&gt;0,IF(AE$6=0,0,INDIRECT(ADDRESS(AE$6-1+CHOOSE($D$4,'Equipment Schedules'!$D$678,'Equipment Schedules'!$D$679,'Equipment Schedules'!$D$680,'Equipment Schedules'!$D$681,'Equipment Schedules'!$D$682,'Equipment Schedules'!$D$683,'Equipment Schedules'!$D$684,'Equipment Schedules'!$D$685,'Equipment Schedules'!$D$686),'Calculations - Fugitives'!$A26+1,,,"Equipment Schedules"))),0)</f>
        <v>0</v>
      </c>
      <c r="AF26" s="486">
        <f ca="1">IF($D26="N/A","N/A",'Setup - Facility Details'!$E$63*('Setup - Facility Details'!$H$63+'Setup - Facility Details'!$I$63)*IF(ISERROR(AE26),0,AE26)*$D26)</f>
        <v>0</v>
      </c>
      <c r="AG26" s="193">
        <f ca="1">IF($A26&gt;0,IF(AG$6=0,0,INDIRECT(ADDRESS(AG$6-1+CHOOSE($D$4,'Equipment Schedules'!$D$678,'Equipment Schedules'!$D$679,'Equipment Schedules'!$D$680,'Equipment Schedules'!$D$681,'Equipment Schedules'!$D$682,'Equipment Schedules'!$D$683,'Equipment Schedules'!$D$684,'Equipment Schedules'!$D$685,'Equipment Schedules'!$D$686),'Calculations - Fugitives'!$A26+1,,,"Equipment Schedules"))),0)</f>
        <v>0</v>
      </c>
      <c r="AH26" s="486">
        <f ca="1">IF($D26="N/A","N/A",'Setup - Facility Details'!$E$64*('Setup - Facility Details'!$H$64+'Setup - Facility Details'!$I$64)*IF(ISERROR(AG26),0,AG26)*$D26)</f>
        <v>0</v>
      </c>
      <c r="AI26" s="193">
        <f ca="1">IF($A26&gt;0,IF(AI$6=0,0,INDIRECT(ADDRESS(AI$6-1+CHOOSE($D$4,'Equipment Schedules'!$D$678,'Equipment Schedules'!$D$679,'Equipment Schedules'!$D$680,'Equipment Schedules'!$D$681,'Equipment Schedules'!$D$682,'Equipment Schedules'!$D$683,'Equipment Schedules'!$D$684,'Equipment Schedules'!$D$685,'Equipment Schedules'!$D$686),'Calculations - Fugitives'!$A26+1,,,"Equipment Schedules"))),0)</f>
        <v>0</v>
      </c>
      <c r="AJ26" s="486">
        <f ca="1">IF($D26="N/A","N/A",'Setup - Facility Details'!$E$65*('Setup - Facility Details'!$H$65+'Setup - Facility Details'!$I$65)*IF(ISERROR(AI26),0,AI26)*$D26)</f>
        <v>0</v>
      </c>
      <c r="AK26" s="193">
        <f ca="1">IF($A26&gt;0,IF(AK$6=0,0,INDIRECT(ADDRESS(AK$6-1+CHOOSE($D$4,'Equipment Schedules'!$D$678,'Equipment Schedules'!$D$679,'Equipment Schedules'!$D$680,'Equipment Schedules'!$D$681,'Equipment Schedules'!$D$682,'Equipment Schedules'!$D$683,'Equipment Schedules'!$D$684,'Equipment Schedules'!$D$685,'Equipment Schedules'!$D$686),'Calculations - Fugitives'!$A26+1,,,"Equipment Schedules"))),0)</f>
        <v>0</v>
      </c>
      <c r="AL26" s="486">
        <f ca="1">IF($D26="N/A","N/A",'Setup - Facility Details'!$E$66*('Setup - Facility Details'!$H$66+'Setup - Facility Details'!$I$66)*IF(ISERROR(AK26),0,AK26)*$D26)</f>
        <v>0</v>
      </c>
      <c r="AM26" s="193">
        <f ca="1">IF($A26&gt;0,IF(AM$6=0,0,INDIRECT(ADDRESS(AM$6-1+CHOOSE($D$4,'Equipment Schedules'!$D$678,'Equipment Schedules'!$D$679,'Equipment Schedules'!$D$680,'Equipment Schedules'!$D$681,'Equipment Schedules'!$D$682,'Equipment Schedules'!$D$683,'Equipment Schedules'!$D$684,'Equipment Schedules'!$D$685,'Equipment Schedules'!$D$686),'Calculations - Fugitives'!$A26+1,,,"Equipment Schedules"))),0)</f>
        <v>0</v>
      </c>
      <c r="AN26" s="486">
        <f ca="1">IF($D26="N/A","N/A",'Setup - Facility Details'!$E$67*('Setup - Facility Details'!$H$67+'Setup - Facility Details'!$I$67)*IF(ISERROR(AM26),0,AM26)*$D26)</f>
        <v>0</v>
      </c>
      <c r="AO26" s="193">
        <f ca="1">IF($A26&gt;0,IF(AO$6=0,0,INDIRECT(ADDRESS(AO$6-1+CHOOSE($D$4,'Equipment Schedules'!$D$678,'Equipment Schedules'!$D$679,'Equipment Schedules'!$D$680,'Equipment Schedules'!$D$681,'Equipment Schedules'!$D$682,'Equipment Schedules'!$D$683,'Equipment Schedules'!$D$684,'Equipment Schedules'!$D$685,'Equipment Schedules'!$D$686),'Calculations - Fugitives'!$A26+1,,,"Equipment Schedules"))),0)</f>
        <v>0</v>
      </c>
      <c r="AP26" s="486">
        <f ca="1">IF($D26="N/A","N/A",'Setup - Facility Details'!$E$68*('Setup - Facility Details'!$H$68+'Setup - Facility Details'!$I$68)*IF(ISERROR(AO26),0,AO26)*$D26)</f>
        <v>0</v>
      </c>
      <c r="AQ26" s="193">
        <f ca="1">IF($A26&gt;0,IF(AQ$6=0,0,INDIRECT(ADDRESS(AQ$6-1+CHOOSE($D$4,'Equipment Schedules'!$D$678,'Equipment Schedules'!$D$679,'Equipment Schedules'!$D$680,'Equipment Schedules'!$D$681,'Equipment Schedules'!$D$682,'Equipment Schedules'!$D$683,'Equipment Schedules'!$D$684,'Equipment Schedules'!$D$685,'Equipment Schedules'!$D$686),'Calculations - Fugitives'!$A26+1,,,"Equipment Schedules"))),0)</f>
        <v>0</v>
      </c>
      <c r="AR26" s="486">
        <f ca="1">IF($D26="N/A","N/A",'Setup - Facility Details'!$E$69*('Setup - Facility Details'!$H$69+'Setup - Facility Details'!$I$69)*IF(ISERROR(AQ26),0,AQ26)*$D26)</f>
        <v>0</v>
      </c>
      <c r="AS26" s="193">
        <f ca="1">IF($A26&gt;0,IF(AS$6=0,0,INDIRECT(ADDRESS(AS$6-1+CHOOSE($D$4,'Equipment Schedules'!$D$678,'Equipment Schedules'!$D$679,'Equipment Schedules'!$D$680,'Equipment Schedules'!$D$681,'Equipment Schedules'!$D$682,'Equipment Schedules'!$D$683,'Equipment Schedules'!$D$684,'Equipment Schedules'!$D$685,'Equipment Schedules'!$D$686),'Calculations - Fugitives'!$A26+1,,,"Equipment Schedules"))),0)</f>
        <v>0</v>
      </c>
      <c r="AT26" s="486">
        <f ca="1">IF($D26="N/A","N/A",'Setup - Facility Details'!$E$70*('Setup - Facility Details'!$H$70+'Setup - Facility Details'!$I$70)*IF(ISERROR(AS26),0,AS26)*$D26)</f>
        <v>0</v>
      </c>
    </row>
    <row r="27" spans="1:46" x14ac:dyDescent="0.3">
      <c r="A27" s="256">
        <f>16+$A$11</f>
        <v>17</v>
      </c>
      <c r="B27" s="81" t="str">
        <f ca="1">'Translation Table'!H562</f>
        <v>Compressor Dry Seals (Centrifugal - Standby &amp; Pressurized)</v>
      </c>
      <c r="C27" s="81" t="str">
        <f ca="1">'Translation Table'!H563</f>
        <v>Gas</v>
      </c>
      <c r="D27" s="483">
        <f ca="1">IF(OR($C$4=OffshoreOilProduction,$C$4=OffshoreGasProduction,$C$4=OnshoreGasProduction,$C$4=OnshoreOilProduction,$C$4=GasProcessing,$C$4=PetroleumRefining),'EFs - Equipment Leaks'!M22,IF(OR($C$4=GasTransmission,$C$4=GasStorage),'EFs - Equipment Leaks'!M64,IF($C$4=GasDistribution,'EFs - Equipment Leaks'!M106,"Error")))</f>
        <v>2.8053108245847804</v>
      </c>
      <c r="E27" s="483" t="str">
        <f ca="1">IF($C$4=GasDistribution,'EFs - Equipment Leaks'!$M148,"      N/A ")</f>
        <v xml:space="preserve">      N/A </v>
      </c>
      <c r="F27" s="483" t="str">
        <f ca="1">IF($C$4=GasDistribution,'EFs - Equipment Leaks'!$M190,"      N/A ")</f>
        <v xml:space="preserve">      N/A </v>
      </c>
      <c r="G27" s="452">
        <f ca="1">G26</f>
        <v>0</v>
      </c>
      <c r="H27" s="484">
        <f ca="1">IF($D27="N/A","N/A",'Setup - Facility Details'!$E$51*('Setup - Facility Details'!$H$51+'Setup - Facility Details'!$I$51)*IF(ISERROR(G27),0,G27)*$D27)</f>
        <v>0</v>
      </c>
      <c r="I27" s="452">
        <f ca="1">I26</f>
        <v>0</v>
      </c>
      <c r="J27" s="484">
        <f ca="1">IF($D27="N/A","N/A",'Setup - Facility Details'!$E$52*('Setup - Facility Details'!$H$52+'Setup - Facility Details'!$I$52)*IF(ISERROR(I27),0,I27)*$D27)</f>
        <v>0</v>
      </c>
      <c r="K27" s="452">
        <f ca="1">K26</f>
        <v>0</v>
      </c>
      <c r="L27" s="484">
        <f ca="1">IF($D27="N/A","N/A",'Setup - Facility Details'!$E$53*('Setup - Facility Details'!$H$53+'Setup - Facility Details'!$I$53)*IF(ISERROR(K27),0,K27)*$D27)</f>
        <v>0</v>
      </c>
      <c r="M27" s="452">
        <f ca="1">M26</f>
        <v>0</v>
      </c>
      <c r="N27" s="484">
        <f ca="1">IF($D27="N/A","N/A",'Setup - Facility Details'!$E$54*('Setup - Facility Details'!$H$54+'Setup - Facility Details'!$I$54)*IF(ISERROR(M27),0,M27)*$D27)</f>
        <v>0</v>
      </c>
      <c r="O27" s="452">
        <f ca="1">O26</f>
        <v>0</v>
      </c>
      <c r="P27" s="484">
        <f ca="1">IF($D27="N/A","N/A",'Setup - Facility Details'!$E$55*('Setup - Facility Details'!$H$55+'Setup - Facility Details'!$I$55)*IF(ISERROR(O27),0,O27)*$D27)</f>
        <v>0</v>
      </c>
      <c r="Q27" s="452">
        <f ca="1">Q26</f>
        <v>0</v>
      </c>
      <c r="R27" s="484">
        <f ca="1">IF($D27="N/A","N/A",'Setup - Facility Details'!$E$56*('Setup - Facility Details'!$H$56+'Setup - Facility Details'!$I$56)*IF(ISERROR(Q27),0,Q27)*$D27)</f>
        <v>0</v>
      </c>
      <c r="S27" s="452">
        <f ca="1">S26</f>
        <v>0</v>
      </c>
      <c r="T27" s="484">
        <f ca="1">IF($D27="N/A","N/A",'Setup - Facility Details'!$E$57*('Setup - Facility Details'!$H$57+'Setup - Facility Details'!$I$57)*IF(ISERROR(S27),0,S27)*$D27)</f>
        <v>0</v>
      </c>
      <c r="U27" s="452">
        <f ca="1">U26</f>
        <v>0</v>
      </c>
      <c r="V27" s="484">
        <f ca="1">IF($D27="N/A","N/A",'Setup - Facility Details'!$E$58*('Setup - Facility Details'!$H$58+'Setup - Facility Details'!$I$58)*IF(ISERROR(U27),0,U27)*$D27)</f>
        <v>0</v>
      </c>
      <c r="W27" s="452">
        <f ca="1">W26</f>
        <v>0</v>
      </c>
      <c r="X27" s="484">
        <f ca="1">IF($D27="N/A","N/A",'Setup - Facility Details'!$E$59*('Setup - Facility Details'!$H$59+'Setup - Facility Details'!$I$59)*IF(ISERROR(W27),0,W27)*$D27)</f>
        <v>0</v>
      </c>
      <c r="Y27" s="452">
        <f ca="1">Y26</f>
        <v>0</v>
      </c>
      <c r="Z27" s="484">
        <f ca="1">IF($D27="N/A","N/A",'Setup - Facility Details'!$E$60*('Setup - Facility Details'!$H$60+'Setup - Facility Details'!$I$60)*IF(ISERROR(Y27),0,Y27)*$D27)</f>
        <v>0</v>
      </c>
      <c r="AA27" s="452">
        <f ca="1">AA26</f>
        <v>0</v>
      </c>
      <c r="AB27" s="484">
        <f ca="1">IF($D27="N/A","N/A",'Setup - Facility Details'!$E$61*('Setup - Facility Details'!$H$61+'Setup - Facility Details'!$I$61)*IF(ISERROR(AA27),0,AA27)*$D27)</f>
        <v>0</v>
      </c>
      <c r="AC27" s="452">
        <f ca="1">AC26</f>
        <v>0</v>
      </c>
      <c r="AD27" s="484">
        <f ca="1">IF($D27="N/A","N/A",'Setup - Facility Details'!$E$62*('Setup - Facility Details'!$H$62+'Setup - Facility Details'!$I$62)*IF(ISERROR(AC27),0,AC27)*$D27)</f>
        <v>0</v>
      </c>
      <c r="AE27" s="452">
        <f ca="1">AE26</f>
        <v>0</v>
      </c>
      <c r="AF27" s="484">
        <f ca="1">IF($D27="N/A","N/A",'Setup - Facility Details'!$E$63*('Setup - Facility Details'!$H$63+'Setup - Facility Details'!$I$63)*IF(ISERROR(AE27),0,AE27)*$D27)</f>
        <v>0</v>
      </c>
      <c r="AG27" s="452">
        <f ca="1">AG26</f>
        <v>0</v>
      </c>
      <c r="AH27" s="484">
        <f ca="1">IF($D27="N/A","N/A",'Setup - Facility Details'!$E$64*('Setup - Facility Details'!$H$64+'Setup - Facility Details'!$I$64)*IF(ISERROR(AG27),0,AG27)*$D27)</f>
        <v>0</v>
      </c>
      <c r="AI27" s="452">
        <f ca="1">AI26</f>
        <v>0</v>
      </c>
      <c r="AJ27" s="484">
        <f ca="1">IF($D27="N/A","N/A",'Setup - Facility Details'!$E$65*('Setup - Facility Details'!$H$65+'Setup - Facility Details'!$I$65)*IF(ISERROR(AI27),0,AI27)*$D27)</f>
        <v>0</v>
      </c>
      <c r="AK27" s="452">
        <f ca="1">AK26</f>
        <v>0</v>
      </c>
      <c r="AL27" s="484">
        <f ca="1">IF($D27="N/A","N/A",'Setup - Facility Details'!$E$66*('Setup - Facility Details'!$H$66+'Setup - Facility Details'!$I$66)*IF(ISERROR(AK27),0,AK27)*$D27)</f>
        <v>0</v>
      </c>
      <c r="AM27" s="452">
        <f ca="1">AM26</f>
        <v>0</v>
      </c>
      <c r="AN27" s="484">
        <f ca="1">IF($D27="N/A","N/A",'Setup - Facility Details'!$E$67*('Setup - Facility Details'!$H$67+'Setup - Facility Details'!$I$67)*IF(ISERROR(AM27),0,AM27)*$D27)</f>
        <v>0</v>
      </c>
      <c r="AO27" s="452">
        <f ca="1">AO26</f>
        <v>0</v>
      </c>
      <c r="AP27" s="484">
        <f ca="1">IF($D27="N/A","N/A",'Setup - Facility Details'!$E$68*('Setup - Facility Details'!$H$68+'Setup - Facility Details'!$I$68)*IF(ISERROR(AO27),0,AO27)*$D27)</f>
        <v>0</v>
      </c>
      <c r="AQ27" s="452">
        <f ca="1">AQ26</f>
        <v>0</v>
      </c>
      <c r="AR27" s="484">
        <f ca="1">IF($D27="N/A","N/A",'Setup - Facility Details'!$E$69*('Setup - Facility Details'!$H$69+'Setup - Facility Details'!$I$69)*IF(ISERROR(AQ27),0,AQ27)*$D27)</f>
        <v>0</v>
      </c>
      <c r="AS27" s="452">
        <f ca="1">AS26</f>
        <v>0</v>
      </c>
      <c r="AT27" s="484">
        <f ca="1">IF($D27="N/A","N/A",'Setup - Facility Details'!$E$70*('Setup - Facility Details'!$H$70+'Setup - Facility Details'!$I$70)*IF(ISERROR(AS27),0,AS27)*$D27)</f>
        <v>0</v>
      </c>
    </row>
    <row r="28" spans="1:46" x14ac:dyDescent="0.3">
      <c r="A28" s="256">
        <f>16+$A$11</f>
        <v>17</v>
      </c>
      <c r="B28" s="48" t="str">
        <f ca="1">'Translation Table'!H564</f>
        <v>Compressor Dry Seals (Centrifugal - Depressurized)</v>
      </c>
      <c r="C28" s="48" t="str">
        <f ca="1">'Translation Table'!H565</f>
        <v>Gas</v>
      </c>
      <c r="D28" s="485">
        <f ca="1">IF(OR($C$4=OffshoreOilProduction,$C$4=OffshoreGasProduction,$C$4=OnshoreGasProduction,$C$4=OnshoreOilProduction,$C$4=GasProcessing,$C$4=PetroleumRefining),'EFs - Equipment Leaks'!M23,IF(OR($C$4=GasTransmission,$C$4=GasStorage),'EFs - Equipment Leaks'!M65,IF($C$4=GasDistribution,'EFs - Equipment Leaks'!M107,"Error")))</f>
        <v>0</v>
      </c>
      <c r="E28" s="485" t="str">
        <f ca="1">IF($C$4=GasDistribution,'EFs - Equipment Leaks'!$M149,"      N/A ")</f>
        <v xml:space="preserve">      N/A </v>
      </c>
      <c r="F28" s="485" t="str">
        <f ca="1">IF($C$4=GasDistribution,'EFs - Equipment Leaks'!$M191,"      N/A ")</f>
        <v xml:space="preserve">      N/A </v>
      </c>
      <c r="G28" s="193">
        <f ca="1">G26</f>
        <v>0</v>
      </c>
      <c r="H28" s="486">
        <f ca="1">IF($D28="N/A","N/A",'Setup - Facility Details'!$E$51*('Setup - Facility Details'!$H$51+'Setup - Facility Details'!$I$51)*IF(ISERROR(G28),0,G28)*$D28)</f>
        <v>0</v>
      </c>
      <c r="I28" s="193">
        <f ca="1">I26</f>
        <v>0</v>
      </c>
      <c r="J28" s="486">
        <f ca="1">IF($D28="N/A","N/A",'Setup - Facility Details'!$E$52*('Setup - Facility Details'!$H$52+'Setup - Facility Details'!$I$52)*IF(ISERROR(I28),0,I28)*$D28)</f>
        <v>0</v>
      </c>
      <c r="K28" s="193">
        <f ca="1">K26</f>
        <v>0</v>
      </c>
      <c r="L28" s="486">
        <f ca="1">IF($D28="N/A","N/A",'Setup - Facility Details'!$E$53*('Setup - Facility Details'!$H$53+'Setup - Facility Details'!$I$53)*IF(ISERROR(K28),0,K28)*$D28)</f>
        <v>0</v>
      </c>
      <c r="M28" s="193">
        <f ca="1">M26</f>
        <v>0</v>
      </c>
      <c r="N28" s="486">
        <f ca="1">IF($D28="N/A","N/A",'Setup - Facility Details'!$E$54*('Setup - Facility Details'!$H$54+'Setup - Facility Details'!$I$54)*IF(ISERROR(M28),0,M28)*$D28)</f>
        <v>0</v>
      </c>
      <c r="O28" s="193">
        <f ca="1">O26</f>
        <v>0</v>
      </c>
      <c r="P28" s="486">
        <f ca="1">IF($D28="N/A","N/A",'Setup - Facility Details'!$E$55*('Setup - Facility Details'!$H$55+'Setup - Facility Details'!$I$55)*IF(ISERROR(O28),0,O28)*$D28)</f>
        <v>0</v>
      </c>
      <c r="Q28" s="193">
        <f ca="1">Q26</f>
        <v>0</v>
      </c>
      <c r="R28" s="486">
        <f ca="1">IF($D28="N/A","N/A",'Setup - Facility Details'!$E$56*('Setup - Facility Details'!$H$56+'Setup - Facility Details'!$I$56)*IF(ISERROR(Q28),0,Q28)*$D28)</f>
        <v>0</v>
      </c>
      <c r="S28" s="193">
        <f ca="1">S26</f>
        <v>0</v>
      </c>
      <c r="T28" s="486">
        <f ca="1">IF($D28="N/A","N/A",'Setup - Facility Details'!$E$57*('Setup - Facility Details'!$H$57+'Setup - Facility Details'!$I$57)*IF(ISERROR(S28),0,S28)*$D28)</f>
        <v>0</v>
      </c>
      <c r="U28" s="193">
        <f ca="1">U26</f>
        <v>0</v>
      </c>
      <c r="V28" s="486">
        <f ca="1">IF($D28="N/A","N/A",'Setup - Facility Details'!$E$58*('Setup - Facility Details'!$H$58+'Setup - Facility Details'!$I$58)*IF(ISERROR(U28),0,U28)*$D28)</f>
        <v>0</v>
      </c>
      <c r="W28" s="193">
        <f ca="1">W26</f>
        <v>0</v>
      </c>
      <c r="X28" s="486">
        <f ca="1">IF($D28="N/A","N/A",'Setup - Facility Details'!$E$59*('Setup - Facility Details'!$H$59+'Setup - Facility Details'!$I$59)*IF(ISERROR(W28),0,W28)*$D28)</f>
        <v>0</v>
      </c>
      <c r="Y28" s="193">
        <f ca="1">Y26</f>
        <v>0</v>
      </c>
      <c r="Z28" s="486">
        <f ca="1">IF($D28="N/A","N/A",'Setup - Facility Details'!$E$60*('Setup - Facility Details'!$H$60+'Setup - Facility Details'!$I$60)*IF(ISERROR(Y28),0,Y28)*$D28)</f>
        <v>0</v>
      </c>
      <c r="AA28" s="193">
        <f ca="1">AA26</f>
        <v>0</v>
      </c>
      <c r="AB28" s="486">
        <f ca="1">IF($D28="N/A","N/A",'Setup - Facility Details'!$E$61*('Setup - Facility Details'!$H$61+'Setup - Facility Details'!$I$61)*IF(ISERROR(AA28),0,AA28)*$D28)</f>
        <v>0</v>
      </c>
      <c r="AC28" s="193">
        <f ca="1">AC26</f>
        <v>0</v>
      </c>
      <c r="AD28" s="486">
        <f ca="1">IF($D28="N/A","N/A",'Setup - Facility Details'!$E$62*('Setup - Facility Details'!$H$62+'Setup - Facility Details'!$I$62)*IF(ISERROR(AC28),0,AC28)*$D28)</f>
        <v>0</v>
      </c>
      <c r="AE28" s="193">
        <f ca="1">AE26</f>
        <v>0</v>
      </c>
      <c r="AF28" s="486">
        <f ca="1">IF($D28="N/A","N/A",'Setup - Facility Details'!$E$63*('Setup - Facility Details'!$H$63+'Setup - Facility Details'!$I$63)*IF(ISERROR(AE28),0,AE28)*$D28)</f>
        <v>0</v>
      </c>
      <c r="AG28" s="193">
        <f ca="1">AG26</f>
        <v>0</v>
      </c>
      <c r="AH28" s="486">
        <f ca="1">IF($D28="N/A","N/A",'Setup - Facility Details'!$E$64*('Setup - Facility Details'!$H$64+'Setup - Facility Details'!$I$64)*IF(ISERROR(AG28),0,AG28)*$D28)</f>
        <v>0</v>
      </c>
      <c r="AI28" s="193">
        <f ca="1">AI26</f>
        <v>0</v>
      </c>
      <c r="AJ28" s="486">
        <f ca="1">IF($D28="N/A","N/A",'Setup - Facility Details'!$E$65*('Setup - Facility Details'!$H$65+'Setup - Facility Details'!$I$65)*IF(ISERROR(AI28),0,AI28)*$D28)</f>
        <v>0</v>
      </c>
      <c r="AK28" s="193">
        <f ca="1">AK26</f>
        <v>0</v>
      </c>
      <c r="AL28" s="486">
        <f ca="1">IF($D28="N/A","N/A",'Setup - Facility Details'!$E$66*('Setup - Facility Details'!$H$66+'Setup - Facility Details'!$I$66)*IF(ISERROR(AK28),0,AK28)*$D28)</f>
        <v>0</v>
      </c>
      <c r="AM28" s="193">
        <f ca="1">AM26</f>
        <v>0</v>
      </c>
      <c r="AN28" s="486">
        <f ca="1">IF($D28="N/A","N/A",'Setup - Facility Details'!$E$67*('Setup - Facility Details'!$H$67+'Setup - Facility Details'!$I$67)*IF(ISERROR(AM28),0,AM28)*$D28)</f>
        <v>0</v>
      </c>
      <c r="AO28" s="193">
        <f ca="1">AO26</f>
        <v>0</v>
      </c>
      <c r="AP28" s="486">
        <f ca="1">IF($D28="N/A","N/A",'Setup - Facility Details'!$E$68*('Setup - Facility Details'!$H$68+'Setup - Facility Details'!$I$68)*IF(ISERROR(AO28),0,AO28)*$D28)</f>
        <v>0</v>
      </c>
      <c r="AQ28" s="193">
        <f ca="1">AQ26</f>
        <v>0</v>
      </c>
      <c r="AR28" s="486">
        <f ca="1">IF($D28="N/A","N/A",'Setup - Facility Details'!$E$69*('Setup - Facility Details'!$H$69+'Setup - Facility Details'!$I$69)*IF(ISERROR(AQ28),0,AQ28)*$D28)</f>
        <v>0</v>
      </c>
      <c r="AS28" s="193">
        <f ca="1">AS26</f>
        <v>0</v>
      </c>
      <c r="AT28" s="486">
        <f ca="1">IF($D28="N/A","N/A",'Setup - Facility Details'!$E$70*('Setup - Facility Details'!$H$70+'Setup - Facility Details'!$I$70)*IF(ISERROR(AS28),0,AS28)*$D28)</f>
        <v>0</v>
      </c>
    </row>
    <row r="29" spans="1:46" x14ac:dyDescent="0.3">
      <c r="A29" s="256">
        <f>17+$A$11</f>
        <v>18</v>
      </c>
      <c r="B29" s="81" t="str">
        <f ca="1">'Translation Table'!H566</f>
        <v>Compressor (Reciprocating - Crankcase Vent)</v>
      </c>
      <c r="C29" s="81" t="str">
        <f ca="1">'Translation Table'!H567</f>
        <v>Gas</v>
      </c>
      <c r="D29" s="483">
        <f ca="1">IF(OR($C$4=OffshoreOilProduction,$C$4=OffshoreGasProduction,$C$4=OnshoreGasProduction,$C$4=OnshoreOilProduction,$C$4=GasProcessing,$C$4=PetroleumRefining),'EFs - Equipment Leaks'!M24,IF(OR($C$4=GasTransmission,$C$4=GasStorage),'EFs - Equipment Leaks'!M66,IF($C$4=GasDistribution,'EFs - Equipment Leaks'!M108,"Error")))</f>
        <v>9.7191871087976642E-3</v>
      </c>
      <c r="E29" s="483" t="str">
        <f ca="1">IF($C$4=GasDistribution,'EFs - Equipment Leaks'!$M150,"      N/A ")</f>
        <v xml:space="preserve">      N/A </v>
      </c>
      <c r="F29" s="483" t="str">
        <f ca="1">IF($C$4=GasDistribution,'EFs - Equipment Leaks'!$M192,"      N/A ")</f>
        <v xml:space="preserve">      N/A </v>
      </c>
      <c r="G29" s="452">
        <f ca="1">IF($A29&gt;0,IF(G$6=0,0,INDIRECT(ADDRESS(G$6-1+CHOOSE($D$4,'Equipment Schedules'!$D$678,'Equipment Schedules'!$D$679,'Equipment Schedules'!$D$680,'Equipment Schedules'!$D$681,'Equipment Schedules'!$D$682,'Equipment Schedules'!$D$683,'Equipment Schedules'!$D$684,'Equipment Schedules'!$D$685,'Equipment Schedules'!$D$686),'Calculations - Fugitives'!$A29+1,,,"Equipment Schedules"))),0)</f>
        <v>0</v>
      </c>
      <c r="H29" s="484">
        <f ca="1">IF($D29="N/A","N/A",'Setup - Facility Details'!$E$51*('Setup - Facility Details'!$H$51+'Setup - Facility Details'!$I$51)*IF(ISERROR(G29),0,G29)*$D29)</f>
        <v>0</v>
      </c>
      <c r="I29" s="452">
        <f ca="1">IF($A29&gt;0,IF(I$6=0,0,INDIRECT(ADDRESS(I$6-1+CHOOSE($D$4,'Equipment Schedules'!$D$678,'Equipment Schedules'!$D$679,'Equipment Schedules'!$D$680,'Equipment Schedules'!$D$681,'Equipment Schedules'!$D$682,'Equipment Schedules'!$D$683,'Equipment Schedules'!$D$684,'Equipment Schedules'!$D$685,'Equipment Schedules'!$D$686),'Calculations - Fugitives'!$A29+1,,,"Equipment Schedules"))),0)</f>
        <v>0</v>
      </c>
      <c r="J29" s="484">
        <f ca="1">IF($D29="N/A","N/A",'Setup - Facility Details'!$E$52*('Setup - Facility Details'!$H$52+'Setup - Facility Details'!$I$52)*IF(ISERROR(I29),0,I29)*$D29)</f>
        <v>0</v>
      </c>
      <c r="K29" s="452">
        <f ca="1">IF($A29&gt;0,IF(K$6=0,0,INDIRECT(ADDRESS(K$6-1+CHOOSE($D$4,'Equipment Schedules'!$D$678,'Equipment Schedules'!$D$679,'Equipment Schedules'!$D$680,'Equipment Schedules'!$D$681,'Equipment Schedules'!$D$682,'Equipment Schedules'!$D$683,'Equipment Schedules'!$D$684,'Equipment Schedules'!$D$685,'Equipment Schedules'!$D$686),'Calculations - Fugitives'!$A29+1,,,"Equipment Schedules"))),0)</f>
        <v>0</v>
      </c>
      <c r="L29" s="484">
        <f ca="1">IF($D29="N/A","N/A",'Setup - Facility Details'!$E$53*('Setup - Facility Details'!$H$53+'Setup - Facility Details'!$I$53)*IF(ISERROR(K29),0,K29)*$D29)</f>
        <v>0</v>
      </c>
      <c r="M29" s="452">
        <f ca="1">IF($A29&gt;0,IF(M$6=0,0,INDIRECT(ADDRESS(M$6-1+CHOOSE($D$4,'Equipment Schedules'!$D$678,'Equipment Schedules'!$D$679,'Equipment Schedules'!$D$680,'Equipment Schedules'!$D$681,'Equipment Schedules'!$D$682,'Equipment Schedules'!$D$683,'Equipment Schedules'!$D$684,'Equipment Schedules'!$D$685,'Equipment Schedules'!$D$686),'Calculations - Fugitives'!$A29+1,,,"Equipment Schedules"))),0)</f>
        <v>0</v>
      </c>
      <c r="N29" s="484">
        <f ca="1">IF($D29="N/A","N/A",'Setup - Facility Details'!$E$54*('Setup - Facility Details'!$H$54+'Setup - Facility Details'!$I$54)*IF(ISERROR(M29),0,M29)*$D29)</f>
        <v>0</v>
      </c>
      <c r="O29" s="452">
        <f ca="1">IF($A29&gt;0,IF(O$6=0,0,INDIRECT(ADDRESS(O$6-1+CHOOSE($D$4,'Equipment Schedules'!$D$678,'Equipment Schedules'!$D$679,'Equipment Schedules'!$D$680,'Equipment Schedules'!$D$681,'Equipment Schedules'!$D$682,'Equipment Schedules'!$D$683,'Equipment Schedules'!$D$684,'Equipment Schedules'!$D$685,'Equipment Schedules'!$D$686),'Calculations - Fugitives'!$A29+1,,,"Equipment Schedules"))),0)</f>
        <v>0</v>
      </c>
      <c r="P29" s="484">
        <f ca="1">IF($D29="N/A","N/A",'Setup - Facility Details'!$E$55*('Setup - Facility Details'!$H$55+'Setup - Facility Details'!$I$55)*IF(ISERROR(O29),0,O29)*$D29)</f>
        <v>0</v>
      </c>
      <c r="Q29" s="452">
        <f ca="1">IF($A29&gt;0,IF(Q$6=0,0,INDIRECT(ADDRESS(Q$6-1+CHOOSE($D$4,'Equipment Schedules'!$D$678,'Equipment Schedules'!$D$679,'Equipment Schedules'!$D$680,'Equipment Schedules'!$D$681,'Equipment Schedules'!$D$682,'Equipment Schedules'!$D$683,'Equipment Schedules'!$D$684,'Equipment Schedules'!$D$685,'Equipment Schedules'!$D$686),'Calculations - Fugitives'!$A29+1,,,"Equipment Schedules"))),0)</f>
        <v>0</v>
      </c>
      <c r="R29" s="484">
        <f ca="1">IF($D29="N/A","N/A",'Setup - Facility Details'!$E$56*('Setup - Facility Details'!$H$56+'Setup - Facility Details'!$I$56)*IF(ISERROR(Q29),0,Q29)*$D29)</f>
        <v>0</v>
      </c>
      <c r="S29" s="452">
        <f ca="1">IF($A29&gt;0,IF(S$6=0,0,INDIRECT(ADDRESS(S$6-1+CHOOSE($D$4,'Equipment Schedules'!$D$678,'Equipment Schedules'!$D$679,'Equipment Schedules'!$D$680,'Equipment Schedules'!$D$681,'Equipment Schedules'!$D$682,'Equipment Schedules'!$D$683,'Equipment Schedules'!$D$684,'Equipment Schedules'!$D$685,'Equipment Schedules'!$D$686),'Calculations - Fugitives'!$A29+1,,,"Equipment Schedules"))),0)</f>
        <v>0</v>
      </c>
      <c r="T29" s="484">
        <f ca="1">IF($D29="N/A","N/A",'Setup - Facility Details'!$E$57*('Setup - Facility Details'!$H$57+'Setup - Facility Details'!$I$57)*IF(ISERROR(S29),0,S29)*$D29)</f>
        <v>0</v>
      </c>
      <c r="U29" s="452">
        <f ca="1">IF($A29&gt;0,IF(U$6=0,0,INDIRECT(ADDRESS(U$6-1+CHOOSE($D$4,'Equipment Schedules'!$D$678,'Equipment Schedules'!$D$679,'Equipment Schedules'!$D$680,'Equipment Schedules'!$D$681,'Equipment Schedules'!$D$682,'Equipment Schedules'!$D$683,'Equipment Schedules'!$D$684,'Equipment Schedules'!$D$685,'Equipment Schedules'!$D$686),'Calculations - Fugitives'!$A29+1,,,"Equipment Schedules"))),0)</f>
        <v>0</v>
      </c>
      <c r="V29" s="484">
        <f ca="1">IF($D29="N/A","N/A",'Setup - Facility Details'!$E$58*('Setup - Facility Details'!$H$58+'Setup - Facility Details'!$I$58)*IF(ISERROR(U29),0,U29)*$D29)</f>
        <v>0</v>
      </c>
      <c r="W29" s="452">
        <f ca="1">IF($A29&gt;0,IF(W$6=0,0,INDIRECT(ADDRESS(W$6-1+CHOOSE($D$4,'Equipment Schedules'!$D$678,'Equipment Schedules'!$D$679,'Equipment Schedules'!$D$680,'Equipment Schedules'!$D$681,'Equipment Schedules'!$D$682,'Equipment Schedules'!$D$683,'Equipment Schedules'!$D$684,'Equipment Schedules'!$D$685,'Equipment Schedules'!$D$686),'Calculations - Fugitives'!$A29+1,,,"Equipment Schedules"))),0)</f>
        <v>0</v>
      </c>
      <c r="X29" s="484">
        <f ca="1">IF($D29="N/A","N/A",'Setup - Facility Details'!$E$59*('Setup - Facility Details'!$H$59+'Setup - Facility Details'!$I$59)*IF(ISERROR(W29),0,W29)*$D29)</f>
        <v>0</v>
      </c>
      <c r="Y29" s="452">
        <f ca="1">IF($A29&gt;0,IF(Y$6=0,0,INDIRECT(ADDRESS(Y$6-1+CHOOSE($D$4,'Equipment Schedules'!$D$678,'Equipment Schedules'!$D$679,'Equipment Schedules'!$D$680,'Equipment Schedules'!$D$681,'Equipment Schedules'!$D$682,'Equipment Schedules'!$D$683,'Equipment Schedules'!$D$684,'Equipment Schedules'!$D$685,'Equipment Schedules'!$D$686),'Calculations - Fugitives'!$A29+1,,,"Equipment Schedules"))),0)</f>
        <v>0</v>
      </c>
      <c r="Z29" s="484">
        <f ca="1">IF($D29="N/A","N/A",'Setup - Facility Details'!$E$60*('Setup - Facility Details'!$H$60+'Setup - Facility Details'!$I$60)*IF(ISERROR(Y29),0,Y29)*$D29)</f>
        <v>0</v>
      </c>
      <c r="AA29" s="452">
        <f ca="1">IF($A29&gt;0,IF(AA$6=0,0,INDIRECT(ADDRESS(AA$6-1+CHOOSE($D$4,'Equipment Schedules'!$D$678,'Equipment Schedules'!$D$679,'Equipment Schedules'!$D$680,'Equipment Schedules'!$D$681,'Equipment Schedules'!$D$682,'Equipment Schedules'!$D$683,'Equipment Schedules'!$D$684,'Equipment Schedules'!$D$685,'Equipment Schedules'!$D$686),'Calculations - Fugitives'!$A29+1,,,"Equipment Schedules"))),0)</f>
        <v>0</v>
      </c>
      <c r="AB29" s="484">
        <f ca="1">IF($D29="N/A","N/A",'Setup - Facility Details'!$E$61*('Setup - Facility Details'!$H$61+'Setup - Facility Details'!$I$61)*IF(ISERROR(AA29),0,AA29)*$D29)</f>
        <v>0</v>
      </c>
      <c r="AC29" s="452">
        <f ca="1">IF($A29&gt;0,IF(AC$6=0,0,INDIRECT(ADDRESS(AC$6-1+CHOOSE($D$4,'Equipment Schedules'!$D$678,'Equipment Schedules'!$D$679,'Equipment Schedules'!$D$680,'Equipment Schedules'!$D$681,'Equipment Schedules'!$D$682,'Equipment Schedules'!$D$683,'Equipment Schedules'!$D$684,'Equipment Schedules'!$D$685,'Equipment Schedules'!$D$686),'Calculations - Fugitives'!$A29+1,,,"Equipment Schedules"))),0)</f>
        <v>0</v>
      </c>
      <c r="AD29" s="484">
        <f ca="1">IF($D29="N/A","N/A",'Setup - Facility Details'!$E$62*('Setup - Facility Details'!$H$62+'Setup - Facility Details'!$I$62)*IF(ISERROR(AC29),0,AC29)*$D29)</f>
        <v>0</v>
      </c>
      <c r="AE29" s="452">
        <f ca="1">IF($A29&gt;0,IF(AE$6=0,0,INDIRECT(ADDRESS(AE$6-1+CHOOSE($D$4,'Equipment Schedules'!$D$678,'Equipment Schedules'!$D$679,'Equipment Schedules'!$D$680,'Equipment Schedules'!$D$681,'Equipment Schedules'!$D$682,'Equipment Schedules'!$D$683,'Equipment Schedules'!$D$684,'Equipment Schedules'!$D$685,'Equipment Schedules'!$D$686),'Calculations - Fugitives'!$A29+1,,,"Equipment Schedules"))),0)</f>
        <v>0</v>
      </c>
      <c r="AF29" s="484">
        <f ca="1">IF($D29="N/A","N/A",'Setup - Facility Details'!$E$63*('Setup - Facility Details'!$H$63+'Setup - Facility Details'!$I$63)*IF(ISERROR(AE29),0,AE29)*$D29)</f>
        <v>0</v>
      </c>
      <c r="AG29" s="452">
        <f ca="1">IF($A29&gt;0,IF(AG$6=0,0,INDIRECT(ADDRESS(AG$6-1+CHOOSE($D$4,'Equipment Schedules'!$D$678,'Equipment Schedules'!$D$679,'Equipment Schedules'!$D$680,'Equipment Schedules'!$D$681,'Equipment Schedules'!$D$682,'Equipment Schedules'!$D$683,'Equipment Schedules'!$D$684,'Equipment Schedules'!$D$685,'Equipment Schedules'!$D$686),'Calculations - Fugitives'!$A29+1,,,"Equipment Schedules"))),0)</f>
        <v>0</v>
      </c>
      <c r="AH29" s="484">
        <f ca="1">IF($D29="N/A","N/A",'Setup - Facility Details'!$E$64*('Setup - Facility Details'!$H$64+'Setup - Facility Details'!$I$64)*IF(ISERROR(AG29),0,AG29)*$D29)</f>
        <v>0</v>
      </c>
      <c r="AI29" s="452">
        <f ca="1">IF($A29&gt;0,IF(AI$6=0,0,INDIRECT(ADDRESS(AI$6-1+CHOOSE($D$4,'Equipment Schedules'!$D$678,'Equipment Schedules'!$D$679,'Equipment Schedules'!$D$680,'Equipment Schedules'!$D$681,'Equipment Schedules'!$D$682,'Equipment Schedules'!$D$683,'Equipment Schedules'!$D$684,'Equipment Schedules'!$D$685,'Equipment Schedules'!$D$686),'Calculations - Fugitives'!$A29+1,,,"Equipment Schedules"))),0)</f>
        <v>0</v>
      </c>
      <c r="AJ29" s="484">
        <f ca="1">IF($D29="N/A","N/A",'Setup - Facility Details'!$E$65*('Setup - Facility Details'!$H$65+'Setup - Facility Details'!$I$65)*IF(ISERROR(AI29),0,AI29)*$D29)</f>
        <v>0</v>
      </c>
      <c r="AK29" s="452">
        <f ca="1">IF($A29&gt;0,IF(AK$6=0,0,INDIRECT(ADDRESS(AK$6-1+CHOOSE($D$4,'Equipment Schedules'!$D$678,'Equipment Schedules'!$D$679,'Equipment Schedules'!$D$680,'Equipment Schedules'!$D$681,'Equipment Schedules'!$D$682,'Equipment Schedules'!$D$683,'Equipment Schedules'!$D$684,'Equipment Schedules'!$D$685,'Equipment Schedules'!$D$686),'Calculations - Fugitives'!$A29+1,,,"Equipment Schedules"))),0)</f>
        <v>0</v>
      </c>
      <c r="AL29" s="484">
        <f ca="1">IF($D29="N/A","N/A",'Setup - Facility Details'!$E$66*('Setup - Facility Details'!$H$66+'Setup - Facility Details'!$I$66)*IF(ISERROR(AK29),0,AK29)*$D29)</f>
        <v>0</v>
      </c>
      <c r="AM29" s="452">
        <f ca="1">IF($A29&gt;0,IF(AM$6=0,0,INDIRECT(ADDRESS(AM$6-1+CHOOSE($D$4,'Equipment Schedules'!$D$678,'Equipment Schedules'!$D$679,'Equipment Schedules'!$D$680,'Equipment Schedules'!$D$681,'Equipment Schedules'!$D$682,'Equipment Schedules'!$D$683,'Equipment Schedules'!$D$684,'Equipment Schedules'!$D$685,'Equipment Schedules'!$D$686),'Calculations - Fugitives'!$A29+1,,,"Equipment Schedules"))),0)</f>
        <v>0</v>
      </c>
      <c r="AN29" s="484">
        <f ca="1">IF($D29="N/A","N/A",'Setup - Facility Details'!$E$67*('Setup - Facility Details'!$H$67+'Setup - Facility Details'!$I$67)*IF(ISERROR(AM29),0,AM29)*$D29)</f>
        <v>0</v>
      </c>
      <c r="AO29" s="452">
        <f ca="1">IF($A29&gt;0,IF(AO$6=0,0,INDIRECT(ADDRESS(AO$6-1+CHOOSE($D$4,'Equipment Schedules'!$D$678,'Equipment Schedules'!$D$679,'Equipment Schedules'!$D$680,'Equipment Schedules'!$D$681,'Equipment Schedules'!$D$682,'Equipment Schedules'!$D$683,'Equipment Schedules'!$D$684,'Equipment Schedules'!$D$685,'Equipment Schedules'!$D$686),'Calculations - Fugitives'!$A29+1,,,"Equipment Schedules"))),0)</f>
        <v>0</v>
      </c>
      <c r="AP29" s="484">
        <f ca="1">IF($D29="N/A","N/A",'Setup - Facility Details'!$E$68*('Setup - Facility Details'!$H$68+'Setup - Facility Details'!$I$68)*IF(ISERROR(AO29),0,AO29)*$D29)</f>
        <v>0</v>
      </c>
      <c r="AQ29" s="452">
        <f ca="1">IF($A29&gt;0,IF(AQ$6=0,0,INDIRECT(ADDRESS(AQ$6-1+CHOOSE($D$4,'Equipment Schedules'!$D$678,'Equipment Schedules'!$D$679,'Equipment Schedules'!$D$680,'Equipment Schedules'!$D$681,'Equipment Schedules'!$D$682,'Equipment Schedules'!$D$683,'Equipment Schedules'!$D$684,'Equipment Schedules'!$D$685,'Equipment Schedules'!$D$686),'Calculations - Fugitives'!$A29+1,,,"Equipment Schedules"))),0)</f>
        <v>0</v>
      </c>
      <c r="AR29" s="484">
        <f ca="1">IF($D29="N/A","N/A",'Setup - Facility Details'!$E$69*('Setup - Facility Details'!$H$69+'Setup - Facility Details'!$I$69)*IF(ISERROR(AQ29),0,AQ29)*$D29)</f>
        <v>0</v>
      </c>
      <c r="AS29" s="452">
        <f ca="1">IF($A29&gt;0,IF(AS$6=0,0,INDIRECT(ADDRESS(AS$6-1+CHOOSE($D$4,'Equipment Schedules'!$D$678,'Equipment Schedules'!$D$679,'Equipment Schedules'!$D$680,'Equipment Schedules'!$D$681,'Equipment Schedules'!$D$682,'Equipment Schedules'!$D$683,'Equipment Schedules'!$D$684,'Equipment Schedules'!$D$685,'Equipment Schedules'!$D$686),'Calculations - Fugitives'!$A29+1,,,"Equipment Schedules"))),0)</f>
        <v>0</v>
      </c>
      <c r="AT29" s="484">
        <f ca="1">IF($D29="N/A","N/A",'Setup - Facility Details'!$E$70*('Setup - Facility Details'!$H$70+'Setup - Facility Details'!$I$70)*IF(ISERROR(AS29),0,AS29)*$D29)</f>
        <v>0</v>
      </c>
    </row>
    <row r="30" spans="1:46" x14ac:dyDescent="0.3">
      <c r="A30" s="256">
        <f>2+$A$11</f>
        <v>3</v>
      </c>
      <c r="B30" s="48" t="str">
        <f ca="1">'Translation Table'!H568</f>
        <v>Pressure Relief Valves</v>
      </c>
      <c r="C30" s="48" t="str">
        <f ca="1">'Translation Table'!H570</f>
        <v>Gas</v>
      </c>
      <c r="D30" s="485">
        <f ca="1">IF(OR($C$4=OffshoreOilProduction,$C$4=OffshoreGasProduction,$C$4=OnshoreGasProduction,$C$4=OnshoreOilProduction,$C$4=GasProcessing,$C$4=PetroleumRefining),'EFs - Equipment Leaks'!M25,IF(OR($C$4=GasTransmission,$C$4=GasStorage),'EFs - Equipment Leaks'!M67,IF($C$4=GasDistribution,'EFs - Equipment Leaks'!M109,"Error")))</f>
        <v>9.7191871087976642E-3</v>
      </c>
      <c r="E30" s="485" t="str">
        <f ca="1">IF($C$4=GasDistribution,'EFs - Equipment Leaks'!$M151,"      N/A ")</f>
        <v xml:space="preserve">      N/A </v>
      </c>
      <c r="F30" s="485" t="str">
        <f ca="1">IF($C$4=GasDistribution,'EFs - Equipment Leaks'!$M193,"      N/A ")</f>
        <v xml:space="preserve">      N/A </v>
      </c>
      <c r="G30" s="193">
        <f ca="1">IF($A30&gt;0,IF(G$6=0,0,INDIRECT(ADDRESS(G$6-1+CHOOSE($D$4,'Equipment Schedules'!$D$678,'Equipment Schedules'!$D$679,'Equipment Schedules'!$D$680,'Equipment Schedules'!$D$681,'Equipment Schedules'!$D$682,'Equipment Schedules'!$D$683,'Equipment Schedules'!$D$684,'Equipment Schedules'!$D$685,'Equipment Schedules'!$D$686),'Calculations - Fugitives'!$A30+1,,,"Equipment Schedules"))),0)</f>
        <v>0</v>
      </c>
      <c r="H30" s="486">
        <f ca="1">IF($D30="N/A","N/A",'Setup - Facility Details'!$E$51*('Setup - Facility Details'!$H$51+'Setup - Facility Details'!$I$51)*IF(ISERROR(G30),0,G30)*$D30)</f>
        <v>0</v>
      </c>
      <c r="I30" s="193">
        <f ca="1">IF($A30&gt;0,IF(I$6=0,0,INDIRECT(ADDRESS(I$6-1+CHOOSE($D$4,'Equipment Schedules'!$D$678,'Equipment Schedules'!$D$679,'Equipment Schedules'!$D$680,'Equipment Schedules'!$D$681,'Equipment Schedules'!$D$682,'Equipment Schedules'!$D$683,'Equipment Schedules'!$D$684,'Equipment Schedules'!$D$685,'Equipment Schedules'!$D$686),'Calculations - Fugitives'!$A30+1,,,"Equipment Schedules"))),0)</f>
        <v>0</v>
      </c>
      <c r="J30" s="486">
        <f ca="1">IF($D30="N/A","N/A",'Setup - Facility Details'!$E$52*('Setup - Facility Details'!$H$52+'Setup - Facility Details'!$I$52)*IF(ISERROR(I30),0,I30)*$D30)</f>
        <v>0</v>
      </c>
      <c r="K30" s="193">
        <f ca="1">IF($A30&gt;0,IF(K$6=0,0,INDIRECT(ADDRESS(K$6-1+CHOOSE($D$4,'Equipment Schedules'!$D$678,'Equipment Schedules'!$D$679,'Equipment Schedules'!$D$680,'Equipment Schedules'!$D$681,'Equipment Schedules'!$D$682,'Equipment Schedules'!$D$683,'Equipment Schedules'!$D$684,'Equipment Schedules'!$D$685,'Equipment Schedules'!$D$686),'Calculations - Fugitives'!$A30+1,,,"Equipment Schedules"))),0)</f>
        <v>0</v>
      </c>
      <c r="L30" s="486">
        <f ca="1">IF($D30="N/A","N/A",'Setup - Facility Details'!$E$53*('Setup - Facility Details'!$H$53+'Setup - Facility Details'!$I$53)*IF(ISERROR(K30),0,K30)*$D30)</f>
        <v>0</v>
      </c>
      <c r="M30" s="193">
        <f ca="1">IF($A30&gt;0,IF(M$6=0,0,INDIRECT(ADDRESS(M$6-1+CHOOSE($D$4,'Equipment Schedules'!$D$678,'Equipment Schedules'!$D$679,'Equipment Schedules'!$D$680,'Equipment Schedules'!$D$681,'Equipment Schedules'!$D$682,'Equipment Schedules'!$D$683,'Equipment Schedules'!$D$684,'Equipment Schedules'!$D$685,'Equipment Schedules'!$D$686),'Calculations - Fugitives'!$A30+1,,,"Equipment Schedules"))),0)</f>
        <v>0</v>
      </c>
      <c r="N30" s="486">
        <f ca="1">IF($D30="N/A","N/A",'Setup - Facility Details'!$E$54*('Setup - Facility Details'!$H$54+'Setup - Facility Details'!$I$54)*IF(ISERROR(M30),0,M30)*$D30)</f>
        <v>0</v>
      </c>
      <c r="O30" s="193">
        <f ca="1">IF($A30&gt;0,IF(O$6=0,0,INDIRECT(ADDRESS(O$6-1+CHOOSE($D$4,'Equipment Schedules'!$D$678,'Equipment Schedules'!$D$679,'Equipment Schedules'!$D$680,'Equipment Schedules'!$D$681,'Equipment Schedules'!$D$682,'Equipment Schedules'!$D$683,'Equipment Schedules'!$D$684,'Equipment Schedules'!$D$685,'Equipment Schedules'!$D$686),'Calculations - Fugitives'!$A30+1,,,"Equipment Schedules"))),0)</f>
        <v>0</v>
      </c>
      <c r="P30" s="486">
        <f ca="1">IF($D30="N/A","N/A",'Setup - Facility Details'!$E$55*('Setup - Facility Details'!$H$55+'Setup - Facility Details'!$I$55)*IF(ISERROR(O30),0,O30)*$D30)</f>
        <v>0</v>
      </c>
      <c r="Q30" s="193">
        <f ca="1">IF($A30&gt;0,IF(Q$6=0,0,INDIRECT(ADDRESS(Q$6-1+CHOOSE($D$4,'Equipment Schedules'!$D$678,'Equipment Schedules'!$D$679,'Equipment Schedules'!$D$680,'Equipment Schedules'!$D$681,'Equipment Schedules'!$D$682,'Equipment Schedules'!$D$683,'Equipment Schedules'!$D$684,'Equipment Schedules'!$D$685,'Equipment Schedules'!$D$686),'Calculations - Fugitives'!$A30+1,,,"Equipment Schedules"))),0)</f>
        <v>0</v>
      </c>
      <c r="R30" s="486">
        <f ca="1">IF($D30="N/A","N/A",'Setup - Facility Details'!$E$56*('Setup - Facility Details'!$H$56+'Setup - Facility Details'!$I$56)*IF(ISERROR(Q30),0,Q30)*$D30)</f>
        <v>0</v>
      </c>
      <c r="S30" s="193">
        <f ca="1">IF($A30&gt;0,IF(S$6=0,0,INDIRECT(ADDRESS(S$6-1+CHOOSE($D$4,'Equipment Schedules'!$D$678,'Equipment Schedules'!$D$679,'Equipment Schedules'!$D$680,'Equipment Schedules'!$D$681,'Equipment Schedules'!$D$682,'Equipment Schedules'!$D$683,'Equipment Schedules'!$D$684,'Equipment Schedules'!$D$685,'Equipment Schedules'!$D$686),'Calculations - Fugitives'!$A30+1,,,"Equipment Schedules"))),0)</f>
        <v>0</v>
      </c>
      <c r="T30" s="486">
        <f ca="1">IF($D30="N/A","N/A",'Setup - Facility Details'!$E$57*('Setup - Facility Details'!$H$57+'Setup - Facility Details'!$I$57)*IF(ISERROR(S30),0,S30)*$D30)</f>
        <v>0</v>
      </c>
      <c r="U30" s="193">
        <f ca="1">IF($A30&gt;0,IF(U$6=0,0,INDIRECT(ADDRESS(U$6-1+CHOOSE($D$4,'Equipment Schedules'!$D$678,'Equipment Schedules'!$D$679,'Equipment Schedules'!$D$680,'Equipment Schedules'!$D$681,'Equipment Schedules'!$D$682,'Equipment Schedules'!$D$683,'Equipment Schedules'!$D$684,'Equipment Schedules'!$D$685,'Equipment Schedules'!$D$686),'Calculations - Fugitives'!$A30+1,,,"Equipment Schedules"))),0)</f>
        <v>0</v>
      </c>
      <c r="V30" s="486">
        <f ca="1">IF($D30="N/A","N/A",'Setup - Facility Details'!$E$58*('Setup - Facility Details'!$H$58+'Setup - Facility Details'!$I$58)*IF(ISERROR(U30),0,U30)*$D30)</f>
        <v>0</v>
      </c>
      <c r="W30" s="193">
        <f ca="1">IF($A30&gt;0,IF(W$6=0,0,INDIRECT(ADDRESS(W$6-1+CHOOSE($D$4,'Equipment Schedules'!$D$678,'Equipment Schedules'!$D$679,'Equipment Schedules'!$D$680,'Equipment Schedules'!$D$681,'Equipment Schedules'!$D$682,'Equipment Schedules'!$D$683,'Equipment Schedules'!$D$684,'Equipment Schedules'!$D$685,'Equipment Schedules'!$D$686),'Calculations - Fugitives'!$A30+1,,,"Equipment Schedules"))),0)</f>
        <v>0</v>
      </c>
      <c r="X30" s="486">
        <f ca="1">IF($D30="N/A","N/A",'Setup - Facility Details'!$E$59*('Setup - Facility Details'!$H$59+'Setup - Facility Details'!$I$59)*IF(ISERROR(W30),0,W30)*$D30)</f>
        <v>0</v>
      </c>
      <c r="Y30" s="193">
        <f ca="1">IF($A30&gt;0,IF(Y$6=0,0,INDIRECT(ADDRESS(Y$6-1+CHOOSE($D$4,'Equipment Schedules'!$D$678,'Equipment Schedules'!$D$679,'Equipment Schedules'!$D$680,'Equipment Schedules'!$D$681,'Equipment Schedules'!$D$682,'Equipment Schedules'!$D$683,'Equipment Schedules'!$D$684,'Equipment Schedules'!$D$685,'Equipment Schedules'!$D$686),'Calculations - Fugitives'!$A30+1,,,"Equipment Schedules"))),0)</f>
        <v>0</v>
      </c>
      <c r="Z30" s="486">
        <f ca="1">IF($D30="N/A","N/A",'Setup - Facility Details'!$E$60*('Setup - Facility Details'!$H$60+'Setup - Facility Details'!$I$60)*IF(ISERROR(Y30),0,Y30)*$D30)</f>
        <v>0</v>
      </c>
      <c r="AA30" s="193">
        <f ca="1">IF($A30&gt;0,IF(AA$6=0,0,INDIRECT(ADDRESS(AA$6-1+CHOOSE($D$4,'Equipment Schedules'!$D$678,'Equipment Schedules'!$D$679,'Equipment Schedules'!$D$680,'Equipment Schedules'!$D$681,'Equipment Schedules'!$D$682,'Equipment Schedules'!$D$683,'Equipment Schedules'!$D$684,'Equipment Schedules'!$D$685,'Equipment Schedules'!$D$686),'Calculations - Fugitives'!$A30+1,,,"Equipment Schedules"))),0)</f>
        <v>0</v>
      </c>
      <c r="AB30" s="486">
        <f ca="1">IF($D30="N/A","N/A",'Setup - Facility Details'!$E$61*('Setup - Facility Details'!$H$61+'Setup - Facility Details'!$I$61)*IF(ISERROR(AA30),0,AA30)*$D30)</f>
        <v>0</v>
      </c>
      <c r="AC30" s="193">
        <f ca="1">IF($A30&gt;0,IF(AC$6=0,0,INDIRECT(ADDRESS(AC$6-1+CHOOSE($D$4,'Equipment Schedules'!$D$678,'Equipment Schedules'!$D$679,'Equipment Schedules'!$D$680,'Equipment Schedules'!$D$681,'Equipment Schedules'!$D$682,'Equipment Schedules'!$D$683,'Equipment Schedules'!$D$684,'Equipment Schedules'!$D$685,'Equipment Schedules'!$D$686),'Calculations - Fugitives'!$A30+1,,,"Equipment Schedules"))),0)</f>
        <v>0</v>
      </c>
      <c r="AD30" s="486">
        <f ca="1">IF($D30="N/A","N/A",'Setup - Facility Details'!$E$62*('Setup - Facility Details'!$H$62+'Setup - Facility Details'!$I$62)*IF(ISERROR(AC30),0,AC30)*$D30)</f>
        <v>0</v>
      </c>
      <c r="AE30" s="193">
        <f ca="1">IF($A30&gt;0,IF(AE$6=0,0,INDIRECT(ADDRESS(AE$6-1+CHOOSE($D$4,'Equipment Schedules'!$D$678,'Equipment Schedules'!$D$679,'Equipment Schedules'!$D$680,'Equipment Schedules'!$D$681,'Equipment Schedules'!$D$682,'Equipment Schedules'!$D$683,'Equipment Schedules'!$D$684,'Equipment Schedules'!$D$685,'Equipment Schedules'!$D$686),'Calculations - Fugitives'!$A30+1,,,"Equipment Schedules"))),0)</f>
        <v>0</v>
      </c>
      <c r="AF30" s="486">
        <f ca="1">IF($D30="N/A","N/A",'Setup - Facility Details'!$E$63*('Setup - Facility Details'!$H$63+'Setup - Facility Details'!$I$63)*IF(ISERROR(AE30),0,AE30)*$D30)</f>
        <v>0</v>
      </c>
      <c r="AG30" s="193">
        <f ca="1">IF($A30&gt;0,IF(AG$6=0,0,INDIRECT(ADDRESS(AG$6-1+CHOOSE($D$4,'Equipment Schedules'!$D$678,'Equipment Schedules'!$D$679,'Equipment Schedules'!$D$680,'Equipment Schedules'!$D$681,'Equipment Schedules'!$D$682,'Equipment Schedules'!$D$683,'Equipment Schedules'!$D$684,'Equipment Schedules'!$D$685,'Equipment Schedules'!$D$686),'Calculations - Fugitives'!$A30+1,,,"Equipment Schedules"))),0)</f>
        <v>0</v>
      </c>
      <c r="AH30" s="486">
        <f ca="1">IF($D30="N/A","N/A",'Setup - Facility Details'!$E$64*('Setup - Facility Details'!$H$64+'Setup - Facility Details'!$I$64)*IF(ISERROR(AG30),0,AG30)*$D30)</f>
        <v>0</v>
      </c>
      <c r="AI30" s="193">
        <f ca="1">IF($A30&gt;0,IF(AI$6=0,0,INDIRECT(ADDRESS(AI$6-1+CHOOSE($D$4,'Equipment Schedules'!$D$678,'Equipment Schedules'!$D$679,'Equipment Schedules'!$D$680,'Equipment Schedules'!$D$681,'Equipment Schedules'!$D$682,'Equipment Schedules'!$D$683,'Equipment Schedules'!$D$684,'Equipment Schedules'!$D$685,'Equipment Schedules'!$D$686),'Calculations - Fugitives'!$A30+1,,,"Equipment Schedules"))),0)</f>
        <v>0</v>
      </c>
      <c r="AJ30" s="486">
        <f ca="1">IF($D30="N/A","N/A",'Setup - Facility Details'!$E$65*('Setup - Facility Details'!$H$65+'Setup - Facility Details'!$I$65)*IF(ISERROR(AI30),0,AI30)*$D30)</f>
        <v>0</v>
      </c>
      <c r="AK30" s="193">
        <f ca="1">IF($A30&gt;0,IF(AK$6=0,0,INDIRECT(ADDRESS(AK$6-1+CHOOSE($D$4,'Equipment Schedules'!$D$678,'Equipment Schedules'!$D$679,'Equipment Schedules'!$D$680,'Equipment Schedules'!$D$681,'Equipment Schedules'!$D$682,'Equipment Schedules'!$D$683,'Equipment Schedules'!$D$684,'Equipment Schedules'!$D$685,'Equipment Schedules'!$D$686),'Calculations - Fugitives'!$A30+1,,,"Equipment Schedules"))),0)</f>
        <v>0</v>
      </c>
      <c r="AL30" s="486">
        <f ca="1">IF($D30="N/A","N/A",'Setup - Facility Details'!$E$66*('Setup - Facility Details'!$H$66+'Setup - Facility Details'!$I$66)*IF(ISERROR(AK30),0,AK30)*$D30)</f>
        <v>0</v>
      </c>
      <c r="AM30" s="193">
        <f ca="1">IF($A30&gt;0,IF(AM$6=0,0,INDIRECT(ADDRESS(AM$6-1+CHOOSE($D$4,'Equipment Schedules'!$D$678,'Equipment Schedules'!$D$679,'Equipment Schedules'!$D$680,'Equipment Schedules'!$D$681,'Equipment Schedules'!$D$682,'Equipment Schedules'!$D$683,'Equipment Schedules'!$D$684,'Equipment Schedules'!$D$685,'Equipment Schedules'!$D$686),'Calculations - Fugitives'!$A30+1,,,"Equipment Schedules"))),0)</f>
        <v>0</v>
      </c>
      <c r="AN30" s="486">
        <f ca="1">IF($D30="N/A","N/A",'Setup - Facility Details'!$E$67*('Setup - Facility Details'!$H$67+'Setup - Facility Details'!$I$67)*IF(ISERROR(AM30),0,AM30)*$D30)</f>
        <v>0</v>
      </c>
      <c r="AO30" s="193">
        <f ca="1">IF($A30&gt;0,IF(AO$6=0,0,INDIRECT(ADDRESS(AO$6-1+CHOOSE($D$4,'Equipment Schedules'!$D$678,'Equipment Schedules'!$D$679,'Equipment Schedules'!$D$680,'Equipment Schedules'!$D$681,'Equipment Schedules'!$D$682,'Equipment Schedules'!$D$683,'Equipment Schedules'!$D$684,'Equipment Schedules'!$D$685,'Equipment Schedules'!$D$686),'Calculations - Fugitives'!$A30+1,,,"Equipment Schedules"))),0)</f>
        <v>0</v>
      </c>
      <c r="AP30" s="486">
        <f ca="1">IF($D30="N/A","N/A",'Setup - Facility Details'!$E$68*('Setup - Facility Details'!$H$68+'Setup - Facility Details'!$I$68)*IF(ISERROR(AO30),0,AO30)*$D30)</f>
        <v>0</v>
      </c>
      <c r="AQ30" s="193">
        <f ca="1">IF($A30&gt;0,IF(AQ$6=0,0,INDIRECT(ADDRESS(AQ$6-1+CHOOSE($D$4,'Equipment Schedules'!$D$678,'Equipment Schedules'!$D$679,'Equipment Schedules'!$D$680,'Equipment Schedules'!$D$681,'Equipment Schedules'!$D$682,'Equipment Schedules'!$D$683,'Equipment Schedules'!$D$684,'Equipment Schedules'!$D$685,'Equipment Schedules'!$D$686),'Calculations - Fugitives'!$A30+1,,,"Equipment Schedules"))),0)</f>
        <v>0</v>
      </c>
      <c r="AR30" s="486">
        <f ca="1">IF($D30="N/A","N/A",'Setup - Facility Details'!$E$69*('Setup - Facility Details'!$H$69+'Setup - Facility Details'!$I$69)*IF(ISERROR(AQ30),0,AQ30)*$D30)</f>
        <v>0</v>
      </c>
      <c r="AS30" s="193">
        <f ca="1">IF($A30&gt;0,IF(AS$6=0,0,INDIRECT(ADDRESS(AS$6-1+CHOOSE($D$4,'Equipment Schedules'!$D$678,'Equipment Schedules'!$D$679,'Equipment Schedules'!$D$680,'Equipment Schedules'!$D$681,'Equipment Schedules'!$D$682,'Equipment Schedules'!$D$683,'Equipment Schedules'!$D$684,'Equipment Schedules'!$D$685,'Equipment Schedules'!$D$686),'Calculations - Fugitives'!$A30+1,,,"Equipment Schedules"))),0)</f>
        <v>0</v>
      </c>
      <c r="AT30" s="486">
        <f ca="1">IF($D30="N/A","N/A",'Setup - Facility Details'!$E$70*('Setup - Facility Details'!$H$70+'Setup - Facility Details'!$I$70)*IF(ISERROR(AS30),0,AS30)*$D30)</f>
        <v>0</v>
      </c>
    </row>
    <row r="31" spans="1:46" x14ac:dyDescent="0.3">
      <c r="A31" s="256">
        <f>13+$A$11</f>
        <v>14</v>
      </c>
      <c r="B31" s="81" t="str">
        <f ca="1">'Translation Table'!H569</f>
        <v>Regulators</v>
      </c>
      <c r="C31" s="81" t="str">
        <f ca="1">'Translation Table'!H571</f>
        <v>Gas</v>
      </c>
      <c r="D31" s="483">
        <f ca="1">IF(OR($C$4=OffshoreOilProduction,$C$4=OffshoreGasProduction,$C$4=OnshoreGasProduction,$C$4=OnshoreOilProduction,$C$4=GasProcessing,$C$4=PetroleumRefining),'EFs - Equipment Leaks'!M26,IF(OR($C$4=GasTransmission,$C$4=GasStorage),'EFs - Equipment Leaks'!M68,IF($C$4=GasDistribution,'EFs - Equipment Leaks'!M110,"Error")))</f>
        <v>9.7191871087976642E-3</v>
      </c>
      <c r="E31" s="483" t="str">
        <f ca="1">IF($C$4=GasDistribution,'EFs - Equipment Leaks'!$M152,"      N/A ")</f>
        <v xml:space="preserve">      N/A </v>
      </c>
      <c r="F31" s="483" t="str">
        <f ca="1">IF($C$4=GasDistribution,'EFs - Equipment Leaks'!$M194,"      N/A ")</f>
        <v xml:space="preserve">      N/A </v>
      </c>
      <c r="G31" s="452">
        <f ca="1">IF($A31&gt;0,IF(G$6=0,0,INDIRECT(ADDRESS(G$6-1+CHOOSE($D$4,'Equipment Schedules'!$D$678,'Equipment Schedules'!$D$679,'Equipment Schedules'!$D$680,'Equipment Schedules'!$D$681,'Equipment Schedules'!$D$682,'Equipment Schedules'!$D$683,'Equipment Schedules'!$D$684,'Equipment Schedules'!$D$685,'Equipment Schedules'!$D$686),'Calculations - Fugitives'!$A31+1,,,"Equipment Schedules"))),0)</f>
        <v>0</v>
      </c>
      <c r="H31" s="484">
        <f ca="1">IF($D31="N/A","N/A",'Setup - Facility Details'!$E$51*('Setup - Facility Details'!$H$51+'Setup - Facility Details'!$I$51)*IF(ISERROR(G31),0,G31)*$D31)</f>
        <v>0</v>
      </c>
      <c r="I31" s="452">
        <f ca="1">IF($A31&gt;0,IF(I$6=0,0,INDIRECT(ADDRESS(I$6-1+CHOOSE($D$4,'Equipment Schedules'!$D$678,'Equipment Schedules'!$D$679,'Equipment Schedules'!$D$680,'Equipment Schedules'!$D$681,'Equipment Schedules'!$D$682,'Equipment Schedules'!$D$683,'Equipment Schedules'!$D$684,'Equipment Schedules'!$D$685,'Equipment Schedules'!$D$686),'Calculations - Fugitives'!$A31+1,,,"Equipment Schedules"))),0)</f>
        <v>0</v>
      </c>
      <c r="J31" s="484">
        <f ca="1">IF($D31="N/A","N/A",'Setup - Facility Details'!$E$52*('Setup - Facility Details'!$H$52+'Setup - Facility Details'!$I$52)*IF(ISERROR(I31),0,I31)*$D31)</f>
        <v>0</v>
      </c>
      <c r="K31" s="452">
        <f ca="1">IF($A31&gt;0,IF(K$6=0,0,INDIRECT(ADDRESS(K$6-1+CHOOSE($D$4,'Equipment Schedules'!$D$678,'Equipment Schedules'!$D$679,'Equipment Schedules'!$D$680,'Equipment Schedules'!$D$681,'Equipment Schedules'!$D$682,'Equipment Schedules'!$D$683,'Equipment Schedules'!$D$684,'Equipment Schedules'!$D$685,'Equipment Schedules'!$D$686),'Calculations - Fugitives'!$A31+1,,,"Equipment Schedules"))),0)</f>
        <v>0</v>
      </c>
      <c r="L31" s="484">
        <f ca="1">IF($D31="N/A","N/A",'Setup - Facility Details'!$E$53*('Setup - Facility Details'!$H$53+'Setup - Facility Details'!$I$53)*IF(ISERROR(K31),0,K31)*$D31)</f>
        <v>0</v>
      </c>
      <c r="M31" s="452">
        <f ca="1">IF($A31&gt;0,IF(M$6=0,0,INDIRECT(ADDRESS(M$6-1+CHOOSE($D$4,'Equipment Schedules'!$D$678,'Equipment Schedules'!$D$679,'Equipment Schedules'!$D$680,'Equipment Schedules'!$D$681,'Equipment Schedules'!$D$682,'Equipment Schedules'!$D$683,'Equipment Schedules'!$D$684,'Equipment Schedules'!$D$685,'Equipment Schedules'!$D$686),'Calculations - Fugitives'!$A31+1,,,"Equipment Schedules"))),0)</f>
        <v>0</v>
      </c>
      <c r="N31" s="484">
        <f ca="1">IF($D31="N/A","N/A",'Setup - Facility Details'!$E$54*('Setup - Facility Details'!$H$54+'Setup - Facility Details'!$I$54)*IF(ISERROR(M31),0,M31)*$D31)</f>
        <v>0</v>
      </c>
      <c r="O31" s="452">
        <f ca="1">IF($A31&gt;0,IF(O$6=0,0,INDIRECT(ADDRESS(O$6-1+CHOOSE($D$4,'Equipment Schedules'!$D$678,'Equipment Schedules'!$D$679,'Equipment Schedules'!$D$680,'Equipment Schedules'!$D$681,'Equipment Schedules'!$D$682,'Equipment Schedules'!$D$683,'Equipment Schedules'!$D$684,'Equipment Schedules'!$D$685,'Equipment Schedules'!$D$686),'Calculations - Fugitives'!$A31+1,,,"Equipment Schedules"))),0)</f>
        <v>0</v>
      </c>
      <c r="P31" s="484">
        <f ca="1">IF($D31="N/A","N/A",'Setup - Facility Details'!$E$55*('Setup - Facility Details'!$H$55+'Setup - Facility Details'!$I$55)*IF(ISERROR(O31),0,O31)*$D31)</f>
        <v>0</v>
      </c>
      <c r="Q31" s="452">
        <f ca="1">IF($A31&gt;0,IF(Q$6=0,0,INDIRECT(ADDRESS(Q$6-1+CHOOSE($D$4,'Equipment Schedules'!$D$678,'Equipment Schedules'!$D$679,'Equipment Schedules'!$D$680,'Equipment Schedules'!$D$681,'Equipment Schedules'!$D$682,'Equipment Schedules'!$D$683,'Equipment Schedules'!$D$684,'Equipment Schedules'!$D$685,'Equipment Schedules'!$D$686),'Calculations - Fugitives'!$A31+1,,,"Equipment Schedules"))),0)</f>
        <v>0</v>
      </c>
      <c r="R31" s="484">
        <f ca="1">IF($D31="N/A","N/A",'Setup - Facility Details'!$E$56*('Setup - Facility Details'!$H$56+'Setup - Facility Details'!$I$56)*IF(ISERROR(Q31),0,Q31)*$D31)</f>
        <v>0</v>
      </c>
      <c r="S31" s="452">
        <f ca="1">IF($A31&gt;0,IF(S$6=0,0,INDIRECT(ADDRESS(S$6-1+CHOOSE($D$4,'Equipment Schedules'!$D$678,'Equipment Schedules'!$D$679,'Equipment Schedules'!$D$680,'Equipment Schedules'!$D$681,'Equipment Schedules'!$D$682,'Equipment Schedules'!$D$683,'Equipment Schedules'!$D$684,'Equipment Schedules'!$D$685,'Equipment Schedules'!$D$686),'Calculations - Fugitives'!$A31+1,,,"Equipment Schedules"))),0)</f>
        <v>0</v>
      </c>
      <c r="T31" s="484">
        <f ca="1">IF($D31="N/A","N/A",'Setup - Facility Details'!$E$57*('Setup - Facility Details'!$H$57+'Setup - Facility Details'!$I$57)*IF(ISERROR(S31),0,S31)*$D31)</f>
        <v>0</v>
      </c>
      <c r="U31" s="452">
        <f ca="1">IF($A31&gt;0,IF(U$6=0,0,INDIRECT(ADDRESS(U$6-1+CHOOSE($D$4,'Equipment Schedules'!$D$678,'Equipment Schedules'!$D$679,'Equipment Schedules'!$D$680,'Equipment Schedules'!$D$681,'Equipment Schedules'!$D$682,'Equipment Schedules'!$D$683,'Equipment Schedules'!$D$684,'Equipment Schedules'!$D$685,'Equipment Schedules'!$D$686),'Calculations - Fugitives'!$A31+1,,,"Equipment Schedules"))),0)</f>
        <v>0</v>
      </c>
      <c r="V31" s="484">
        <f ca="1">IF($D31="N/A","N/A",'Setup - Facility Details'!$E$58*('Setup - Facility Details'!$H$58+'Setup - Facility Details'!$I$58)*IF(ISERROR(U31),0,U31)*$D31)</f>
        <v>0</v>
      </c>
      <c r="W31" s="452">
        <f ca="1">IF($A31&gt;0,IF(W$6=0,0,INDIRECT(ADDRESS(W$6-1+CHOOSE($D$4,'Equipment Schedules'!$D$678,'Equipment Schedules'!$D$679,'Equipment Schedules'!$D$680,'Equipment Schedules'!$D$681,'Equipment Schedules'!$D$682,'Equipment Schedules'!$D$683,'Equipment Schedules'!$D$684,'Equipment Schedules'!$D$685,'Equipment Schedules'!$D$686),'Calculations - Fugitives'!$A31+1,,,"Equipment Schedules"))),0)</f>
        <v>0</v>
      </c>
      <c r="X31" s="484">
        <f ca="1">IF($D31="N/A","N/A",'Setup - Facility Details'!$E$59*('Setup - Facility Details'!$H$59+'Setup - Facility Details'!$I$59)*IF(ISERROR(W31),0,W31)*$D31)</f>
        <v>0</v>
      </c>
      <c r="Y31" s="452">
        <f ca="1">IF($A31&gt;0,IF(Y$6=0,0,INDIRECT(ADDRESS(Y$6-1+CHOOSE($D$4,'Equipment Schedules'!$D$678,'Equipment Schedules'!$D$679,'Equipment Schedules'!$D$680,'Equipment Schedules'!$D$681,'Equipment Schedules'!$D$682,'Equipment Schedules'!$D$683,'Equipment Schedules'!$D$684,'Equipment Schedules'!$D$685,'Equipment Schedules'!$D$686),'Calculations - Fugitives'!$A31+1,,,"Equipment Schedules"))),0)</f>
        <v>0</v>
      </c>
      <c r="Z31" s="484">
        <f ca="1">IF($D31="N/A","N/A",'Setup - Facility Details'!$E$60*('Setup - Facility Details'!$H$60+'Setup - Facility Details'!$I$60)*IF(ISERROR(Y31),0,Y31)*$D31)</f>
        <v>0</v>
      </c>
      <c r="AA31" s="452">
        <f ca="1">IF($A31&gt;0,IF(AA$6=0,0,INDIRECT(ADDRESS(AA$6-1+CHOOSE($D$4,'Equipment Schedules'!$D$678,'Equipment Schedules'!$D$679,'Equipment Schedules'!$D$680,'Equipment Schedules'!$D$681,'Equipment Schedules'!$D$682,'Equipment Schedules'!$D$683,'Equipment Schedules'!$D$684,'Equipment Schedules'!$D$685,'Equipment Schedules'!$D$686),'Calculations - Fugitives'!$A31+1,,,"Equipment Schedules"))),0)</f>
        <v>0</v>
      </c>
      <c r="AB31" s="484">
        <f ca="1">IF($D31="N/A","N/A",'Setup - Facility Details'!$E$61*('Setup - Facility Details'!$H$61+'Setup - Facility Details'!$I$61)*IF(ISERROR(AA31),0,AA31)*$D31)</f>
        <v>0</v>
      </c>
      <c r="AC31" s="452">
        <f ca="1">IF($A31&gt;0,IF(AC$6=0,0,INDIRECT(ADDRESS(AC$6-1+CHOOSE($D$4,'Equipment Schedules'!$D$678,'Equipment Schedules'!$D$679,'Equipment Schedules'!$D$680,'Equipment Schedules'!$D$681,'Equipment Schedules'!$D$682,'Equipment Schedules'!$D$683,'Equipment Schedules'!$D$684,'Equipment Schedules'!$D$685,'Equipment Schedules'!$D$686),'Calculations - Fugitives'!$A31+1,,,"Equipment Schedules"))),0)</f>
        <v>0</v>
      </c>
      <c r="AD31" s="484">
        <f ca="1">IF($D31="N/A","N/A",'Setup - Facility Details'!$E$62*('Setup - Facility Details'!$H$62+'Setup - Facility Details'!$I$62)*IF(ISERROR(AC31),0,AC31)*$D31)</f>
        <v>0</v>
      </c>
      <c r="AE31" s="452">
        <f ca="1">IF($A31&gt;0,IF(AE$6=0,0,INDIRECT(ADDRESS(AE$6-1+CHOOSE($D$4,'Equipment Schedules'!$D$678,'Equipment Schedules'!$D$679,'Equipment Schedules'!$D$680,'Equipment Schedules'!$D$681,'Equipment Schedules'!$D$682,'Equipment Schedules'!$D$683,'Equipment Schedules'!$D$684,'Equipment Schedules'!$D$685,'Equipment Schedules'!$D$686),'Calculations - Fugitives'!$A31+1,,,"Equipment Schedules"))),0)</f>
        <v>0</v>
      </c>
      <c r="AF31" s="484">
        <f ca="1">IF($D31="N/A","N/A",'Setup - Facility Details'!$E$63*('Setup - Facility Details'!$H$63+'Setup - Facility Details'!$I$63)*IF(ISERROR(AE31),0,AE31)*$D31)</f>
        <v>0</v>
      </c>
      <c r="AG31" s="452">
        <f ca="1">IF($A31&gt;0,IF(AG$6=0,0,INDIRECT(ADDRESS(AG$6-1+CHOOSE($D$4,'Equipment Schedules'!$D$678,'Equipment Schedules'!$D$679,'Equipment Schedules'!$D$680,'Equipment Schedules'!$D$681,'Equipment Schedules'!$D$682,'Equipment Schedules'!$D$683,'Equipment Schedules'!$D$684,'Equipment Schedules'!$D$685,'Equipment Schedules'!$D$686),'Calculations - Fugitives'!$A31+1,,,"Equipment Schedules"))),0)</f>
        <v>0</v>
      </c>
      <c r="AH31" s="484">
        <f ca="1">IF($D31="N/A","N/A",'Setup - Facility Details'!$E$64*('Setup - Facility Details'!$H$64+'Setup - Facility Details'!$I$64)*IF(ISERROR(AG31),0,AG31)*$D31)</f>
        <v>0</v>
      </c>
      <c r="AI31" s="452">
        <f ca="1">IF($A31&gt;0,IF(AI$6=0,0,INDIRECT(ADDRESS(AI$6-1+CHOOSE($D$4,'Equipment Schedules'!$D$678,'Equipment Schedules'!$D$679,'Equipment Schedules'!$D$680,'Equipment Schedules'!$D$681,'Equipment Schedules'!$D$682,'Equipment Schedules'!$D$683,'Equipment Schedules'!$D$684,'Equipment Schedules'!$D$685,'Equipment Schedules'!$D$686),'Calculations - Fugitives'!$A31+1,,,"Equipment Schedules"))),0)</f>
        <v>0</v>
      </c>
      <c r="AJ31" s="484">
        <f ca="1">IF($D31="N/A","N/A",'Setup - Facility Details'!$E$65*('Setup - Facility Details'!$H$65+'Setup - Facility Details'!$I$65)*IF(ISERROR(AI31),0,AI31)*$D31)</f>
        <v>0</v>
      </c>
      <c r="AK31" s="452">
        <f ca="1">IF($A31&gt;0,IF(AK$6=0,0,INDIRECT(ADDRESS(AK$6-1+CHOOSE($D$4,'Equipment Schedules'!$D$678,'Equipment Schedules'!$D$679,'Equipment Schedules'!$D$680,'Equipment Schedules'!$D$681,'Equipment Schedules'!$D$682,'Equipment Schedules'!$D$683,'Equipment Schedules'!$D$684,'Equipment Schedules'!$D$685,'Equipment Schedules'!$D$686),'Calculations - Fugitives'!$A31+1,,,"Equipment Schedules"))),0)</f>
        <v>0</v>
      </c>
      <c r="AL31" s="484">
        <f ca="1">IF($D31="N/A","N/A",'Setup - Facility Details'!$E$66*('Setup - Facility Details'!$H$66+'Setup - Facility Details'!$I$66)*IF(ISERROR(AK31),0,AK31)*$D31)</f>
        <v>0</v>
      </c>
      <c r="AM31" s="452">
        <f ca="1">IF($A31&gt;0,IF(AM$6=0,0,INDIRECT(ADDRESS(AM$6-1+CHOOSE($D$4,'Equipment Schedules'!$D$678,'Equipment Schedules'!$D$679,'Equipment Schedules'!$D$680,'Equipment Schedules'!$D$681,'Equipment Schedules'!$D$682,'Equipment Schedules'!$D$683,'Equipment Schedules'!$D$684,'Equipment Schedules'!$D$685,'Equipment Schedules'!$D$686),'Calculations - Fugitives'!$A31+1,,,"Equipment Schedules"))),0)</f>
        <v>0</v>
      </c>
      <c r="AN31" s="484">
        <f ca="1">IF($D31="N/A","N/A",'Setup - Facility Details'!$E$67*('Setup - Facility Details'!$H$67+'Setup - Facility Details'!$I$67)*IF(ISERROR(AM31),0,AM31)*$D31)</f>
        <v>0</v>
      </c>
      <c r="AO31" s="452">
        <f ca="1">IF($A31&gt;0,IF(AO$6=0,0,INDIRECT(ADDRESS(AO$6-1+CHOOSE($D$4,'Equipment Schedules'!$D$678,'Equipment Schedules'!$D$679,'Equipment Schedules'!$D$680,'Equipment Schedules'!$D$681,'Equipment Schedules'!$D$682,'Equipment Schedules'!$D$683,'Equipment Schedules'!$D$684,'Equipment Schedules'!$D$685,'Equipment Schedules'!$D$686),'Calculations - Fugitives'!$A31+1,,,"Equipment Schedules"))),0)</f>
        <v>0</v>
      </c>
      <c r="AP31" s="484">
        <f ca="1">IF($D31="N/A","N/A",'Setup - Facility Details'!$E$68*('Setup - Facility Details'!$H$68+'Setup - Facility Details'!$I$68)*IF(ISERROR(AO31),0,AO31)*$D31)</f>
        <v>0</v>
      </c>
      <c r="AQ31" s="452">
        <f ca="1">IF($A31&gt;0,IF(AQ$6=0,0,INDIRECT(ADDRESS(AQ$6-1+CHOOSE($D$4,'Equipment Schedules'!$D$678,'Equipment Schedules'!$D$679,'Equipment Schedules'!$D$680,'Equipment Schedules'!$D$681,'Equipment Schedules'!$D$682,'Equipment Schedules'!$D$683,'Equipment Schedules'!$D$684,'Equipment Schedules'!$D$685,'Equipment Schedules'!$D$686),'Calculations - Fugitives'!$A31+1,,,"Equipment Schedules"))),0)</f>
        <v>0</v>
      </c>
      <c r="AR31" s="484">
        <f ca="1">IF($D31="N/A","N/A",'Setup - Facility Details'!$E$69*('Setup - Facility Details'!$H$69+'Setup - Facility Details'!$I$69)*IF(ISERROR(AQ31),0,AQ31)*$D31)</f>
        <v>0</v>
      </c>
      <c r="AS31" s="452">
        <f ca="1">IF($A31&gt;0,IF(AS$6=0,0,INDIRECT(ADDRESS(AS$6-1+CHOOSE($D$4,'Equipment Schedules'!$D$678,'Equipment Schedules'!$D$679,'Equipment Schedules'!$D$680,'Equipment Schedules'!$D$681,'Equipment Schedules'!$D$682,'Equipment Schedules'!$D$683,'Equipment Schedules'!$D$684,'Equipment Schedules'!$D$685,'Equipment Schedules'!$D$686),'Calculations - Fugitives'!$A31+1,,,"Equipment Schedules"))),0)</f>
        <v>0</v>
      </c>
      <c r="AT31" s="484">
        <f ca="1">IF($D31="N/A","N/A",'Setup - Facility Details'!$E$70*('Setup - Facility Details'!$H$70+'Setup - Facility Details'!$I$70)*IF(ISERROR(AS31),0,AS31)*$D31)</f>
        <v>0</v>
      </c>
    </row>
    <row r="32" spans="1:46" x14ac:dyDescent="0.3">
      <c r="A32" s="256">
        <f>12+$A$11</f>
        <v>13</v>
      </c>
      <c r="B32" s="48" t="str">
        <f ca="1">'Translation Table'!H572</f>
        <v>Connectors</v>
      </c>
      <c r="C32" s="48" t="str">
        <f ca="1">'Translation Table'!H573</f>
        <v>Gas</v>
      </c>
      <c r="D32" s="485">
        <f ca="1">IF(OR($C$4=OffshoreOilProduction,$C$4=OffshoreGasProduction,$C$4=OnshoreGasProduction,$C$4=OnshoreOilProduction,$C$4=GasProcessing,$C$4=PetroleumRefining),'EFs - Equipment Leaks'!M27,IF(OR($C$4=GasTransmission,$C$4=GasStorage),'EFs - Equipment Leaks'!M69,IF($C$4=GasDistribution,'EFs - Equipment Leaks'!M111,"Error")))</f>
        <v>2.2089061610903782E-4</v>
      </c>
      <c r="E32" s="485" t="str">
        <f ca="1">IF($C$4=GasDistribution,'EFs - Equipment Leaks'!$M153,"      N/A ")</f>
        <v xml:space="preserve">      N/A </v>
      </c>
      <c r="F32" s="485" t="str">
        <f ca="1">IF($C$4=GasDistribution,'EFs - Equipment Leaks'!$M195,"      N/A ")</f>
        <v xml:space="preserve">      N/A </v>
      </c>
      <c r="G32" s="193">
        <f ca="1">IF($A32&gt;0,IF(G$6=0,0,INDIRECT(ADDRESS(G$6-1+CHOOSE($D$4,'Equipment Schedules'!$D$678,'Equipment Schedules'!$D$679,'Equipment Schedules'!$D$680,'Equipment Schedules'!$D$681,'Equipment Schedules'!$D$682,'Equipment Schedules'!$D$683,'Equipment Schedules'!$D$684,'Equipment Schedules'!$D$685,'Equipment Schedules'!$D$686),'Calculations - Fugitives'!$A32+1,,,"Equipment Schedules"))),0)</f>
        <v>0</v>
      </c>
      <c r="H32" s="486">
        <f ca="1">IF($D32="N/A","N/A",'Setup - Facility Details'!$E$51*('Setup - Facility Details'!$H$51+'Setup - Facility Details'!$I$51)*IF(ISERROR(G32),0,G32)*$D32)</f>
        <v>0</v>
      </c>
      <c r="I32" s="193">
        <f ca="1">IF($A32&gt;0,IF(I$6=0,0,INDIRECT(ADDRESS(I$6-1+CHOOSE($D$4,'Equipment Schedules'!$D$678,'Equipment Schedules'!$D$679,'Equipment Schedules'!$D$680,'Equipment Schedules'!$D$681,'Equipment Schedules'!$D$682,'Equipment Schedules'!$D$683,'Equipment Schedules'!$D$684,'Equipment Schedules'!$D$685,'Equipment Schedules'!$D$686),'Calculations - Fugitives'!$A32+1,,,"Equipment Schedules"))),0)</f>
        <v>0</v>
      </c>
      <c r="J32" s="486">
        <f ca="1">IF($D32="N/A","N/A",'Setup - Facility Details'!$E$52*('Setup - Facility Details'!$H$52+'Setup - Facility Details'!$I$52)*IF(ISERROR(I32),0,I32)*$D32)</f>
        <v>0</v>
      </c>
      <c r="K32" s="193">
        <f ca="1">IF($A32&gt;0,IF(K$6=0,0,INDIRECT(ADDRESS(K$6-1+CHOOSE($D$4,'Equipment Schedules'!$D$678,'Equipment Schedules'!$D$679,'Equipment Schedules'!$D$680,'Equipment Schedules'!$D$681,'Equipment Schedules'!$D$682,'Equipment Schedules'!$D$683,'Equipment Schedules'!$D$684,'Equipment Schedules'!$D$685,'Equipment Schedules'!$D$686),'Calculations - Fugitives'!$A32+1,,,"Equipment Schedules"))),0)</f>
        <v>0</v>
      </c>
      <c r="L32" s="486">
        <f ca="1">IF($D32="N/A","N/A",'Setup - Facility Details'!$E$53*('Setup - Facility Details'!$H$53+'Setup - Facility Details'!$I$53)*IF(ISERROR(K32),0,K32)*$D32)</f>
        <v>0</v>
      </c>
      <c r="M32" s="193">
        <f ca="1">IF($A32&gt;0,IF(M$6=0,0,INDIRECT(ADDRESS(M$6-1+CHOOSE($D$4,'Equipment Schedules'!$D$678,'Equipment Schedules'!$D$679,'Equipment Schedules'!$D$680,'Equipment Schedules'!$D$681,'Equipment Schedules'!$D$682,'Equipment Schedules'!$D$683,'Equipment Schedules'!$D$684,'Equipment Schedules'!$D$685,'Equipment Schedules'!$D$686),'Calculations - Fugitives'!$A32+1,,,"Equipment Schedules"))),0)</f>
        <v>0</v>
      </c>
      <c r="N32" s="486">
        <f ca="1">IF($D32="N/A","N/A",'Setup - Facility Details'!$E$54*('Setup - Facility Details'!$H$54+'Setup - Facility Details'!$I$54)*IF(ISERROR(M32),0,M32)*$D32)</f>
        <v>0</v>
      </c>
      <c r="O32" s="193">
        <f ca="1">IF($A32&gt;0,IF(O$6=0,0,INDIRECT(ADDRESS(O$6-1+CHOOSE($D$4,'Equipment Schedules'!$D$678,'Equipment Schedules'!$D$679,'Equipment Schedules'!$D$680,'Equipment Schedules'!$D$681,'Equipment Schedules'!$D$682,'Equipment Schedules'!$D$683,'Equipment Schedules'!$D$684,'Equipment Schedules'!$D$685,'Equipment Schedules'!$D$686),'Calculations - Fugitives'!$A32+1,,,"Equipment Schedules"))),0)</f>
        <v>0</v>
      </c>
      <c r="P32" s="486">
        <f ca="1">IF($D32="N/A","N/A",'Setup - Facility Details'!$E$55*('Setup - Facility Details'!$H$55+'Setup - Facility Details'!$I$55)*IF(ISERROR(O32),0,O32)*$D32)</f>
        <v>0</v>
      </c>
      <c r="Q32" s="193">
        <f ca="1">IF($A32&gt;0,IF(Q$6=0,0,INDIRECT(ADDRESS(Q$6-1+CHOOSE($D$4,'Equipment Schedules'!$D$678,'Equipment Schedules'!$D$679,'Equipment Schedules'!$D$680,'Equipment Schedules'!$D$681,'Equipment Schedules'!$D$682,'Equipment Schedules'!$D$683,'Equipment Schedules'!$D$684,'Equipment Schedules'!$D$685,'Equipment Schedules'!$D$686),'Calculations - Fugitives'!$A32+1,,,"Equipment Schedules"))),0)</f>
        <v>0</v>
      </c>
      <c r="R32" s="486">
        <f ca="1">IF($D32="N/A","N/A",'Setup - Facility Details'!$E$56*('Setup - Facility Details'!$H$56+'Setup - Facility Details'!$I$56)*IF(ISERROR(Q32),0,Q32)*$D32)</f>
        <v>0</v>
      </c>
      <c r="S32" s="193">
        <f ca="1">IF($A32&gt;0,IF(S$6=0,0,INDIRECT(ADDRESS(S$6-1+CHOOSE($D$4,'Equipment Schedules'!$D$678,'Equipment Schedules'!$D$679,'Equipment Schedules'!$D$680,'Equipment Schedules'!$D$681,'Equipment Schedules'!$D$682,'Equipment Schedules'!$D$683,'Equipment Schedules'!$D$684,'Equipment Schedules'!$D$685,'Equipment Schedules'!$D$686),'Calculations - Fugitives'!$A32+1,,,"Equipment Schedules"))),0)</f>
        <v>0</v>
      </c>
      <c r="T32" s="486">
        <f ca="1">IF($D32="N/A","N/A",'Setup - Facility Details'!$E$57*('Setup - Facility Details'!$H$57+'Setup - Facility Details'!$I$57)*IF(ISERROR(S32),0,S32)*$D32)</f>
        <v>0</v>
      </c>
      <c r="U32" s="193">
        <f ca="1">IF($A32&gt;0,IF(U$6=0,0,INDIRECT(ADDRESS(U$6-1+CHOOSE($D$4,'Equipment Schedules'!$D$678,'Equipment Schedules'!$D$679,'Equipment Schedules'!$D$680,'Equipment Schedules'!$D$681,'Equipment Schedules'!$D$682,'Equipment Schedules'!$D$683,'Equipment Schedules'!$D$684,'Equipment Schedules'!$D$685,'Equipment Schedules'!$D$686),'Calculations - Fugitives'!$A32+1,,,"Equipment Schedules"))),0)</f>
        <v>0</v>
      </c>
      <c r="V32" s="486">
        <f ca="1">IF($D32="N/A","N/A",'Setup - Facility Details'!$E$58*('Setup - Facility Details'!$H$58+'Setup - Facility Details'!$I$58)*IF(ISERROR(U32),0,U32)*$D32)</f>
        <v>0</v>
      </c>
      <c r="W32" s="193">
        <f ca="1">IF($A32&gt;0,IF(W$6=0,0,INDIRECT(ADDRESS(W$6-1+CHOOSE($D$4,'Equipment Schedules'!$D$678,'Equipment Schedules'!$D$679,'Equipment Schedules'!$D$680,'Equipment Schedules'!$D$681,'Equipment Schedules'!$D$682,'Equipment Schedules'!$D$683,'Equipment Schedules'!$D$684,'Equipment Schedules'!$D$685,'Equipment Schedules'!$D$686),'Calculations - Fugitives'!$A32+1,,,"Equipment Schedules"))),0)</f>
        <v>0</v>
      </c>
      <c r="X32" s="486">
        <f ca="1">IF($D32="N/A","N/A",'Setup - Facility Details'!$E$59*('Setup - Facility Details'!$H$59+'Setup - Facility Details'!$I$59)*IF(ISERROR(W32),0,W32)*$D32)</f>
        <v>0</v>
      </c>
      <c r="Y32" s="193">
        <f ca="1">IF($A32&gt;0,IF(Y$6=0,0,INDIRECT(ADDRESS(Y$6-1+CHOOSE($D$4,'Equipment Schedules'!$D$678,'Equipment Schedules'!$D$679,'Equipment Schedules'!$D$680,'Equipment Schedules'!$D$681,'Equipment Schedules'!$D$682,'Equipment Schedules'!$D$683,'Equipment Schedules'!$D$684,'Equipment Schedules'!$D$685,'Equipment Schedules'!$D$686),'Calculations - Fugitives'!$A32+1,,,"Equipment Schedules"))),0)</f>
        <v>0</v>
      </c>
      <c r="Z32" s="486">
        <f ca="1">IF($D32="N/A","N/A",'Setup - Facility Details'!$E$60*('Setup - Facility Details'!$H$60+'Setup - Facility Details'!$I$60)*IF(ISERROR(Y32),0,Y32)*$D32)</f>
        <v>0</v>
      </c>
      <c r="AA32" s="193">
        <f ca="1">IF($A32&gt;0,IF(AA$6=0,0,INDIRECT(ADDRESS(AA$6-1+CHOOSE($D$4,'Equipment Schedules'!$D$678,'Equipment Schedules'!$D$679,'Equipment Schedules'!$D$680,'Equipment Schedules'!$D$681,'Equipment Schedules'!$D$682,'Equipment Schedules'!$D$683,'Equipment Schedules'!$D$684,'Equipment Schedules'!$D$685,'Equipment Schedules'!$D$686),'Calculations - Fugitives'!$A32+1,,,"Equipment Schedules"))),0)</f>
        <v>0</v>
      </c>
      <c r="AB32" s="486">
        <f ca="1">IF($D32="N/A","N/A",'Setup - Facility Details'!$E$61*('Setup - Facility Details'!$H$61+'Setup - Facility Details'!$I$61)*IF(ISERROR(AA32),0,AA32)*$D32)</f>
        <v>0</v>
      </c>
      <c r="AC32" s="193">
        <f ca="1">IF($A32&gt;0,IF(AC$6=0,0,INDIRECT(ADDRESS(AC$6-1+CHOOSE($D$4,'Equipment Schedules'!$D$678,'Equipment Schedules'!$D$679,'Equipment Schedules'!$D$680,'Equipment Schedules'!$D$681,'Equipment Schedules'!$D$682,'Equipment Schedules'!$D$683,'Equipment Schedules'!$D$684,'Equipment Schedules'!$D$685,'Equipment Schedules'!$D$686),'Calculations - Fugitives'!$A32+1,,,"Equipment Schedules"))),0)</f>
        <v>0</v>
      </c>
      <c r="AD32" s="486">
        <f ca="1">IF($D32="N/A","N/A",'Setup - Facility Details'!$E$62*('Setup - Facility Details'!$H$62+'Setup - Facility Details'!$I$62)*IF(ISERROR(AC32),0,AC32)*$D32)</f>
        <v>0</v>
      </c>
      <c r="AE32" s="193">
        <f ca="1">IF($A32&gt;0,IF(AE$6=0,0,INDIRECT(ADDRESS(AE$6-1+CHOOSE($D$4,'Equipment Schedules'!$D$678,'Equipment Schedules'!$D$679,'Equipment Schedules'!$D$680,'Equipment Schedules'!$D$681,'Equipment Schedules'!$D$682,'Equipment Schedules'!$D$683,'Equipment Schedules'!$D$684,'Equipment Schedules'!$D$685,'Equipment Schedules'!$D$686),'Calculations - Fugitives'!$A32+1,,,"Equipment Schedules"))),0)</f>
        <v>0</v>
      </c>
      <c r="AF32" s="486">
        <f ca="1">IF($D32="N/A","N/A",'Setup - Facility Details'!$E$63*('Setup - Facility Details'!$H$63+'Setup - Facility Details'!$I$63)*IF(ISERROR(AE32),0,AE32)*$D32)</f>
        <v>0</v>
      </c>
      <c r="AG32" s="193">
        <f ca="1">IF($A32&gt;0,IF(AG$6=0,0,INDIRECT(ADDRESS(AG$6-1+CHOOSE($D$4,'Equipment Schedules'!$D$678,'Equipment Schedules'!$D$679,'Equipment Schedules'!$D$680,'Equipment Schedules'!$D$681,'Equipment Schedules'!$D$682,'Equipment Schedules'!$D$683,'Equipment Schedules'!$D$684,'Equipment Schedules'!$D$685,'Equipment Schedules'!$D$686),'Calculations - Fugitives'!$A32+1,,,"Equipment Schedules"))),0)</f>
        <v>0</v>
      </c>
      <c r="AH32" s="486">
        <f ca="1">IF($D32="N/A","N/A",'Setup - Facility Details'!$E$64*('Setup - Facility Details'!$H$64+'Setup - Facility Details'!$I$64)*IF(ISERROR(AG32),0,AG32)*$D32)</f>
        <v>0</v>
      </c>
      <c r="AI32" s="193">
        <f ca="1">IF($A32&gt;0,IF(AI$6=0,0,INDIRECT(ADDRESS(AI$6-1+CHOOSE($D$4,'Equipment Schedules'!$D$678,'Equipment Schedules'!$D$679,'Equipment Schedules'!$D$680,'Equipment Schedules'!$D$681,'Equipment Schedules'!$D$682,'Equipment Schedules'!$D$683,'Equipment Schedules'!$D$684,'Equipment Schedules'!$D$685,'Equipment Schedules'!$D$686),'Calculations - Fugitives'!$A32+1,,,"Equipment Schedules"))),0)</f>
        <v>0</v>
      </c>
      <c r="AJ32" s="486">
        <f ca="1">IF($D32="N/A","N/A",'Setup - Facility Details'!$E$65*('Setup - Facility Details'!$H$65+'Setup - Facility Details'!$I$65)*IF(ISERROR(AI32),0,AI32)*$D32)</f>
        <v>0</v>
      </c>
      <c r="AK32" s="193">
        <f ca="1">IF($A32&gt;0,IF(AK$6=0,0,INDIRECT(ADDRESS(AK$6-1+CHOOSE($D$4,'Equipment Schedules'!$D$678,'Equipment Schedules'!$D$679,'Equipment Schedules'!$D$680,'Equipment Schedules'!$D$681,'Equipment Schedules'!$D$682,'Equipment Schedules'!$D$683,'Equipment Schedules'!$D$684,'Equipment Schedules'!$D$685,'Equipment Schedules'!$D$686),'Calculations - Fugitives'!$A32+1,,,"Equipment Schedules"))),0)</f>
        <v>0</v>
      </c>
      <c r="AL32" s="486">
        <f ca="1">IF($D32="N/A","N/A",'Setup - Facility Details'!$E$66*('Setup - Facility Details'!$H$66+'Setup - Facility Details'!$I$66)*IF(ISERROR(AK32),0,AK32)*$D32)</f>
        <v>0</v>
      </c>
      <c r="AM32" s="193">
        <f ca="1">IF($A32&gt;0,IF(AM$6=0,0,INDIRECT(ADDRESS(AM$6-1+CHOOSE($D$4,'Equipment Schedules'!$D$678,'Equipment Schedules'!$D$679,'Equipment Schedules'!$D$680,'Equipment Schedules'!$D$681,'Equipment Schedules'!$D$682,'Equipment Schedules'!$D$683,'Equipment Schedules'!$D$684,'Equipment Schedules'!$D$685,'Equipment Schedules'!$D$686),'Calculations - Fugitives'!$A32+1,,,"Equipment Schedules"))),0)</f>
        <v>0</v>
      </c>
      <c r="AN32" s="486">
        <f ca="1">IF($D32="N/A","N/A",'Setup - Facility Details'!$E$67*('Setup - Facility Details'!$H$67+'Setup - Facility Details'!$I$67)*IF(ISERROR(AM32),0,AM32)*$D32)</f>
        <v>0</v>
      </c>
      <c r="AO32" s="193">
        <f ca="1">IF($A32&gt;0,IF(AO$6=0,0,INDIRECT(ADDRESS(AO$6-1+CHOOSE($D$4,'Equipment Schedules'!$D$678,'Equipment Schedules'!$D$679,'Equipment Schedules'!$D$680,'Equipment Schedules'!$D$681,'Equipment Schedules'!$D$682,'Equipment Schedules'!$D$683,'Equipment Schedules'!$D$684,'Equipment Schedules'!$D$685,'Equipment Schedules'!$D$686),'Calculations - Fugitives'!$A32+1,,,"Equipment Schedules"))),0)</f>
        <v>0</v>
      </c>
      <c r="AP32" s="486">
        <f ca="1">IF($D32="N/A","N/A",'Setup - Facility Details'!$E$68*('Setup - Facility Details'!$H$68+'Setup - Facility Details'!$I$68)*IF(ISERROR(AO32),0,AO32)*$D32)</f>
        <v>0</v>
      </c>
      <c r="AQ32" s="193">
        <f ca="1">IF($A32&gt;0,IF(AQ$6=0,0,INDIRECT(ADDRESS(AQ$6-1+CHOOSE($D$4,'Equipment Schedules'!$D$678,'Equipment Schedules'!$D$679,'Equipment Schedules'!$D$680,'Equipment Schedules'!$D$681,'Equipment Schedules'!$D$682,'Equipment Schedules'!$D$683,'Equipment Schedules'!$D$684,'Equipment Schedules'!$D$685,'Equipment Schedules'!$D$686),'Calculations - Fugitives'!$A32+1,,,"Equipment Schedules"))),0)</f>
        <v>0</v>
      </c>
      <c r="AR32" s="486">
        <f ca="1">IF($D32="N/A","N/A",'Setup - Facility Details'!$E$69*('Setup - Facility Details'!$H$69+'Setup - Facility Details'!$I$69)*IF(ISERROR(AQ32),0,AQ32)*$D32)</f>
        <v>0</v>
      </c>
      <c r="AS32" s="193">
        <f ca="1">IF($A32&gt;0,IF(AS$6=0,0,INDIRECT(ADDRESS(AS$6-1+CHOOSE($D$4,'Equipment Schedules'!$D$678,'Equipment Schedules'!$D$679,'Equipment Schedules'!$D$680,'Equipment Schedules'!$D$681,'Equipment Schedules'!$D$682,'Equipment Schedules'!$D$683,'Equipment Schedules'!$D$684,'Equipment Schedules'!$D$685,'Equipment Schedules'!$D$686),'Calculations - Fugitives'!$A32+1,,,"Equipment Schedules"))),0)</f>
        <v>0</v>
      </c>
      <c r="AT32" s="486">
        <f ca="1">IF($D32="N/A","N/A",'Setup - Facility Details'!$E$70*('Setup - Facility Details'!$H$70+'Setup - Facility Details'!$I$70)*IF(ISERROR(AS32),0,AS32)*$D32)</f>
        <v>0</v>
      </c>
    </row>
    <row r="33" spans="1:46" x14ac:dyDescent="0.3">
      <c r="A33" s="256">
        <f ca="1">IF($C$6=1,26,22)+$A$11</f>
        <v>23</v>
      </c>
      <c r="B33" s="81" t="str">
        <f ca="1">'Translation Table'!H574</f>
        <v>Connectors</v>
      </c>
      <c r="C33" s="81" t="str">
        <f ca="1">'Translation Table'!H575</f>
        <v>Light Liquid</v>
      </c>
      <c r="D33" s="483">
        <f ca="1">IF(OR($C$4=OffshoreOilProduction,$C$4=OffshoreGasProduction,$C$4=OnshoreGasProduction,$C$4=OnshoreOilProduction,$C$4=GasProcessing,$C$4=PetroleumRefining),'EFs - Equipment Leaks'!M28,IF(OR($C$4=GasTransmission,$C$4=GasStorage),'EFs - Equipment Leaks'!M70,IF($C$4=GasDistribution,'EFs - Equipment Leaks'!M112,"Error")))</f>
        <v>1.3597463330392988E-4</v>
      </c>
      <c r="E33" s="483" t="str">
        <f ca="1">IF($C$4=GasDistribution,'EFs - Equipment Leaks'!$M154,"      N/A ")</f>
        <v xml:space="preserve">      N/A </v>
      </c>
      <c r="F33" s="483" t="str">
        <f ca="1">IF($C$4=GasDistribution,'EFs - Equipment Leaks'!$M196,"      N/A ")</f>
        <v xml:space="preserve">      N/A </v>
      </c>
      <c r="G33" s="452">
        <f ca="1">IF($A33&gt;0,IF(G$6=0,0,INDIRECT(ADDRESS(G$6-1+CHOOSE($D$4,'Equipment Schedules'!$D$678,'Equipment Schedules'!$D$679,'Equipment Schedules'!$D$680,'Equipment Schedules'!$D$681,'Equipment Schedules'!$D$682,'Equipment Schedules'!$D$683,'Equipment Schedules'!$D$684,'Equipment Schedules'!$D$685,'Equipment Schedules'!$D$686),'Calculations - Fugitives'!$A33+1,,,"Equipment Schedules"))),0)</f>
        <v>0</v>
      </c>
      <c r="H33" s="484">
        <f ca="1">IF($D33="N/A","N/A",'Setup - Facility Details'!$E$51*('Setup - Facility Details'!$H$51+'Setup - Facility Details'!$I$51)*IF(ISERROR(G33),0,G33)*$D33)</f>
        <v>0</v>
      </c>
      <c r="I33" s="452">
        <f ca="1">IF($A33&gt;0,IF(I$6=0,0,INDIRECT(ADDRESS(I$6-1+CHOOSE($D$4,'Equipment Schedules'!$D$678,'Equipment Schedules'!$D$679,'Equipment Schedules'!$D$680,'Equipment Schedules'!$D$681,'Equipment Schedules'!$D$682,'Equipment Schedules'!$D$683,'Equipment Schedules'!$D$684,'Equipment Schedules'!$D$685,'Equipment Schedules'!$D$686),'Calculations - Fugitives'!$A33+1,,,"Equipment Schedules"))),0)</f>
        <v>0</v>
      </c>
      <c r="J33" s="484">
        <f ca="1">IF($D33="N/A","N/A",'Setup - Facility Details'!$E$52*('Setup - Facility Details'!$H$52+'Setup - Facility Details'!$I$52)*IF(ISERROR(I33),0,I33)*$D33)</f>
        <v>0</v>
      </c>
      <c r="K33" s="452">
        <f ca="1">IF($A33&gt;0,IF(K$6=0,0,INDIRECT(ADDRESS(K$6-1+CHOOSE($D$4,'Equipment Schedules'!$D$678,'Equipment Schedules'!$D$679,'Equipment Schedules'!$D$680,'Equipment Schedules'!$D$681,'Equipment Schedules'!$D$682,'Equipment Schedules'!$D$683,'Equipment Schedules'!$D$684,'Equipment Schedules'!$D$685,'Equipment Schedules'!$D$686),'Calculations - Fugitives'!$A33+1,,,"Equipment Schedules"))),0)</f>
        <v>0</v>
      </c>
      <c r="L33" s="484">
        <f ca="1">IF($D33="N/A","N/A",'Setup - Facility Details'!$E$53*('Setup - Facility Details'!$H$53+'Setup - Facility Details'!$I$53)*IF(ISERROR(K33),0,K33)*$D33)</f>
        <v>0</v>
      </c>
      <c r="M33" s="452">
        <f ca="1">IF($A33&gt;0,IF(M$6=0,0,INDIRECT(ADDRESS(M$6-1+CHOOSE($D$4,'Equipment Schedules'!$D$678,'Equipment Schedules'!$D$679,'Equipment Schedules'!$D$680,'Equipment Schedules'!$D$681,'Equipment Schedules'!$D$682,'Equipment Schedules'!$D$683,'Equipment Schedules'!$D$684,'Equipment Schedules'!$D$685,'Equipment Schedules'!$D$686),'Calculations - Fugitives'!$A33+1,,,"Equipment Schedules"))),0)</f>
        <v>0</v>
      </c>
      <c r="N33" s="484">
        <f ca="1">IF($D33="N/A","N/A",'Setup - Facility Details'!$E$54*('Setup - Facility Details'!$H$54+'Setup - Facility Details'!$I$54)*IF(ISERROR(M33),0,M33)*$D33)</f>
        <v>0</v>
      </c>
      <c r="O33" s="452">
        <f ca="1">IF($A33&gt;0,IF(O$6=0,0,INDIRECT(ADDRESS(O$6-1+CHOOSE($D$4,'Equipment Schedules'!$D$678,'Equipment Schedules'!$D$679,'Equipment Schedules'!$D$680,'Equipment Schedules'!$D$681,'Equipment Schedules'!$D$682,'Equipment Schedules'!$D$683,'Equipment Schedules'!$D$684,'Equipment Schedules'!$D$685,'Equipment Schedules'!$D$686),'Calculations - Fugitives'!$A33+1,,,"Equipment Schedules"))),0)</f>
        <v>0</v>
      </c>
      <c r="P33" s="484">
        <f ca="1">IF($D33="N/A","N/A",'Setup - Facility Details'!$E$55*('Setup - Facility Details'!$H$55+'Setup - Facility Details'!$I$55)*IF(ISERROR(O33),0,O33)*$D33)</f>
        <v>0</v>
      </c>
      <c r="Q33" s="452">
        <f ca="1">IF($A33&gt;0,IF(Q$6=0,0,INDIRECT(ADDRESS(Q$6-1+CHOOSE($D$4,'Equipment Schedules'!$D$678,'Equipment Schedules'!$D$679,'Equipment Schedules'!$D$680,'Equipment Schedules'!$D$681,'Equipment Schedules'!$D$682,'Equipment Schedules'!$D$683,'Equipment Schedules'!$D$684,'Equipment Schedules'!$D$685,'Equipment Schedules'!$D$686),'Calculations - Fugitives'!$A33+1,,,"Equipment Schedules"))),0)</f>
        <v>0</v>
      </c>
      <c r="R33" s="484">
        <f ca="1">IF($D33="N/A","N/A",'Setup - Facility Details'!$E$56*('Setup - Facility Details'!$H$56+'Setup - Facility Details'!$I$56)*IF(ISERROR(Q33),0,Q33)*$D33)</f>
        <v>0</v>
      </c>
      <c r="S33" s="452">
        <f ca="1">IF($A33&gt;0,IF(S$6=0,0,INDIRECT(ADDRESS(S$6-1+CHOOSE($D$4,'Equipment Schedules'!$D$678,'Equipment Schedules'!$D$679,'Equipment Schedules'!$D$680,'Equipment Schedules'!$D$681,'Equipment Schedules'!$D$682,'Equipment Schedules'!$D$683,'Equipment Schedules'!$D$684,'Equipment Schedules'!$D$685,'Equipment Schedules'!$D$686),'Calculations - Fugitives'!$A33+1,,,"Equipment Schedules"))),0)</f>
        <v>0</v>
      </c>
      <c r="T33" s="484">
        <f ca="1">IF($D33="N/A","N/A",'Setup - Facility Details'!$E$57*('Setup - Facility Details'!$H$57+'Setup - Facility Details'!$I$57)*IF(ISERROR(S33),0,S33)*$D33)</f>
        <v>0</v>
      </c>
      <c r="U33" s="452">
        <f ca="1">IF($A33&gt;0,IF(U$6=0,0,INDIRECT(ADDRESS(U$6-1+CHOOSE($D$4,'Equipment Schedules'!$D$678,'Equipment Schedules'!$D$679,'Equipment Schedules'!$D$680,'Equipment Schedules'!$D$681,'Equipment Schedules'!$D$682,'Equipment Schedules'!$D$683,'Equipment Schedules'!$D$684,'Equipment Schedules'!$D$685,'Equipment Schedules'!$D$686),'Calculations - Fugitives'!$A33+1,,,"Equipment Schedules"))),0)</f>
        <v>0</v>
      </c>
      <c r="V33" s="484">
        <f ca="1">IF($D33="N/A","N/A",'Setup - Facility Details'!$E$58*('Setup - Facility Details'!$H$58+'Setup - Facility Details'!$I$58)*IF(ISERROR(U33),0,U33)*$D33)</f>
        <v>0</v>
      </c>
      <c r="W33" s="452">
        <f ca="1">IF($A33&gt;0,IF(W$6=0,0,INDIRECT(ADDRESS(W$6-1+CHOOSE($D$4,'Equipment Schedules'!$D$678,'Equipment Schedules'!$D$679,'Equipment Schedules'!$D$680,'Equipment Schedules'!$D$681,'Equipment Schedules'!$D$682,'Equipment Schedules'!$D$683,'Equipment Schedules'!$D$684,'Equipment Schedules'!$D$685,'Equipment Schedules'!$D$686),'Calculations - Fugitives'!$A33+1,,,"Equipment Schedules"))),0)</f>
        <v>0</v>
      </c>
      <c r="X33" s="484">
        <f ca="1">IF($D33="N/A","N/A",'Setup - Facility Details'!$E$59*('Setup - Facility Details'!$H$59+'Setup - Facility Details'!$I$59)*IF(ISERROR(W33),0,W33)*$D33)</f>
        <v>0</v>
      </c>
      <c r="Y33" s="452">
        <f ca="1">IF($A33&gt;0,IF(Y$6=0,0,INDIRECT(ADDRESS(Y$6-1+CHOOSE($D$4,'Equipment Schedules'!$D$678,'Equipment Schedules'!$D$679,'Equipment Schedules'!$D$680,'Equipment Schedules'!$D$681,'Equipment Schedules'!$D$682,'Equipment Schedules'!$D$683,'Equipment Schedules'!$D$684,'Equipment Schedules'!$D$685,'Equipment Schedules'!$D$686),'Calculations - Fugitives'!$A33+1,,,"Equipment Schedules"))),0)</f>
        <v>0</v>
      </c>
      <c r="Z33" s="484">
        <f ca="1">IF($D33="N/A","N/A",'Setup - Facility Details'!$E$60*('Setup - Facility Details'!$H$60+'Setup - Facility Details'!$I$60)*IF(ISERROR(Y33),0,Y33)*$D33)</f>
        <v>0</v>
      </c>
      <c r="AA33" s="452">
        <f ca="1">IF($A33&gt;0,IF(AA$6=0,0,INDIRECT(ADDRESS(AA$6-1+CHOOSE($D$4,'Equipment Schedules'!$D$678,'Equipment Schedules'!$D$679,'Equipment Schedules'!$D$680,'Equipment Schedules'!$D$681,'Equipment Schedules'!$D$682,'Equipment Schedules'!$D$683,'Equipment Schedules'!$D$684,'Equipment Schedules'!$D$685,'Equipment Schedules'!$D$686),'Calculations - Fugitives'!$A33+1,,,"Equipment Schedules"))),0)</f>
        <v>0</v>
      </c>
      <c r="AB33" s="484">
        <f ca="1">IF($D33="N/A","N/A",'Setup - Facility Details'!$E$61*('Setup - Facility Details'!$H$61+'Setup - Facility Details'!$I$61)*IF(ISERROR(AA33),0,AA33)*$D33)</f>
        <v>0</v>
      </c>
      <c r="AC33" s="452">
        <f ca="1">IF($A33&gt;0,IF(AC$6=0,0,INDIRECT(ADDRESS(AC$6-1+CHOOSE($D$4,'Equipment Schedules'!$D$678,'Equipment Schedules'!$D$679,'Equipment Schedules'!$D$680,'Equipment Schedules'!$D$681,'Equipment Schedules'!$D$682,'Equipment Schedules'!$D$683,'Equipment Schedules'!$D$684,'Equipment Schedules'!$D$685,'Equipment Schedules'!$D$686),'Calculations - Fugitives'!$A33+1,,,"Equipment Schedules"))),0)</f>
        <v>0</v>
      </c>
      <c r="AD33" s="484">
        <f ca="1">IF($D33="N/A","N/A",'Setup - Facility Details'!$E$62*('Setup - Facility Details'!$H$62+'Setup - Facility Details'!$I$62)*IF(ISERROR(AC33),0,AC33)*$D33)</f>
        <v>0</v>
      </c>
      <c r="AE33" s="452">
        <f ca="1">IF($A33&gt;0,IF(AE$6=0,0,INDIRECT(ADDRESS(AE$6-1+CHOOSE($D$4,'Equipment Schedules'!$D$678,'Equipment Schedules'!$D$679,'Equipment Schedules'!$D$680,'Equipment Schedules'!$D$681,'Equipment Schedules'!$D$682,'Equipment Schedules'!$D$683,'Equipment Schedules'!$D$684,'Equipment Schedules'!$D$685,'Equipment Schedules'!$D$686),'Calculations - Fugitives'!$A33+1,,,"Equipment Schedules"))),0)</f>
        <v>0</v>
      </c>
      <c r="AF33" s="484">
        <f ca="1">IF($D33="N/A","N/A",'Setup - Facility Details'!$E$63*('Setup - Facility Details'!$H$63+'Setup - Facility Details'!$I$63)*IF(ISERROR(AE33),0,AE33)*$D33)</f>
        <v>0</v>
      </c>
      <c r="AG33" s="452">
        <f ca="1">IF($A33&gt;0,IF(AG$6=0,0,INDIRECT(ADDRESS(AG$6-1+CHOOSE($D$4,'Equipment Schedules'!$D$678,'Equipment Schedules'!$D$679,'Equipment Schedules'!$D$680,'Equipment Schedules'!$D$681,'Equipment Schedules'!$D$682,'Equipment Schedules'!$D$683,'Equipment Schedules'!$D$684,'Equipment Schedules'!$D$685,'Equipment Schedules'!$D$686),'Calculations - Fugitives'!$A33+1,,,"Equipment Schedules"))),0)</f>
        <v>0</v>
      </c>
      <c r="AH33" s="484">
        <f ca="1">IF($D33="N/A","N/A",'Setup - Facility Details'!$E$64*('Setup - Facility Details'!$H$64+'Setup - Facility Details'!$I$64)*IF(ISERROR(AG33),0,AG33)*$D33)</f>
        <v>0</v>
      </c>
      <c r="AI33" s="452">
        <f ca="1">IF($A33&gt;0,IF(AI$6=0,0,INDIRECT(ADDRESS(AI$6-1+CHOOSE($D$4,'Equipment Schedules'!$D$678,'Equipment Schedules'!$D$679,'Equipment Schedules'!$D$680,'Equipment Schedules'!$D$681,'Equipment Schedules'!$D$682,'Equipment Schedules'!$D$683,'Equipment Schedules'!$D$684,'Equipment Schedules'!$D$685,'Equipment Schedules'!$D$686),'Calculations - Fugitives'!$A33+1,,,"Equipment Schedules"))),0)</f>
        <v>0</v>
      </c>
      <c r="AJ33" s="484">
        <f ca="1">IF($D33="N/A","N/A",'Setup - Facility Details'!$E$65*('Setup - Facility Details'!$H$65+'Setup - Facility Details'!$I$65)*IF(ISERROR(AI33),0,AI33)*$D33)</f>
        <v>0</v>
      </c>
      <c r="AK33" s="452">
        <f ca="1">IF($A33&gt;0,IF(AK$6=0,0,INDIRECT(ADDRESS(AK$6-1+CHOOSE($D$4,'Equipment Schedules'!$D$678,'Equipment Schedules'!$D$679,'Equipment Schedules'!$D$680,'Equipment Schedules'!$D$681,'Equipment Schedules'!$D$682,'Equipment Schedules'!$D$683,'Equipment Schedules'!$D$684,'Equipment Schedules'!$D$685,'Equipment Schedules'!$D$686),'Calculations - Fugitives'!$A33+1,,,"Equipment Schedules"))),0)</f>
        <v>0</v>
      </c>
      <c r="AL33" s="484">
        <f ca="1">IF($D33="N/A","N/A",'Setup - Facility Details'!$E$66*('Setup - Facility Details'!$H$66+'Setup - Facility Details'!$I$66)*IF(ISERROR(AK33),0,AK33)*$D33)</f>
        <v>0</v>
      </c>
      <c r="AM33" s="452">
        <f ca="1">IF($A33&gt;0,IF(AM$6=0,0,INDIRECT(ADDRESS(AM$6-1+CHOOSE($D$4,'Equipment Schedules'!$D$678,'Equipment Schedules'!$D$679,'Equipment Schedules'!$D$680,'Equipment Schedules'!$D$681,'Equipment Schedules'!$D$682,'Equipment Schedules'!$D$683,'Equipment Schedules'!$D$684,'Equipment Schedules'!$D$685,'Equipment Schedules'!$D$686),'Calculations - Fugitives'!$A33+1,,,"Equipment Schedules"))),0)</f>
        <v>0</v>
      </c>
      <c r="AN33" s="484">
        <f ca="1">IF($D33="N/A","N/A",'Setup - Facility Details'!$E$67*('Setup - Facility Details'!$H$67+'Setup - Facility Details'!$I$67)*IF(ISERROR(AM33),0,AM33)*$D33)</f>
        <v>0</v>
      </c>
      <c r="AO33" s="452">
        <f ca="1">IF($A33&gt;0,IF(AO$6=0,0,INDIRECT(ADDRESS(AO$6-1+CHOOSE($D$4,'Equipment Schedules'!$D$678,'Equipment Schedules'!$D$679,'Equipment Schedules'!$D$680,'Equipment Schedules'!$D$681,'Equipment Schedules'!$D$682,'Equipment Schedules'!$D$683,'Equipment Schedules'!$D$684,'Equipment Schedules'!$D$685,'Equipment Schedules'!$D$686),'Calculations - Fugitives'!$A33+1,,,"Equipment Schedules"))),0)</f>
        <v>0</v>
      </c>
      <c r="AP33" s="484">
        <f ca="1">IF($D33="N/A","N/A",'Setup - Facility Details'!$E$68*('Setup - Facility Details'!$H$68+'Setup - Facility Details'!$I$68)*IF(ISERROR(AO33),0,AO33)*$D33)</f>
        <v>0</v>
      </c>
      <c r="AQ33" s="452">
        <f ca="1">IF($A33&gt;0,IF(AQ$6=0,0,INDIRECT(ADDRESS(AQ$6-1+CHOOSE($D$4,'Equipment Schedules'!$D$678,'Equipment Schedules'!$D$679,'Equipment Schedules'!$D$680,'Equipment Schedules'!$D$681,'Equipment Schedules'!$D$682,'Equipment Schedules'!$D$683,'Equipment Schedules'!$D$684,'Equipment Schedules'!$D$685,'Equipment Schedules'!$D$686),'Calculations - Fugitives'!$A33+1,,,"Equipment Schedules"))),0)</f>
        <v>0</v>
      </c>
      <c r="AR33" s="484">
        <f ca="1">IF($D33="N/A","N/A",'Setup - Facility Details'!$E$69*('Setup - Facility Details'!$H$69+'Setup - Facility Details'!$I$69)*IF(ISERROR(AQ33),0,AQ33)*$D33)</f>
        <v>0</v>
      </c>
      <c r="AS33" s="452">
        <f ca="1">IF($A33&gt;0,IF(AS$6=0,0,INDIRECT(ADDRESS(AS$6-1+CHOOSE($D$4,'Equipment Schedules'!$D$678,'Equipment Schedules'!$D$679,'Equipment Schedules'!$D$680,'Equipment Schedules'!$D$681,'Equipment Schedules'!$D$682,'Equipment Schedules'!$D$683,'Equipment Schedules'!$D$684,'Equipment Schedules'!$D$685,'Equipment Schedules'!$D$686),'Calculations - Fugitives'!$A33+1,,,"Equipment Schedules"))),0)</f>
        <v>0</v>
      </c>
      <c r="AT33" s="484">
        <f ca="1">IF($D33="N/A","N/A",'Setup - Facility Details'!$E$70*('Setup - Facility Details'!$H$70+'Setup - Facility Details'!$I$70)*IF(ISERROR(AS33),0,AS33)*$D33)</f>
        <v>0</v>
      </c>
    </row>
    <row r="34" spans="1:46" x14ac:dyDescent="0.3">
      <c r="A34" s="256">
        <f ca="1">IF($C$6=0,26,22)+$A$11</f>
        <v>27</v>
      </c>
      <c r="B34" s="48" t="str">
        <f ca="1">'Translation Table'!H576</f>
        <v>Connectors</v>
      </c>
      <c r="C34" s="48" t="str">
        <f ca="1">'Translation Table'!H577</f>
        <v>Heavy Liquid</v>
      </c>
      <c r="D34" s="485">
        <f ca="1">IF(OR($C$4=OffshoreOilProduction,$C$4=OffshoreGasProduction,$C$4=OnshoreGasProduction,$C$4=OnshoreOilProduction,$C$4=GasProcessing,$C$4=PetroleumRefining),'EFs - Equipment Leaks'!M29,IF(OR($C$4=GasTransmission,$C$4=GasStorage),'EFs - Equipment Leaks'!M71,IF($C$4=GasDistribution,'EFs - Equipment Leaks'!M113,"Error")))</f>
        <v>4.8542671576769856E-6</v>
      </c>
      <c r="E34" s="485" t="str">
        <f ca="1">IF($C$4=GasDistribution,'EFs - Equipment Leaks'!$M155,"      N/A ")</f>
        <v xml:space="preserve">      N/A </v>
      </c>
      <c r="F34" s="485" t="str">
        <f ca="1">IF($C$4=GasDistribution,'EFs - Equipment Leaks'!$M197,"      N/A ")</f>
        <v xml:space="preserve">      N/A </v>
      </c>
      <c r="G34" s="193">
        <f ca="1">IF($A34&gt;0,IF(G$6=0,0,INDIRECT(ADDRESS(G$6-1+CHOOSE($D$4,'Equipment Schedules'!$D$678,'Equipment Schedules'!$D$679,'Equipment Schedules'!$D$680,'Equipment Schedules'!$D$681,'Equipment Schedules'!$D$682,'Equipment Schedules'!$D$683,'Equipment Schedules'!$D$684,'Equipment Schedules'!$D$685,'Equipment Schedules'!$D$686),'Calculations - Fugitives'!$A34+1,,,"Equipment Schedules"))),0)</f>
        <v>0</v>
      </c>
      <c r="H34" s="486">
        <f ca="1">IF($D34="N/A","N/A",'Setup - Facility Details'!$E$51*('Setup - Facility Details'!$H$51+'Setup - Facility Details'!$I$51)*IF(ISERROR(G34),0,G34)*$D34)</f>
        <v>0</v>
      </c>
      <c r="I34" s="193">
        <f ca="1">IF($A34&gt;0,IF(I$6=0,0,INDIRECT(ADDRESS(I$6-1+CHOOSE($D$4,'Equipment Schedules'!$D$678,'Equipment Schedules'!$D$679,'Equipment Schedules'!$D$680,'Equipment Schedules'!$D$681,'Equipment Schedules'!$D$682,'Equipment Schedules'!$D$683,'Equipment Schedules'!$D$684,'Equipment Schedules'!$D$685,'Equipment Schedules'!$D$686),'Calculations - Fugitives'!$A34+1,,,"Equipment Schedules"))),0)</f>
        <v>0</v>
      </c>
      <c r="J34" s="486">
        <f ca="1">IF($D34="N/A","N/A",'Setup - Facility Details'!$E$52*('Setup - Facility Details'!$H$52+'Setup - Facility Details'!$I$52)*IF(ISERROR(I34),0,I34)*$D34)</f>
        <v>0</v>
      </c>
      <c r="K34" s="193">
        <f ca="1">IF($A34&gt;0,IF(K$6=0,0,INDIRECT(ADDRESS(K$6-1+CHOOSE($D$4,'Equipment Schedules'!$D$678,'Equipment Schedules'!$D$679,'Equipment Schedules'!$D$680,'Equipment Schedules'!$D$681,'Equipment Schedules'!$D$682,'Equipment Schedules'!$D$683,'Equipment Schedules'!$D$684,'Equipment Schedules'!$D$685,'Equipment Schedules'!$D$686),'Calculations - Fugitives'!$A34+1,,,"Equipment Schedules"))),0)</f>
        <v>0</v>
      </c>
      <c r="L34" s="486">
        <f ca="1">IF($D34="N/A","N/A",'Setup - Facility Details'!$E$53*('Setup - Facility Details'!$H$53+'Setup - Facility Details'!$I$53)*IF(ISERROR(K34),0,K34)*$D34)</f>
        <v>0</v>
      </c>
      <c r="M34" s="193">
        <f ca="1">IF($A34&gt;0,IF(M$6=0,0,INDIRECT(ADDRESS(M$6-1+CHOOSE($D$4,'Equipment Schedules'!$D$678,'Equipment Schedules'!$D$679,'Equipment Schedules'!$D$680,'Equipment Schedules'!$D$681,'Equipment Schedules'!$D$682,'Equipment Schedules'!$D$683,'Equipment Schedules'!$D$684,'Equipment Schedules'!$D$685,'Equipment Schedules'!$D$686),'Calculations - Fugitives'!$A34+1,,,"Equipment Schedules"))),0)</f>
        <v>0</v>
      </c>
      <c r="N34" s="486">
        <f ca="1">IF($D34="N/A","N/A",'Setup - Facility Details'!$E$54*('Setup - Facility Details'!$H$54+'Setup - Facility Details'!$I$54)*IF(ISERROR(M34),0,M34)*$D34)</f>
        <v>0</v>
      </c>
      <c r="O34" s="193">
        <f ca="1">IF($A34&gt;0,IF(O$6=0,0,INDIRECT(ADDRESS(O$6-1+CHOOSE($D$4,'Equipment Schedules'!$D$678,'Equipment Schedules'!$D$679,'Equipment Schedules'!$D$680,'Equipment Schedules'!$D$681,'Equipment Schedules'!$D$682,'Equipment Schedules'!$D$683,'Equipment Schedules'!$D$684,'Equipment Schedules'!$D$685,'Equipment Schedules'!$D$686),'Calculations - Fugitives'!$A34+1,,,"Equipment Schedules"))),0)</f>
        <v>0</v>
      </c>
      <c r="P34" s="486">
        <f ca="1">IF($D34="N/A","N/A",'Setup - Facility Details'!$E$55*('Setup - Facility Details'!$H$55+'Setup - Facility Details'!$I$55)*IF(ISERROR(O34),0,O34)*$D34)</f>
        <v>0</v>
      </c>
      <c r="Q34" s="193">
        <f ca="1">IF($A34&gt;0,IF(Q$6=0,0,INDIRECT(ADDRESS(Q$6-1+CHOOSE($D$4,'Equipment Schedules'!$D$678,'Equipment Schedules'!$D$679,'Equipment Schedules'!$D$680,'Equipment Schedules'!$D$681,'Equipment Schedules'!$D$682,'Equipment Schedules'!$D$683,'Equipment Schedules'!$D$684,'Equipment Schedules'!$D$685,'Equipment Schedules'!$D$686),'Calculations - Fugitives'!$A34+1,,,"Equipment Schedules"))),0)</f>
        <v>0</v>
      </c>
      <c r="R34" s="486">
        <f ca="1">IF($D34="N/A","N/A",'Setup - Facility Details'!$E$56*('Setup - Facility Details'!$H$56+'Setup - Facility Details'!$I$56)*IF(ISERROR(Q34),0,Q34)*$D34)</f>
        <v>0</v>
      </c>
      <c r="S34" s="193">
        <f ca="1">IF($A34&gt;0,IF(S$6=0,0,INDIRECT(ADDRESS(S$6-1+CHOOSE($D$4,'Equipment Schedules'!$D$678,'Equipment Schedules'!$D$679,'Equipment Schedules'!$D$680,'Equipment Schedules'!$D$681,'Equipment Schedules'!$D$682,'Equipment Schedules'!$D$683,'Equipment Schedules'!$D$684,'Equipment Schedules'!$D$685,'Equipment Schedules'!$D$686),'Calculations - Fugitives'!$A34+1,,,"Equipment Schedules"))),0)</f>
        <v>0</v>
      </c>
      <c r="T34" s="486">
        <f ca="1">IF($D34="N/A","N/A",'Setup - Facility Details'!$E$57*('Setup - Facility Details'!$H$57+'Setup - Facility Details'!$I$57)*IF(ISERROR(S34),0,S34)*$D34)</f>
        <v>0</v>
      </c>
      <c r="U34" s="193">
        <f ca="1">IF($A34&gt;0,IF(U$6=0,0,INDIRECT(ADDRESS(U$6-1+CHOOSE($D$4,'Equipment Schedules'!$D$678,'Equipment Schedules'!$D$679,'Equipment Schedules'!$D$680,'Equipment Schedules'!$D$681,'Equipment Schedules'!$D$682,'Equipment Schedules'!$D$683,'Equipment Schedules'!$D$684,'Equipment Schedules'!$D$685,'Equipment Schedules'!$D$686),'Calculations - Fugitives'!$A34+1,,,"Equipment Schedules"))),0)</f>
        <v>0</v>
      </c>
      <c r="V34" s="486">
        <f ca="1">IF($D34="N/A","N/A",'Setup - Facility Details'!$E$58*('Setup - Facility Details'!$H$58+'Setup - Facility Details'!$I$58)*IF(ISERROR(U34),0,U34)*$D34)</f>
        <v>0</v>
      </c>
      <c r="W34" s="193">
        <f ca="1">IF($A34&gt;0,IF(W$6=0,0,INDIRECT(ADDRESS(W$6-1+CHOOSE($D$4,'Equipment Schedules'!$D$678,'Equipment Schedules'!$D$679,'Equipment Schedules'!$D$680,'Equipment Schedules'!$D$681,'Equipment Schedules'!$D$682,'Equipment Schedules'!$D$683,'Equipment Schedules'!$D$684,'Equipment Schedules'!$D$685,'Equipment Schedules'!$D$686),'Calculations - Fugitives'!$A34+1,,,"Equipment Schedules"))),0)</f>
        <v>0</v>
      </c>
      <c r="X34" s="486">
        <f ca="1">IF($D34="N/A","N/A",'Setup - Facility Details'!$E$59*('Setup - Facility Details'!$H$59+'Setup - Facility Details'!$I$59)*IF(ISERROR(W34),0,W34)*$D34)</f>
        <v>0</v>
      </c>
      <c r="Y34" s="193">
        <f ca="1">IF($A34&gt;0,IF(Y$6=0,0,INDIRECT(ADDRESS(Y$6-1+CHOOSE($D$4,'Equipment Schedules'!$D$678,'Equipment Schedules'!$D$679,'Equipment Schedules'!$D$680,'Equipment Schedules'!$D$681,'Equipment Schedules'!$D$682,'Equipment Schedules'!$D$683,'Equipment Schedules'!$D$684,'Equipment Schedules'!$D$685,'Equipment Schedules'!$D$686),'Calculations - Fugitives'!$A34+1,,,"Equipment Schedules"))),0)</f>
        <v>0</v>
      </c>
      <c r="Z34" s="486">
        <f ca="1">IF($D34="N/A","N/A",'Setup - Facility Details'!$E$60*('Setup - Facility Details'!$H$60+'Setup - Facility Details'!$I$60)*IF(ISERROR(Y34),0,Y34)*$D34)</f>
        <v>0</v>
      </c>
      <c r="AA34" s="193">
        <f ca="1">IF($A34&gt;0,IF(AA$6=0,0,INDIRECT(ADDRESS(AA$6-1+CHOOSE($D$4,'Equipment Schedules'!$D$678,'Equipment Schedules'!$D$679,'Equipment Schedules'!$D$680,'Equipment Schedules'!$D$681,'Equipment Schedules'!$D$682,'Equipment Schedules'!$D$683,'Equipment Schedules'!$D$684,'Equipment Schedules'!$D$685,'Equipment Schedules'!$D$686),'Calculations - Fugitives'!$A34+1,,,"Equipment Schedules"))),0)</f>
        <v>0</v>
      </c>
      <c r="AB34" s="486">
        <f ca="1">IF($D34="N/A","N/A",'Setup - Facility Details'!$E$61*('Setup - Facility Details'!$H$61+'Setup - Facility Details'!$I$61)*IF(ISERROR(AA34),0,AA34)*$D34)</f>
        <v>0</v>
      </c>
      <c r="AC34" s="193">
        <f ca="1">IF($A34&gt;0,IF(AC$6=0,0,INDIRECT(ADDRESS(AC$6-1+CHOOSE($D$4,'Equipment Schedules'!$D$678,'Equipment Schedules'!$D$679,'Equipment Schedules'!$D$680,'Equipment Schedules'!$D$681,'Equipment Schedules'!$D$682,'Equipment Schedules'!$D$683,'Equipment Schedules'!$D$684,'Equipment Schedules'!$D$685,'Equipment Schedules'!$D$686),'Calculations - Fugitives'!$A34+1,,,"Equipment Schedules"))),0)</f>
        <v>0</v>
      </c>
      <c r="AD34" s="486">
        <f ca="1">IF($D34="N/A","N/A",'Setup - Facility Details'!$E$62*('Setup - Facility Details'!$H$62+'Setup - Facility Details'!$I$62)*IF(ISERROR(AC34),0,AC34)*$D34)</f>
        <v>0</v>
      </c>
      <c r="AE34" s="193">
        <f ca="1">IF($A34&gt;0,IF(AE$6=0,0,INDIRECT(ADDRESS(AE$6-1+CHOOSE($D$4,'Equipment Schedules'!$D$678,'Equipment Schedules'!$D$679,'Equipment Schedules'!$D$680,'Equipment Schedules'!$D$681,'Equipment Schedules'!$D$682,'Equipment Schedules'!$D$683,'Equipment Schedules'!$D$684,'Equipment Schedules'!$D$685,'Equipment Schedules'!$D$686),'Calculations - Fugitives'!$A34+1,,,"Equipment Schedules"))),0)</f>
        <v>0</v>
      </c>
      <c r="AF34" s="486">
        <f ca="1">IF($D34="N/A","N/A",'Setup - Facility Details'!$E$63*('Setup - Facility Details'!$H$63+'Setup - Facility Details'!$I$63)*IF(ISERROR(AE34),0,AE34)*$D34)</f>
        <v>0</v>
      </c>
      <c r="AG34" s="193">
        <f ca="1">IF($A34&gt;0,IF(AG$6=0,0,INDIRECT(ADDRESS(AG$6-1+CHOOSE($D$4,'Equipment Schedules'!$D$678,'Equipment Schedules'!$D$679,'Equipment Schedules'!$D$680,'Equipment Schedules'!$D$681,'Equipment Schedules'!$D$682,'Equipment Schedules'!$D$683,'Equipment Schedules'!$D$684,'Equipment Schedules'!$D$685,'Equipment Schedules'!$D$686),'Calculations - Fugitives'!$A34+1,,,"Equipment Schedules"))),0)</f>
        <v>0</v>
      </c>
      <c r="AH34" s="486">
        <f ca="1">IF($D34="N/A","N/A",'Setup - Facility Details'!$E$64*('Setup - Facility Details'!$H$64+'Setup - Facility Details'!$I$64)*IF(ISERROR(AG34),0,AG34)*$D34)</f>
        <v>0</v>
      </c>
      <c r="AI34" s="193">
        <f ca="1">IF($A34&gt;0,IF(AI$6=0,0,INDIRECT(ADDRESS(AI$6-1+CHOOSE($D$4,'Equipment Schedules'!$D$678,'Equipment Schedules'!$D$679,'Equipment Schedules'!$D$680,'Equipment Schedules'!$D$681,'Equipment Schedules'!$D$682,'Equipment Schedules'!$D$683,'Equipment Schedules'!$D$684,'Equipment Schedules'!$D$685,'Equipment Schedules'!$D$686),'Calculations - Fugitives'!$A34+1,,,"Equipment Schedules"))),0)</f>
        <v>0</v>
      </c>
      <c r="AJ34" s="486">
        <f ca="1">IF($D34="N/A","N/A",'Setup - Facility Details'!$E$65*('Setup - Facility Details'!$H$65+'Setup - Facility Details'!$I$65)*IF(ISERROR(AI34),0,AI34)*$D34)</f>
        <v>0</v>
      </c>
      <c r="AK34" s="193">
        <f ca="1">IF($A34&gt;0,IF(AK$6=0,0,INDIRECT(ADDRESS(AK$6-1+CHOOSE($D$4,'Equipment Schedules'!$D$678,'Equipment Schedules'!$D$679,'Equipment Schedules'!$D$680,'Equipment Schedules'!$D$681,'Equipment Schedules'!$D$682,'Equipment Schedules'!$D$683,'Equipment Schedules'!$D$684,'Equipment Schedules'!$D$685,'Equipment Schedules'!$D$686),'Calculations - Fugitives'!$A34+1,,,"Equipment Schedules"))),0)</f>
        <v>0</v>
      </c>
      <c r="AL34" s="486">
        <f ca="1">IF($D34="N/A","N/A",'Setup - Facility Details'!$E$66*('Setup - Facility Details'!$H$66+'Setup - Facility Details'!$I$66)*IF(ISERROR(AK34),0,AK34)*$D34)</f>
        <v>0</v>
      </c>
      <c r="AM34" s="193">
        <f ca="1">IF($A34&gt;0,IF(AM$6=0,0,INDIRECT(ADDRESS(AM$6-1+CHOOSE($D$4,'Equipment Schedules'!$D$678,'Equipment Schedules'!$D$679,'Equipment Schedules'!$D$680,'Equipment Schedules'!$D$681,'Equipment Schedules'!$D$682,'Equipment Schedules'!$D$683,'Equipment Schedules'!$D$684,'Equipment Schedules'!$D$685,'Equipment Schedules'!$D$686),'Calculations - Fugitives'!$A34+1,,,"Equipment Schedules"))),0)</f>
        <v>0</v>
      </c>
      <c r="AN34" s="486">
        <f ca="1">IF($D34="N/A","N/A",'Setup - Facility Details'!$E$67*('Setup - Facility Details'!$H$67+'Setup - Facility Details'!$I$67)*IF(ISERROR(AM34),0,AM34)*$D34)</f>
        <v>0</v>
      </c>
      <c r="AO34" s="193">
        <f ca="1">IF($A34&gt;0,IF(AO$6=0,0,INDIRECT(ADDRESS(AO$6-1+CHOOSE($D$4,'Equipment Schedules'!$D$678,'Equipment Schedules'!$D$679,'Equipment Schedules'!$D$680,'Equipment Schedules'!$D$681,'Equipment Schedules'!$D$682,'Equipment Schedules'!$D$683,'Equipment Schedules'!$D$684,'Equipment Schedules'!$D$685,'Equipment Schedules'!$D$686),'Calculations - Fugitives'!$A34+1,,,"Equipment Schedules"))),0)</f>
        <v>0</v>
      </c>
      <c r="AP34" s="486">
        <f ca="1">IF($D34="N/A","N/A",'Setup - Facility Details'!$E$68*('Setup - Facility Details'!$H$68+'Setup - Facility Details'!$I$68)*IF(ISERROR(AO34),0,AO34)*$D34)</f>
        <v>0</v>
      </c>
      <c r="AQ34" s="193">
        <f ca="1">IF($A34&gt;0,IF(AQ$6=0,0,INDIRECT(ADDRESS(AQ$6-1+CHOOSE($D$4,'Equipment Schedules'!$D$678,'Equipment Schedules'!$D$679,'Equipment Schedules'!$D$680,'Equipment Schedules'!$D$681,'Equipment Schedules'!$D$682,'Equipment Schedules'!$D$683,'Equipment Schedules'!$D$684,'Equipment Schedules'!$D$685,'Equipment Schedules'!$D$686),'Calculations - Fugitives'!$A34+1,,,"Equipment Schedules"))),0)</f>
        <v>0</v>
      </c>
      <c r="AR34" s="486">
        <f ca="1">IF($D34="N/A","N/A",'Setup - Facility Details'!$E$69*('Setup - Facility Details'!$H$69+'Setup - Facility Details'!$I$69)*IF(ISERROR(AQ34),0,AQ34)*$D34)</f>
        <v>0</v>
      </c>
      <c r="AS34" s="193">
        <f ca="1">IF($A34&gt;0,IF(AS$6=0,0,INDIRECT(ADDRESS(AS$6-1+CHOOSE($D$4,'Equipment Schedules'!$D$678,'Equipment Schedules'!$D$679,'Equipment Schedules'!$D$680,'Equipment Schedules'!$D$681,'Equipment Schedules'!$D$682,'Equipment Schedules'!$D$683,'Equipment Schedules'!$D$684,'Equipment Schedules'!$D$685,'Equipment Schedules'!$D$686),'Calculations - Fugitives'!$A34+1,,,"Equipment Schedules"))),0)</f>
        <v>0</v>
      </c>
      <c r="AT34" s="486">
        <f ca="1">IF($D34="N/A","N/A",'Setup - Facility Details'!$E$70*('Setup - Facility Details'!$H$70+'Setup - Facility Details'!$I$70)*IF(ISERROR(AS34),0,AS34)*$D34)</f>
        <v>0</v>
      </c>
    </row>
    <row r="35" spans="1:46" x14ac:dyDescent="0.3">
      <c r="A35" s="256">
        <f>3+$A$11</f>
        <v>4</v>
      </c>
      <c r="B35" s="81" t="str">
        <f ca="1">'Translation Table'!H578</f>
        <v>Open-ended Lines</v>
      </c>
      <c r="C35" s="81" t="str">
        <f ca="1">'Translation Table'!H579</f>
        <v>Gas</v>
      </c>
      <c r="D35" s="483">
        <f ca="1">IF(OR($C$4=OffshoreOilProduction,$C$4=OffshoreGasProduction,$C$4=OnshoreGasProduction,$C$4=OnshoreOilProduction,$C$4=GasProcessing,$C$4=PetroleumRefining),'EFs - Equipment Leaks'!M30,IF(OR($C$4=GasTransmission,$C$4=GasStorage),'EFs - Equipment Leaks'!M72,IF($C$4=GasDistribution,'EFs - Equipment Leaks'!M114,"Error")))</f>
        <v>2.2089061610903781E-3</v>
      </c>
      <c r="E35" s="483" t="str">
        <f ca="1">IF($C$4=GasDistribution,'EFs - Equipment Leaks'!$M156,"      N/A ")</f>
        <v xml:space="preserve">      N/A </v>
      </c>
      <c r="F35" s="483" t="str">
        <f ca="1">IF($C$4=GasDistribution,'EFs - Equipment Leaks'!$M198,"      N/A ")</f>
        <v xml:space="preserve">      N/A </v>
      </c>
      <c r="G35" s="452">
        <f ca="1">IF($A35&gt;0,IF(G$6=0,0,INDIRECT(ADDRESS(G$6-1+CHOOSE($D$4,'Equipment Schedules'!$D$678,'Equipment Schedules'!$D$679,'Equipment Schedules'!$D$680,'Equipment Schedules'!$D$681,'Equipment Schedules'!$D$682,'Equipment Schedules'!$D$683,'Equipment Schedules'!$D$684,'Equipment Schedules'!$D$685,'Equipment Schedules'!$D$686),'Calculations - Fugitives'!$A35+1,,,"Equipment Schedules"))),0)</f>
        <v>0</v>
      </c>
      <c r="H35" s="484">
        <f ca="1">IF($D35="N/A","N/A",'Setup - Facility Details'!$E$51*('Setup - Facility Details'!$H$51+'Setup - Facility Details'!$I$51)*IF(ISERROR(G35),0,G35)*$D35)</f>
        <v>0</v>
      </c>
      <c r="I35" s="452">
        <f ca="1">IF($A35&gt;0,IF(I$6=0,0,INDIRECT(ADDRESS(I$6-1+CHOOSE($D$4,'Equipment Schedules'!$D$678,'Equipment Schedules'!$D$679,'Equipment Schedules'!$D$680,'Equipment Schedules'!$D$681,'Equipment Schedules'!$D$682,'Equipment Schedules'!$D$683,'Equipment Schedules'!$D$684,'Equipment Schedules'!$D$685,'Equipment Schedules'!$D$686),'Calculations - Fugitives'!$A35+1,,,"Equipment Schedules"))),0)</f>
        <v>0</v>
      </c>
      <c r="J35" s="484">
        <f ca="1">IF($D35="N/A","N/A",'Setup - Facility Details'!$E$52*('Setup - Facility Details'!$H$52+'Setup - Facility Details'!$I$52)*IF(ISERROR(I35),0,I35)*$D35)</f>
        <v>0</v>
      </c>
      <c r="K35" s="452">
        <f ca="1">IF($A35&gt;0,IF(K$6=0,0,INDIRECT(ADDRESS(K$6-1+CHOOSE($D$4,'Equipment Schedules'!$D$678,'Equipment Schedules'!$D$679,'Equipment Schedules'!$D$680,'Equipment Schedules'!$D$681,'Equipment Schedules'!$D$682,'Equipment Schedules'!$D$683,'Equipment Schedules'!$D$684,'Equipment Schedules'!$D$685,'Equipment Schedules'!$D$686),'Calculations - Fugitives'!$A35+1,,,"Equipment Schedules"))),0)</f>
        <v>0</v>
      </c>
      <c r="L35" s="484">
        <f ca="1">IF($D35="N/A","N/A",'Setup - Facility Details'!$E$53*('Setup - Facility Details'!$H$53+'Setup - Facility Details'!$I$53)*IF(ISERROR(K35),0,K35)*$D35)</f>
        <v>0</v>
      </c>
      <c r="M35" s="452">
        <f ca="1">IF($A35&gt;0,IF(M$6=0,0,INDIRECT(ADDRESS(M$6-1+CHOOSE($D$4,'Equipment Schedules'!$D$678,'Equipment Schedules'!$D$679,'Equipment Schedules'!$D$680,'Equipment Schedules'!$D$681,'Equipment Schedules'!$D$682,'Equipment Schedules'!$D$683,'Equipment Schedules'!$D$684,'Equipment Schedules'!$D$685,'Equipment Schedules'!$D$686),'Calculations - Fugitives'!$A35+1,,,"Equipment Schedules"))),0)</f>
        <v>0</v>
      </c>
      <c r="N35" s="484">
        <f ca="1">IF($D35="N/A","N/A",'Setup - Facility Details'!$E$54*('Setup - Facility Details'!$H$54+'Setup - Facility Details'!$I$54)*IF(ISERROR(M35),0,M35)*$D35)</f>
        <v>0</v>
      </c>
      <c r="O35" s="452">
        <f ca="1">IF($A35&gt;0,IF(O$6=0,0,INDIRECT(ADDRESS(O$6-1+CHOOSE($D$4,'Equipment Schedules'!$D$678,'Equipment Schedules'!$D$679,'Equipment Schedules'!$D$680,'Equipment Schedules'!$D$681,'Equipment Schedules'!$D$682,'Equipment Schedules'!$D$683,'Equipment Schedules'!$D$684,'Equipment Schedules'!$D$685,'Equipment Schedules'!$D$686),'Calculations - Fugitives'!$A35+1,,,"Equipment Schedules"))),0)</f>
        <v>0</v>
      </c>
      <c r="P35" s="484">
        <f ca="1">IF($D35="N/A","N/A",'Setup - Facility Details'!$E$55*('Setup - Facility Details'!$H$55+'Setup - Facility Details'!$I$55)*IF(ISERROR(O35),0,O35)*$D35)</f>
        <v>0</v>
      </c>
      <c r="Q35" s="452">
        <f ca="1">IF($A35&gt;0,IF(Q$6=0,0,INDIRECT(ADDRESS(Q$6-1+CHOOSE($D$4,'Equipment Schedules'!$D$678,'Equipment Schedules'!$D$679,'Equipment Schedules'!$D$680,'Equipment Schedules'!$D$681,'Equipment Schedules'!$D$682,'Equipment Schedules'!$D$683,'Equipment Schedules'!$D$684,'Equipment Schedules'!$D$685,'Equipment Schedules'!$D$686),'Calculations - Fugitives'!$A35+1,,,"Equipment Schedules"))),0)</f>
        <v>0</v>
      </c>
      <c r="R35" s="484">
        <f ca="1">IF($D35="N/A","N/A",'Setup - Facility Details'!$E$56*('Setup - Facility Details'!$H$56+'Setup - Facility Details'!$I$56)*IF(ISERROR(Q35),0,Q35)*$D35)</f>
        <v>0</v>
      </c>
      <c r="S35" s="452">
        <f ca="1">IF($A35&gt;0,IF(S$6=0,0,INDIRECT(ADDRESS(S$6-1+CHOOSE($D$4,'Equipment Schedules'!$D$678,'Equipment Schedules'!$D$679,'Equipment Schedules'!$D$680,'Equipment Schedules'!$D$681,'Equipment Schedules'!$D$682,'Equipment Schedules'!$D$683,'Equipment Schedules'!$D$684,'Equipment Schedules'!$D$685,'Equipment Schedules'!$D$686),'Calculations - Fugitives'!$A35+1,,,"Equipment Schedules"))),0)</f>
        <v>0</v>
      </c>
      <c r="T35" s="484">
        <f ca="1">IF($D35="N/A","N/A",'Setup - Facility Details'!$E$57*('Setup - Facility Details'!$H$57+'Setup - Facility Details'!$I$57)*IF(ISERROR(S35),0,S35)*$D35)</f>
        <v>0</v>
      </c>
      <c r="U35" s="452">
        <f ca="1">IF($A35&gt;0,IF(U$6=0,0,INDIRECT(ADDRESS(U$6-1+CHOOSE($D$4,'Equipment Schedules'!$D$678,'Equipment Schedules'!$D$679,'Equipment Schedules'!$D$680,'Equipment Schedules'!$D$681,'Equipment Schedules'!$D$682,'Equipment Schedules'!$D$683,'Equipment Schedules'!$D$684,'Equipment Schedules'!$D$685,'Equipment Schedules'!$D$686),'Calculations - Fugitives'!$A35+1,,,"Equipment Schedules"))),0)</f>
        <v>0</v>
      </c>
      <c r="V35" s="484">
        <f ca="1">IF($D35="N/A","N/A",'Setup - Facility Details'!$E$58*('Setup - Facility Details'!$H$58+'Setup - Facility Details'!$I$58)*IF(ISERROR(U35),0,U35)*$D35)</f>
        <v>0</v>
      </c>
      <c r="W35" s="452">
        <f ca="1">IF($A35&gt;0,IF(W$6=0,0,INDIRECT(ADDRESS(W$6-1+CHOOSE($D$4,'Equipment Schedules'!$D$678,'Equipment Schedules'!$D$679,'Equipment Schedules'!$D$680,'Equipment Schedules'!$D$681,'Equipment Schedules'!$D$682,'Equipment Schedules'!$D$683,'Equipment Schedules'!$D$684,'Equipment Schedules'!$D$685,'Equipment Schedules'!$D$686),'Calculations - Fugitives'!$A35+1,,,"Equipment Schedules"))),0)</f>
        <v>0</v>
      </c>
      <c r="X35" s="484">
        <f ca="1">IF($D35="N/A","N/A",'Setup - Facility Details'!$E$59*('Setup - Facility Details'!$H$59+'Setup - Facility Details'!$I$59)*IF(ISERROR(W35),0,W35)*$D35)</f>
        <v>0</v>
      </c>
      <c r="Y35" s="452">
        <f ca="1">IF($A35&gt;0,IF(Y$6=0,0,INDIRECT(ADDRESS(Y$6-1+CHOOSE($D$4,'Equipment Schedules'!$D$678,'Equipment Schedules'!$D$679,'Equipment Schedules'!$D$680,'Equipment Schedules'!$D$681,'Equipment Schedules'!$D$682,'Equipment Schedules'!$D$683,'Equipment Schedules'!$D$684,'Equipment Schedules'!$D$685,'Equipment Schedules'!$D$686),'Calculations - Fugitives'!$A35+1,,,"Equipment Schedules"))),0)</f>
        <v>0</v>
      </c>
      <c r="Z35" s="484">
        <f ca="1">IF($D35="N/A","N/A",'Setup - Facility Details'!$E$60*('Setup - Facility Details'!$H$60+'Setup - Facility Details'!$I$60)*IF(ISERROR(Y35),0,Y35)*$D35)</f>
        <v>0</v>
      </c>
      <c r="AA35" s="452">
        <f ca="1">IF($A35&gt;0,IF(AA$6=0,0,INDIRECT(ADDRESS(AA$6-1+CHOOSE($D$4,'Equipment Schedules'!$D$678,'Equipment Schedules'!$D$679,'Equipment Schedules'!$D$680,'Equipment Schedules'!$D$681,'Equipment Schedules'!$D$682,'Equipment Schedules'!$D$683,'Equipment Schedules'!$D$684,'Equipment Schedules'!$D$685,'Equipment Schedules'!$D$686),'Calculations - Fugitives'!$A35+1,,,"Equipment Schedules"))),0)</f>
        <v>0</v>
      </c>
      <c r="AB35" s="484">
        <f ca="1">IF($D35="N/A","N/A",'Setup - Facility Details'!$E$61*('Setup - Facility Details'!$H$61+'Setup - Facility Details'!$I$61)*IF(ISERROR(AA35),0,AA35)*$D35)</f>
        <v>0</v>
      </c>
      <c r="AC35" s="452">
        <f ca="1">IF($A35&gt;0,IF(AC$6=0,0,INDIRECT(ADDRESS(AC$6-1+CHOOSE($D$4,'Equipment Schedules'!$D$678,'Equipment Schedules'!$D$679,'Equipment Schedules'!$D$680,'Equipment Schedules'!$D$681,'Equipment Schedules'!$D$682,'Equipment Schedules'!$D$683,'Equipment Schedules'!$D$684,'Equipment Schedules'!$D$685,'Equipment Schedules'!$D$686),'Calculations - Fugitives'!$A35+1,,,"Equipment Schedules"))),0)</f>
        <v>0</v>
      </c>
      <c r="AD35" s="484">
        <f ca="1">IF($D35="N/A","N/A",'Setup - Facility Details'!$E$62*('Setup - Facility Details'!$H$62+'Setup - Facility Details'!$I$62)*IF(ISERROR(AC35),0,AC35)*$D35)</f>
        <v>0</v>
      </c>
      <c r="AE35" s="452">
        <f ca="1">IF($A35&gt;0,IF(AE$6=0,0,INDIRECT(ADDRESS(AE$6-1+CHOOSE($D$4,'Equipment Schedules'!$D$678,'Equipment Schedules'!$D$679,'Equipment Schedules'!$D$680,'Equipment Schedules'!$D$681,'Equipment Schedules'!$D$682,'Equipment Schedules'!$D$683,'Equipment Schedules'!$D$684,'Equipment Schedules'!$D$685,'Equipment Schedules'!$D$686),'Calculations - Fugitives'!$A35+1,,,"Equipment Schedules"))),0)</f>
        <v>0</v>
      </c>
      <c r="AF35" s="484">
        <f ca="1">IF($D35="N/A","N/A",'Setup - Facility Details'!$E$63*('Setup - Facility Details'!$H$63+'Setup - Facility Details'!$I$63)*IF(ISERROR(AE35),0,AE35)*$D35)</f>
        <v>0</v>
      </c>
      <c r="AG35" s="452">
        <f ca="1">IF($A35&gt;0,IF(AG$6=0,0,INDIRECT(ADDRESS(AG$6-1+CHOOSE($D$4,'Equipment Schedules'!$D$678,'Equipment Schedules'!$D$679,'Equipment Schedules'!$D$680,'Equipment Schedules'!$D$681,'Equipment Schedules'!$D$682,'Equipment Schedules'!$D$683,'Equipment Schedules'!$D$684,'Equipment Schedules'!$D$685,'Equipment Schedules'!$D$686),'Calculations - Fugitives'!$A35+1,,,"Equipment Schedules"))),0)</f>
        <v>0</v>
      </c>
      <c r="AH35" s="484">
        <f ca="1">IF($D35="N/A","N/A",'Setup - Facility Details'!$E$64*('Setup - Facility Details'!$H$64+'Setup - Facility Details'!$I$64)*IF(ISERROR(AG35),0,AG35)*$D35)</f>
        <v>0</v>
      </c>
      <c r="AI35" s="452">
        <f ca="1">IF($A35&gt;0,IF(AI$6=0,0,INDIRECT(ADDRESS(AI$6-1+CHOOSE($D$4,'Equipment Schedules'!$D$678,'Equipment Schedules'!$D$679,'Equipment Schedules'!$D$680,'Equipment Schedules'!$D$681,'Equipment Schedules'!$D$682,'Equipment Schedules'!$D$683,'Equipment Schedules'!$D$684,'Equipment Schedules'!$D$685,'Equipment Schedules'!$D$686),'Calculations - Fugitives'!$A35+1,,,"Equipment Schedules"))),0)</f>
        <v>0</v>
      </c>
      <c r="AJ35" s="484">
        <f ca="1">IF($D35="N/A","N/A",'Setup - Facility Details'!$E$65*('Setup - Facility Details'!$H$65+'Setup - Facility Details'!$I$65)*IF(ISERROR(AI35),0,AI35)*$D35)</f>
        <v>0</v>
      </c>
      <c r="AK35" s="452">
        <f ca="1">IF($A35&gt;0,IF(AK$6=0,0,INDIRECT(ADDRESS(AK$6-1+CHOOSE($D$4,'Equipment Schedules'!$D$678,'Equipment Schedules'!$D$679,'Equipment Schedules'!$D$680,'Equipment Schedules'!$D$681,'Equipment Schedules'!$D$682,'Equipment Schedules'!$D$683,'Equipment Schedules'!$D$684,'Equipment Schedules'!$D$685,'Equipment Schedules'!$D$686),'Calculations - Fugitives'!$A35+1,,,"Equipment Schedules"))),0)</f>
        <v>0</v>
      </c>
      <c r="AL35" s="484">
        <f ca="1">IF($D35="N/A","N/A",'Setup - Facility Details'!$E$66*('Setup - Facility Details'!$H$66+'Setup - Facility Details'!$I$66)*IF(ISERROR(AK35),0,AK35)*$D35)</f>
        <v>0</v>
      </c>
      <c r="AM35" s="452">
        <f ca="1">IF($A35&gt;0,IF(AM$6=0,0,INDIRECT(ADDRESS(AM$6-1+CHOOSE($D$4,'Equipment Schedules'!$D$678,'Equipment Schedules'!$D$679,'Equipment Schedules'!$D$680,'Equipment Schedules'!$D$681,'Equipment Schedules'!$D$682,'Equipment Schedules'!$D$683,'Equipment Schedules'!$D$684,'Equipment Schedules'!$D$685,'Equipment Schedules'!$D$686),'Calculations - Fugitives'!$A35+1,,,"Equipment Schedules"))),0)</f>
        <v>0</v>
      </c>
      <c r="AN35" s="484">
        <f ca="1">IF($D35="N/A","N/A",'Setup - Facility Details'!$E$67*('Setup - Facility Details'!$H$67+'Setup - Facility Details'!$I$67)*IF(ISERROR(AM35),0,AM35)*$D35)</f>
        <v>0</v>
      </c>
      <c r="AO35" s="452">
        <f ca="1">IF($A35&gt;0,IF(AO$6=0,0,INDIRECT(ADDRESS(AO$6-1+CHOOSE($D$4,'Equipment Schedules'!$D$678,'Equipment Schedules'!$D$679,'Equipment Schedules'!$D$680,'Equipment Schedules'!$D$681,'Equipment Schedules'!$D$682,'Equipment Schedules'!$D$683,'Equipment Schedules'!$D$684,'Equipment Schedules'!$D$685,'Equipment Schedules'!$D$686),'Calculations - Fugitives'!$A35+1,,,"Equipment Schedules"))),0)</f>
        <v>0</v>
      </c>
      <c r="AP35" s="484">
        <f ca="1">IF($D35="N/A","N/A",'Setup - Facility Details'!$E$68*('Setup - Facility Details'!$H$68+'Setup - Facility Details'!$I$68)*IF(ISERROR(AO35),0,AO35)*$D35)</f>
        <v>0</v>
      </c>
      <c r="AQ35" s="452">
        <f ca="1">IF($A35&gt;0,IF(AQ$6=0,0,INDIRECT(ADDRESS(AQ$6-1+CHOOSE($D$4,'Equipment Schedules'!$D$678,'Equipment Schedules'!$D$679,'Equipment Schedules'!$D$680,'Equipment Schedules'!$D$681,'Equipment Schedules'!$D$682,'Equipment Schedules'!$D$683,'Equipment Schedules'!$D$684,'Equipment Schedules'!$D$685,'Equipment Schedules'!$D$686),'Calculations - Fugitives'!$A35+1,,,"Equipment Schedules"))),0)</f>
        <v>0</v>
      </c>
      <c r="AR35" s="484">
        <f ca="1">IF($D35="N/A","N/A",'Setup - Facility Details'!$E$69*('Setup - Facility Details'!$H$69+'Setup - Facility Details'!$I$69)*IF(ISERROR(AQ35),0,AQ35)*$D35)</f>
        <v>0</v>
      </c>
      <c r="AS35" s="452">
        <f ca="1">IF($A35&gt;0,IF(AS$6=0,0,INDIRECT(ADDRESS(AS$6-1+CHOOSE($D$4,'Equipment Schedules'!$D$678,'Equipment Schedules'!$D$679,'Equipment Schedules'!$D$680,'Equipment Schedules'!$D$681,'Equipment Schedules'!$D$682,'Equipment Schedules'!$D$683,'Equipment Schedules'!$D$684,'Equipment Schedules'!$D$685,'Equipment Schedules'!$D$686),'Calculations - Fugitives'!$A35+1,,,"Equipment Schedules"))),0)</f>
        <v>0</v>
      </c>
      <c r="AT35" s="484">
        <f ca="1">IF($D35="N/A","N/A",'Setup - Facility Details'!$E$70*('Setup - Facility Details'!$H$70+'Setup - Facility Details'!$I$70)*IF(ISERROR(AS35),0,AS35)*$D35)</f>
        <v>0</v>
      </c>
    </row>
    <row r="36" spans="1:46" x14ac:dyDescent="0.3">
      <c r="A36" s="256">
        <f ca="1">IF($C$6=1,26,4)+$A$11</f>
        <v>5</v>
      </c>
      <c r="B36" s="48" t="str">
        <f ca="1">'Translation Table'!H580</f>
        <v>Open-ended Lines</v>
      </c>
      <c r="C36" s="48" t="str">
        <f ca="1">'Translation Table'!H581</f>
        <v>Light Liquid</v>
      </c>
      <c r="D36" s="485">
        <f ca="1">IF(OR($C$4=OffshoreOilProduction,$C$4=OffshoreGasProduction,$C$4=OnshoreGasProduction,$C$4=OnshoreOilProduction,$C$4=GasProcessing,$C$4=PetroleumRefining),'EFs - Equipment Leaks'!M31,IF(OR($C$4=GasTransmission,$C$4=GasStorage),'EFs - Equipment Leaks'!M73,IF($C$4=GasDistribution,'EFs - Equipment Leaks'!M115,"Error")))</f>
        <v>9.0612913158442932E-4</v>
      </c>
      <c r="E36" s="485" t="str">
        <f ca="1">IF($C$4=GasDistribution,'EFs - Equipment Leaks'!$M157,"      N/A ")</f>
        <v xml:space="preserve">      N/A </v>
      </c>
      <c r="F36" s="485" t="str">
        <f ca="1">IF($C$4=GasDistribution,'EFs - Equipment Leaks'!$M199,"      N/A ")</f>
        <v xml:space="preserve">      N/A </v>
      </c>
      <c r="G36" s="193">
        <f ca="1">IF($A36&gt;0,IF(G$6=0,0,INDIRECT(ADDRESS(G$6-1+CHOOSE($D$4,'Equipment Schedules'!$D$678,'Equipment Schedules'!$D$679,'Equipment Schedules'!$D$680,'Equipment Schedules'!$D$681,'Equipment Schedules'!$D$682,'Equipment Schedules'!$D$683,'Equipment Schedules'!$D$684,'Equipment Schedules'!$D$685,'Equipment Schedules'!$D$686),'Calculations - Fugitives'!$A36+1,,,"Equipment Schedules"))),0)</f>
        <v>0</v>
      </c>
      <c r="H36" s="486">
        <f ca="1">IF($D36="N/A","N/A",'Setup - Facility Details'!$E$51*('Setup - Facility Details'!$H$51+'Setup - Facility Details'!$I$51)*IF(ISERROR(G36),0,G36)*$D36)</f>
        <v>0</v>
      </c>
      <c r="I36" s="193">
        <f ca="1">IF($A36&gt;0,IF(I$6=0,0,INDIRECT(ADDRESS(I$6-1+CHOOSE($D$4,'Equipment Schedules'!$D$678,'Equipment Schedules'!$D$679,'Equipment Schedules'!$D$680,'Equipment Schedules'!$D$681,'Equipment Schedules'!$D$682,'Equipment Schedules'!$D$683,'Equipment Schedules'!$D$684,'Equipment Schedules'!$D$685,'Equipment Schedules'!$D$686),'Calculations - Fugitives'!$A36+1,,,"Equipment Schedules"))),0)</f>
        <v>0</v>
      </c>
      <c r="J36" s="486">
        <f ca="1">IF($D36="N/A","N/A",'Setup - Facility Details'!$E$52*('Setup - Facility Details'!$H$52+'Setup - Facility Details'!$I$52)*IF(ISERROR(I36),0,I36)*$D36)</f>
        <v>0</v>
      </c>
      <c r="K36" s="193">
        <f ca="1">IF($A36&gt;0,IF(K$6=0,0,INDIRECT(ADDRESS(K$6-1+CHOOSE($D$4,'Equipment Schedules'!$D$678,'Equipment Schedules'!$D$679,'Equipment Schedules'!$D$680,'Equipment Schedules'!$D$681,'Equipment Schedules'!$D$682,'Equipment Schedules'!$D$683,'Equipment Schedules'!$D$684,'Equipment Schedules'!$D$685,'Equipment Schedules'!$D$686),'Calculations - Fugitives'!$A36+1,,,"Equipment Schedules"))),0)</f>
        <v>0</v>
      </c>
      <c r="L36" s="486">
        <f ca="1">IF($D36="N/A","N/A",'Setup - Facility Details'!$E$53*('Setup - Facility Details'!$H$53+'Setup - Facility Details'!$I$53)*IF(ISERROR(K36),0,K36)*$D36)</f>
        <v>0</v>
      </c>
      <c r="M36" s="193">
        <f ca="1">IF($A36&gt;0,IF(M$6=0,0,INDIRECT(ADDRESS(M$6-1+CHOOSE($D$4,'Equipment Schedules'!$D$678,'Equipment Schedules'!$D$679,'Equipment Schedules'!$D$680,'Equipment Schedules'!$D$681,'Equipment Schedules'!$D$682,'Equipment Schedules'!$D$683,'Equipment Schedules'!$D$684,'Equipment Schedules'!$D$685,'Equipment Schedules'!$D$686),'Calculations - Fugitives'!$A36+1,,,"Equipment Schedules"))),0)</f>
        <v>0</v>
      </c>
      <c r="N36" s="486">
        <f ca="1">IF($D36="N/A","N/A",'Setup - Facility Details'!$E$54*('Setup - Facility Details'!$H$54+'Setup - Facility Details'!$I$54)*IF(ISERROR(M36),0,M36)*$D36)</f>
        <v>0</v>
      </c>
      <c r="O36" s="193">
        <f ca="1">IF($A36&gt;0,IF(O$6=0,0,INDIRECT(ADDRESS(O$6-1+CHOOSE($D$4,'Equipment Schedules'!$D$678,'Equipment Schedules'!$D$679,'Equipment Schedules'!$D$680,'Equipment Schedules'!$D$681,'Equipment Schedules'!$D$682,'Equipment Schedules'!$D$683,'Equipment Schedules'!$D$684,'Equipment Schedules'!$D$685,'Equipment Schedules'!$D$686),'Calculations - Fugitives'!$A36+1,,,"Equipment Schedules"))),0)</f>
        <v>0</v>
      </c>
      <c r="P36" s="486">
        <f ca="1">IF($D36="N/A","N/A",'Setup - Facility Details'!$E$55*('Setup - Facility Details'!$H$55+'Setup - Facility Details'!$I$55)*IF(ISERROR(O36),0,O36)*$D36)</f>
        <v>0</v>
      </c>
      <c r="Q36" s="193">
        <f ca="1">IF($A36&gt;0,IF(Q$6=0,0,INDIRECT(ADDRESS(Q$6-1+CHOOSE($D$4,'Equipment Schedules'!$D$678,'Equipment Schedules'!$D$679,'Equipment Schedules'!$D$680,'Equipment Schedules'!$D$681,'Equipment Schedules'!$D$682,'Equipment Schedules'!$D$683,'Equipment Schedules'!$D$684,'Equipment Schedules'!$D$685,'Equipment Schedules'!$D$686),'Calculations - Fugitives'!$A36+1,,,"Equipment Schedules"))),0)</f>
        <v>0</v>
      </c>
      <c r="R36" s="486">
        <f ca="1">IF($D36="N/A","N/A",'Setup - Facility Details'!$E$56*('Setup - Facility Details'!$H$56+'Setup - Facility Details'!$I$56)*IF(ISERROR(Q36),0,Q36)*$D36)</f>
        <v>0</v>
      </c>
      <c r="S36" s="193">
        <f ca="1">IF($A36&gt;0,IF(S$6=0,0,INDIRECT(ADDRESS(S$6-1+CHOOSE($D$4,'Equipment Schedules'!$D$678,'Equipment Schedules'!$D$679,'Equipment Schedules'!$D$680,'Equipment Schedules'!$D$681,'Equipment Schedules'!$D$682,'Equipment Schedules'!$D$683,'Equipment Schedules'!$D$684,'Equipment Schedules'!$D$685,'Equipment Schedules'!$D$686),'Calculations - Fugitives'!$A36+1,,,"Equipment Schedules"))),0)</f>
        <v>0</v>
      </c>
      <c r="T36" s="486">
        <f ca="1">IF($D36="N/A","N/A",'Setup - Facility Details'!$E$57*('Setup - Facility Details'!$H$57+'Setup - Facility Details'!$I$57)*IF(ISERROR(S36),0,S36)*$D36)</f>
        <v>0</v>
      </c>
      <c r="U36" s="193">
        <f ca="1">IF($A36&gt;0,IF(U$6=0,0,INDIRECT(ADDRESS(U$6-1+CHOOSE($D$4,'Equipment Schedules'!$D$678,'Equipment Schedules'!$D$679,'Equipment Schedules'!$D$680,'Equipment Schedules'!$D$681,'Equipment Schedules'!$D$682,'Equipment Schedules'!$D$683,'Equipment Schedules'!$D$684,'Equipment Schedules'!$D$685,'Equipment Schedules'!$D$686),'Calculations - Fugitives'!$A36+1,,,"Equipment Schedules"))),0)</f>
        <v>0</v>
      </c>
      <c r="V36" s="486">
        <f ca="1">IF($D36="N/A","N/A",'Setup - Facility Details'!$E$58*('Setup - Facility Details'!$H$58+'Setup - Facility Details'!$I$58)*IF(ISERROR(U36),0,U36)*$D36)</f>
        <v>0</v>
      </c>
      <c r="W36" s="193">
        <f ca="1">IF($A36&gt;0,IF(W$6=0,0,INDIRECT(ADDRESS(W$6-1+CHOOSE($D$4,'Equipment Schedules'!$D$678,'Equipment Schedules'!$D$679,'Equipment Schedules'!$D$680,'Equipment Schedules'!$D$681,'Equipment Schedules'!$D$682,'Equipment Schedules'!$D$683,'Equipment Schedules'!$D$684,'Equipment Schedules'!$D$685,'Equipment Schedules'!$D$686),'Calculations - Fugitives'!$A36+1,,,"Equipment Schedules"))),0)</f>
        <v>0</v>
      </c>
      <c r="X36" s="486">
        <f ca="1">IF($D36="N/A","N/A",'Setup - Facility Details'!$E$59*('Setup - Facility Details'!$H$59+'Setup - Facility Details'!$I$59)*IF(ISERROR(W36),0,W36)*$D36)</f>
        <v>0</v>
      </c>
      <c r="Y36" s="193">
        <f ca="1">IF($A36&gt;0,IF(Y$6=0,0,INDIRECT(ADDRESS(Y$6-1+CHOOSE($D$4,'Equipment Schedules'!$D$678,'Equipment Schedules'!$D$679,'Equipment Schedules'!$D$680,'Equipment Schedules'!$D$681,'Equipment Schedules'!$D$682,'Equipment Schedules'!$D$683,'Equipment Schedules'!$D$684,'Equipment Schedules'!$D$685,'Equipment Schedules'!$D$686),'Calculations - Fugitives'!$A36+1,,,"Equipment Schedules"))),0)</f>
        <v>0</v>
      </c>
      <c r="Z36" s="486">
        <f ca="1">IF($D36="N/A","N/A",'Setup - Facility Details'!$E$60*('Setup - Facility Details'!$H$60+'Setup - Facility Details'!$I$60)*IF(ISERROR(Y36),0,Y36)*$D36)</f>
        <v>0</v>
      </c>
      <c r="AA36" s="193">
        <f ca="1">IF($A36&gt;0,IF(AA$6=0,0,INDIRECT(ADDRESS(AA$6-1+CHOOSE($D$4,'Equipment Schedules'!$D$678,'Equipment Schedules'!$D$679,'Equipment Schedules'!$D$680,'Equipment Schedules'!$D$681,'Equipment Schedules'!$D$682,'Equipment Schedules'!$D$683,'Equipment Schedules'!$D$684,'Equipment Schedules'!$D$685,'Equipment Schedules'!$D$686),'Calculations - Fugitives'!$A36+1,,,"Equipment Schedules"))),0)</f>
        <v>0</v>
      </c>
      <c r="AB36" s="486">
        <f ca="1">IF($D36="N/A","N/A",'Setup - Facility Details'!$E$61*('Setup - Facility Details'!$H$61+'Setup - Facility Details'!$I$61)*IF(ISERROR(AA36),0,AA36)*$D36)</f>
        <v>0</v>
      </c>
      <c r="AC36" s="193">
        <f ca="1">IF($A36&gt;0,IF(AC$6=0,0,INDIRECT(ADDRESS(AC$6-1+CHOOSE($D$4,'Equipment Schedules'!$D$678,'Equipment Schedules'!$D$679,'Equipment Schedules'!$D$680,'Equipment Schedules'!$D$681,'Equipment Schedules'!$D$682,'Equipment Schedules'!$D$683,'Equipment Schedules'!$D$684,'Equipment Schedules'!$D$685,'Equipment Schedules'!$D$686),'Calculations - Fugitives'!$A36+1,,,"Equipment Schedules"))),0)</f>
        <v>0</v>
      </c>
      <c r="AD36" s="486">
        <f ca="1">IF($D36="N/A","N/A",'Setup - Facility Details'!$E$62*('Setup - Facility Details'!$H$62+'Setup - Facility Details'!$I$62)*IF(ISERROR(AC36),0,AC36)*$D36)</f>
        <v>0</v>
      </c>
      <c r="AE36" s="193">
        <f ca="1">IF($A36&gt;0,IF(AE$6=0,0,INDIRECT(ADDRESS(AE$6-1+CHOOSE($D$4,'Equipment Schedules'!$D$678,'Equipment Schedules'!$D$679,'Equipment Schedules'!$D$680,'Equipment Schedules'!$D$681,'Equipment Schedules'!$D$682,'Equipment Schedules'!$D$683,'Equipment Schedules'!$D$684,'Equipment Schedules'!$D$685,'Equipment Schedules'!$D$686),'Calculations - Fugitives'!$A36+1,,,"Equipment Schedules"))),0)</f>
        <v>0</v>
      </c>
      <c r="AF36" s="486">
        <f ca="1">IF($D36="N/A","N/A",'Setup - Facility Details'!$E$63*('Setup - Facility Details'!$H$63+'Setup - Facility Details'!$I$63)*IF(ISERROR(AE36),0,AE36)*$D36)</f>
        <v>0</v>
      </c>
      <c r="AG36" s="193">
        <f ca="1">IF($A36&gt;0,IF(AG$6=0,0,INDIRECT(ADDRESS(AG$6-1+CHOOSE($D$4,'Equipment Schedules'!$D$678,'Equipment Schedules'!$D$679,'Equipment Schedules'!$D$680,'Equipment Schedules'!$D$681,'Equipment Schedules'!$D$682,'Equipment Schedules'!$D$683,'Equipment Schedules'!$D$684,'Equipment Schedules'!$D$685,'Equipment Schedules'!$D$686),'Calculations - Fugitives'!$A36+1,,,"Equipment Schedules"))),0)</f>
        <v>0</v>
      </c>
      <c r="AH36" s="486">
        <f ca="1">IF($D36="N/A","N/A",'Setup - Facility Details'!$E$64*('Setup - Facility Details'!$H$64+'Setup - Facility Details'!$I$64)*IF(ISERROR(AG36),0,AG36)*$D36)</f>
        <v>0</v>
      </c>
      <c r="AI36" s="193">
        <f ca="1">IF($A36&gt;0,IF(AI$6=0,0,INDIRECT(ADDRESS(AI$6-1+CHOOSE($D$4,'Equipment Schedules'!$D$678,'Equipment Schedules'!$D$679,'Equipment Schedules'!$D$680,'Equipment Schedules'!$D$681,'Equipment Schedules'!$D$682,'Equipment Schedules'!$D$683,'Equipment Schedules'!$D$684,'Equipment Schedules'!$D$685,'Equipment Schedules'!$D$686),'Calculations - Fugitives'!$A36+1,,,"Equipment Schedules"))),0)</f>
        <v>0</v>
      </c>
      <c r="AJ36" s="486">
        <f ca="1">IF($D36="N/A","N/A",'Setup - Facility Details'!$E$65*('Setup - Facility Details'!$H$65+'Setup - Facility Details'!$I$65)*IF(ISERROR(AI36),0,AI36)*$D36)</f>
        <v>0</v>
      </c>
      <c r="AK36" s="193">
        <f ca="1">IF($A36&gt;0,IF(AK$6=0,0,INDIRECT(ADDRESS(AK$6-1+CHOOSE($D$4,'Equipment Schedules'!$D$678,'Equipment Schedules'!$D$679,'Equipment Schedules'!$D$680,'Equipment Schedules'!$D$681,'Equipment Schedules'!$D$682,'Equipment Schedules'!$D$683,'Equipment Schedules'!$D$684,'Equipment Schedules'!$D$685,'Equipment Schedules'!$D$686),'Calculations - Fugitives'!$A36+1,,,"Equipment Schedules"))),0)</f>
        <v>0</v>
      </c>
      <c r="AL36" s="486">
        <f ca="1">IF($D36="N/A","N/A",'Setup - Facility Details'!$E$66*('Setup - Facility Details'!$H$66+'Setup - Facility Details'!$I$66)*IF(ISERROR(AK36),0,AK36)*$D36)</f>
        <v>0</v>
      </c>
      <c r="AM36" s="193">
        <f ca="1">IF($A36&gt;0,IF(AM$6=0,0,INDIRECT(ADDRESS(AM$6-1+CHOOSE($D$4,'Equipment Schedules'!$D$678,'Equipment Schedules'!$D$679,'Equipment Schedules'!$D$680,'Equipment Schedules'!$D$681,'Equipment Schedules'!$D$682,'Equipment Schedules'!$D$683,'Equipment Schedules'!$D$684,'Equipment Schedules'!$D$685,'Equipment Schedules'!$D$686),'Calculations - Fugitives'!$A36+1,,,"Equipment Schedules"))),0)</f>
        <v>0</v>
      </c>
      <c r="AN36" s="486">
        <f ca="1">IF($D36="N/A","N/A",'Setup - Facility Details'!$E$67*('Setup - Facility Details'!$H$67+'Setup - Facility Details'!$I$67)*IF(ISERROR(AM36),0,AM36)*$D36)</f>
        <v>0</v>
      </c>
      <c r="AO36" s="193">
        <f ca="1">IF($A36&gt;0,IF(AO$6=0,0,INDIRECT(ADDRESS(AO$6-1+CHOOSE($D$4,'Equipment Schedules'!$D$678,'Equipment Schedules'!$D$679,'Equipment Schedules'!$D$680,'Equipment Schedules'!$D$681,'Equipment Schedules'!$D$682,'Equipment Schedules'!$D$683,'Equipment Schedules'!$D$684,'Equipment Schedules'!$D$685,'Equipment Schedules'!$D$686),'Calculations - Fugitives'!$A36+1,,,"Equipment Schedules"))),0)</f>
        <v>0</v>
      </c>
      <c r="AP36" s="486">
        <f ca="1">IF($D36="N/A","N/A",'Setup - Facility Details'!$E$68*('Setup - Facility Details'!$H$68+'Setup - Facility Details'!$I$68)*IF(ISERROR(AO36),0,AO36)*$D36)</f>
        <v>0</v>
      </c>
      <c r="AQ36" s="193">
        <f ca="1">IF($A36&gt;0,IF(AQ$6=0,0,INDIRECT(ADDRESS(AQ$6-1+CHOOSE($D$4,'Equipment Schedules'!$D$678,'Equipment Schedules'!$D$679,'Equipment Schedules'!$D$680,'Equipment Schedules'!$D$681,'Equipment Schedules'!$D$682,'Equipment Schedules'!$D$683,'Equipment Schedules'!$D$684,'Equipment Schedules'!$D$685,'Equipment Schedules'!$D$686),'Calculations - Fugitives'!$A36+1,,,"Equipment Schedules"))),0)</f>
        <v>0</v>
      </c>
      <c r="AR36" s="486">
        <f ca="1">IF($D36="N/A","N/A",'Setup - Facility Details'!$E$69*('Setup - Facility Details'!$H$69+'Setup - Facility Details'!$I$69)*IF(ISERROR(AQ36),0,AQ36)*$D36)</f>
        <v>0</v>
      </c>
      <c r="AS36" s="193">
        <f ca="1">IF($A36&gt;0,IF(AS$6=0,0,INDIRECT(ADDRESS(AS$6-1+CHOOSE($D$4,'Equipment Schedules'!$D$678,'Equipment Schedules'!$D$679,'Equipment Schedules'!$D$680,'Equipment Schedules'!$D$681,'Equipment Schedules'!$D$682,'Equipment Schedules'!$D$683,'Equipment Schedules'!$D$684,'Equipment Schedules'!$D$685,'Equipment Schedules'!$D$686),'Calculations - Fugitives'!$A36+1,,,"Equipment Schedules"))),0)</f>
        <v>0</v>
      </c>
      <c r="AT36" s="486">
        <f ca="1">IF($D36="N/A","N/A",'Setup - Facility Details'!$E$70*('Setup - Facility Details'!$H$70+'Setup - Facility Details'!$I$70)*IF(ISERROR(AS36),0,AS36)*$D36)</f>
        <v>0</v>
      </c>
    </row>
    <row r="37" spans="1:46" x14ac:dyDescent="0.3">
      <c r="A37" s="256">
        <f ca="1">IF($C$6=0,26,5)+$A$11</f>
        <v>27</v>
      </c>
      <c r="B37" s="81" t="str">
        <f ca="1">'Translation Table'!H582</f>
        <v>Open-ended Lines</v>
      </c>
      <c r="C37" s="81" t="str">
        <f ca="1">'Translation Table'!H583</f>
        <v>Heavy Liquid</v>
      </c>
      <c r="D37" s="483">
        <f ca="1">IF(OR($C$4=OffshoreOilProduction,$C$4=OffshoreGasProduction,$C$4=OnshoreGasProduction,$C$4=OnshoreOilProduction,$C$4=GasProcessing,$C$4=PetroleumRefining),'EFs - Equipment Leaks'!M32,IF(OR($C$4=GasTransmission,$C$4=GasStorage),'EFs - Equipment Leaks'!M74,IF($C$4=GasDistribution,'EFs - Equipment Leaks'!M116,"Error")))</f>
        <v>9.0657066278037918E-5</v>
      </c>
      <c r="E37" s="483" t="str">
        <f ca="1">IF($C$4=GasDistribution,'EFs - Equipment Leaks'!$M158,"      N/A ")</f>
        <v xml:space="preserve">      N/A </v>
      </c>
      <c r="F37" s="483" t="str">
        <f ca="1">IF($C$4=GasDistribution,'EFs - Equipment Leaks'!$M200,"      N/A ")</f>
        <v xml:space="preserve">      N/A </v>
      </c>
      <c r="G37" s="452">
        <f ca="1">IF($A37&gt;0,IF(G$6=0,0,INDIRECT(ADDRESS(G$6-1+CHOOSE($D$4,'Equipment Schedules'!$D$678,'Equipment Schedules'!$D$679,'Equipment Schedules'!$D$680,'Equipment Schedules'!$D$681,'Equipment Schedules'!$D$682,'Equipment Schedules'!$D$683,'Equipment Schedules'!$D$684,'Equipment Schedules'!$D$685,'Equipment Schedules'!$D$686),'Calculations - Fugitives'!$A37+1,,,"Equipment Schedules"))),0)</f>
        <v>0</v>
      </c>
      <c r="H37" s="484">
        <f ca="1">IF($D37="N/A","N/A",'Setup - Facility Details'!$E$51*('Setup - Facility Details'!$H$51+'Setup - Facility Details'!$I$51)*IF(ISERROR(G37),0,G37)*$D37)</f>
        <v>0</v>
      </c>
      <c r="I37" s="452">
        <f ca="1">IF($A37&gt;0,IF(I$6=0,0,INDIRECT(ADDRESS(I$6-1+CHOOSE($D$4,'Equipment Schedules'!$D$678,'Equipment Schedules'!$D$679,'Equipment Schedules'!$D$680,'Equipment Schedules'!$D$681,'Equipment Schedules'!$D$682,'Equipment Schedules'!$D$683,'Equipment Schedules'!$D$684,'Equipment Schedules'!$D$685,'Equipment Schedules'!$D$686),'Calculations - Fugitives'!$A37+1,,,"Equipment Schedules"))),0)</f>
        <v>0</v>
      </c>
      <c r="J37" s="484">
        <f ca="1">IF($D37="N/A","N/A",'Setup - Facility Details'!$E$52*('Setup - Facility Details'!$H$52+'Setup - Facility Details'!$I$52)*IF(ISERROR(I37),0,I37)*$D37)</f>
        <v>0</v>
      </c>
      <c r="K37" s="452">
        <f ca="1">IF($A37&gt;0,IF(K$6=0,0,INDIRECT(ADDRESS(K$6-1+CHOOSE($D$4,'Equipment Schedules'!$D$678,'Equipment Schedules'!$D$679,'Equipment Schedules'!$D$680,'Equipment Schedules'!$D$681,'Equipment Schedules'!$D$682,'Equipment Schedules'!$D$683,'Equipment Schedules'!$D$684,'Equipment Schedules'!$D$685,'Equipment Schedules'!$D$686),'Calculations - Fugitives'!$A37+1,,,"Equipment Schedules"))),0)</f>
        <v>0</v>
      </c>
      <c r="L37" s="484">
        <f ca="1">IF($D37="N/A","N/A",'Setup - Facility Details'!$E$53*('Setup - Facility Details'!$H$53+'Setup - Facility Details'!$I$53)*IF(ISERROR(K37),0,K37)*$D37)</f>
        <v>0</v>
      </c>
      <c r="M37" s="452">
        <f ca="1">IF($A37&gt;0,IF(M$6=0,0,INDIRECT(ADDRESS(M$6-1+CHOOSE($D$4,'Equipment Schedules'!$D$678,'Equipment Schedules'!$D$679,'Equipment Schedules'!$D$680,'Equipment Schedules'!$D$681,'Equipment Schedules'!$D$682,'Equipment Schedules'!$D$683,'Equipment Schedules'!$D$684,'Equipment Schedules'!$D$685,'Equipment Schedules'!$D$686),'Calculations - Fugitives'!$A37+1,,,"Equipment Schedules"))),0)</f>
        <v>0</v>
      </c>
      <c r="N37" s="484">
        <f ca="1">IF($D37="N/A","N/A",'Setup - Facility Details'!$E$54*('Setup - Facility Details'!$H$54+'Setup - Facility Details'!$I$54)*IF(ISERROR(M37),0,M37)*$D37)</f>
        <v>0</v>
      </c>
      <c r="O37" s="452">
        <f ca="1">IF($A37&gt;0,IF(O$6=0,0,INDIRECT(ADDRESS(O$6-1+CHOOSE($D$4,'Equipment Schedules'!$D$678,'Equipment Schedules'!$D$679,'Equipment Schedules'!$D$680,'Equipment Schedules'!$D$681,'Equipment Schedules'!$D$682,'Equipment Schedules'!$D$683,'Equipment Schedules'!$D$684,'Equipment Schedules'!$D$685,'Equipment Schedules'!$D$686),'Calculations - Fugitives'!$A37+1,,,"Equipment Schedules"))),0)</f>
        <v>0</v>
      </c>
      <c r="P37" s="484">
        <f ca="1">IF($D37="N/A","N/A",'Setup - Facility Details'!$E$55*('Setup - Facility Details'!$H$55+'Setup - Facility Details'!$I$55)*IF(ISERROR(O37),0,O37)*$D37)</f>
        <v>0</v>
      </c>
      <c r="Q37" s="452">
        <f ca="1">IF($A37&gt;0,IF(Q$6=0,0,INDIRECT(ADDRESS(Q$6-1+CHOOSE($D$4,'Equipment Schedules'!$D$678,'Equipment Schedules'!$D$679,'Equipment Schedules'!$D$680,'Equipment Schedules'!$D$681,'Equipment Schedules'!$D$682,'Equipment Schedules'!$D$683,'Equipment Schedules'!$D$684,'Equipment Schedules'!$D$685,'Equipment Schedules'!$D$686),'Calculations - Fugitives'!$A37+1,,,"Equipment Schedules"))),0)</f>
        <v>0</v>
      </c>
      <c r="R37" s="484">
        <f ca="1">IF($D37="N/A","N/A",'Setup - Facility Details'!$E$56*('Setup - Facility Details'!$H$56+'Setup - Facility Details'!$I$56)*IF(ISERROR(Q37),0,Q37)*$D37)</f>
        <v>0</v>
      </c>
      <c r="S37" s="452">
        <f ca="1">IF($A37&gt;0,IF(S$6=0,0,INDIRECT(ADDRESS(S$6-1+CHOOSE($D$4,'Equipment Schedules'!$D$678,'Equipment Schedules'!$D$679,'Equipment Schedules'!$D$680,'Equipment Schedules'!$D$681,'Equipment Schedules'!$D$682,'Equipment Schedules'!$D$683,'Equipment Schedules'!$D$684,'Equipment Schedules'!$D$685,'Equipment Schedules'!$D$686),'Calculations - Fugitives'!$A37+1,,,"Equipment Schedules"))),0)</f>
        <v>0</v>
      </c>
      <c r="T37" s="484">
        <f ca="1">IF($D37="N/A","N/A",'Setup - Facility Details'!$E$57*('Setup - Facility Details'!$H$57+'Setup - Facility Details'!$I$57)*IF(ISERROR(S37),0,S37)*$D37)</f>
        <v>0</v>
      </c>
      <c r="U37" s="452">
        <f ca="1">IF($A37&gt;0,IF(U$6=0,0,INDIRECT(ADDRESS(U$6-1+CHOOSE($D$4,'Equipment Schedules'!$D$678,'Equipment Schedules'!$D$679,'Equipment Schedules'!$D$680,'Equipment Schedules'!$D$681,'Equipment Schedules'!$D$682,'Equipment Schedules'!$D$683,'Equipment Schedules'!$D$684,'Equipment Schedules'!$D$685,'Equipment Schedules'!$D$686),'Calculations - Fugitives'!$A37+1,,,"Equipment Schedules"))),0)</f>
        <v>0</v>
      </c>
      <c r="V37" s="484">
        <f ca="1">IF($D37="N/A","N/A",'Setup - Facility Details'!$E$58*('Setup - Facility Details'!$H$58+'Setup - Facility Details'!$I$58)*IF(ISERROR(U37),0,U37)*$D37)</f>
        <v>0</v>
      </c>
      <c r="W37" s="452">
        <f ca="1">IF($A37&gt;0,IF(W$6=0,0,INDIRECT(ADDRESS(W$6-1+CHOOSE($D$4,'Equipment Schedules'!$D$678,'Equipment Schedules'!$D$679,'Equipment Schedules'!$D$680,'Equipment Schedules'!$D$681,'Equipment Schedules'!$D$682,'Equipment Schedules'!$D$683,'Equipment Schedules'!$D$684,'Equipment Schedules'!$D$685,'Equipment Schedules'!$D$686),'Calculations - Fugitives'!$A37+1,,,"Equipment Schedules"))),0)</f>
        <v>0</v>
      </c>
      <c r="X37" s="484">
        <f ca="1">IF($D37="N/A","N/A",'Setup - Facility Details'!$E$59*('Setup - Facility Details'!$H$59+'Setup - Facility Details'!$I$59)*IF(ISERROR(W37),0,W37)*$D37)</f>
        <v>0</v>
      </c>
      <c r="Y37" s="452">
        <f ca="1">IF($A37&gt;0,IF(Y$6=0,0,INDIRECT(ADDRESS(Y$6-1+CHOOSE($D$4,'Equipment Schedules'!$D$678,'Equipment Schedules'!$D$679,'Equipment Schedules'!$D$680,'Equipment Schedules'!$D$681,'Equipment Schedules'!$D$682,'Equipment Schedules'!$D$683,'Equipment Schedules'!$D$684,'Equipment Schedules'!$D$685,'Equipment Schedules'!$D$686),'Calculations - Fugitives'!$A37+1,,,"Equipment Schedules"))),0)</f>
        <v>0</v>
      </c>
      <c r="Z37" s="484">
        <f ca="1">IF($D37="N/A","N/A",'Setup - Facility Details'!$E$60*('Setup - Facility Details'!$H$60+'Setup - Facility Details'!$I$60)*IF(ISERROR(Y37),0,Y37)*$D37)</f>
        <v>0</v>
      </c>
      <c r="AA37" s="452">
        <f ca="1">IF($A37&gt;0,IF(AA$6=0,0,INDIRECT(ADDRESS(AA$6-1+CHOOSE($D$4,'Equipment Schedules'!$D$678,'Equipment Schedules'!$D$679,'Equipment Schedules'!$D$680,'Equipment Schedules'!$D$681,'Equipment Schedules'!$D$682,'Equipment Schedules'!$D$683,'Equipment Schedules'!$D$684,'Equipment Schedules'!$D$685,'Equipment Schedules'!$D$686),'Calculations - Fugitives'!$A37+1,,,"Equipment Schedules"))),0)</f>
        <v>0</v>
      </c>
      <c r="AB37" s="484">
        <f ca="1">IF($D37="N/A","N/A",'Setup - Facility Details'!$E$61*('Setup - Facility Details'!$H$61+'Setup - Facility Details'!$I$61)*IF(ISERROR(AA37),0,AA37)*$D37)</f>
        <v>0</v>
      </c>
      <c r="AC37" s="452">
        <f ca="1">IF($A37&gt;0,IF(AC$6=0,0,INDIRECT(ADDRESS(AC$6-1+CHOOSE($D$4,'Equipment Schedules'!$D$678,'Equipment Schedules'!$D$679,'Equipment Schedules'!$D$680,'Equipment Schedules'!$D$681,'Equipment Schedules'!$D$682,'Equipment Schedules'!$D$683,'Equipment Schedules'!$D$684,'Equipment Schedules'!$D$685,'Equipment Schedules'!$D$686),'Calculations - Fugitives'!$A37+1,,,"Equipment Schedules"))),0)</f>
        <v>0</v>
      </c>
      <c r="AD37" s="484">
        <f ca="1">IF($D37="N/A","N/A",'Setup - Facility Details'!$E$62*('Setup - Facility Details'!$H$62+'Setup - Facility Details'!$I$62)*IF(ISERROR(AC37),0,AC37)*$D37)</f>
        <v>0</v>
      </c>
      <c r="AE37" s="452">
        <f ca="1">IF($A37&gt;0,IF(AE$6=0,0,INDIRECT(ADDRESS(AE$6-1+CHOOSE($D$4,'Equipment Schedules'!$D$678,'Equipment Schedules'!$D$679,'Equipment Schedules'!$D$680,'Equipment Schedules'!$D$681,'Equipment Schedules'!$D$682,'Equipment Schedules'!$D$683,'Equipment Schedules'!$D$684,'Equipment Schedules'!$D$685,'Equipment Schedules'!$D$686),'Calculations - Fugitives'!$A37+1,,,"Equipment Schedules"))),0)</f>
        <v>0</v>
      </c>
      <c r="AF37" s="484">
        <f ca="1">IF($D37="N/A","N/A",'Setup - Facility Details'!$E$63*('Setup - Facility Details'!$H$63+'Setup - Facility Details'!$I$63)*IF(ISERROR(AE37),0,AE37)*$D37)</f>
        <v>0</v>
      </c>
      <c r="AG37" s="452">
        <f ca="1">IF($A37&gt;0,IF(AG$6=0,0,INDIRECT(ADDRESS(AG$6-1+CHOOSE($D$4,'Equipment Schedules'!$D$678,'Equipment Schedules'!$D$679,'Equipment Schedules'!$D$680,'Equipment Schedules'!$D$681,'Equipment Schedules'!$D$682,'Equipment Schedules'!$D$683,'Equipment Schedules'!$D$684,'Equipment Schedules'!$D$685,'Equipment Schedules'!$D$686),'Calculations - Fugitives'!$A37+1,,,"Equipment Schedules"))),0)</f>
        <v>0</v>
      </c>
      <c r="AH37" s="484">
        <f ca="1">IF($D37="N/A","N/A",'Setup - Facility Details'!$E$64*('Setup - Facility Details'!$H$64+'Setup - Facility Details'!$I$64)*IF(ISERROR(AG37),0,AG37)*$D37)</f>
        <v>0</v>
      </c>
      <c r="AI37" s="452">
        <f ca="1">IF($A37&gt;0,IF(AI$6=0,0,INDIRECT(ADDRESS(AI$6-1+CHOOSE($D$4,'Equipment Schedules'!$D$678,'Equipment Schedules'!$D$679,'Equipment Schedules'!$D$680,'Equipment Schedules'!$D$681,'Equipment Schedules'!$D$682,'Equipment Schedules'!$D$683,'Equipment Schedules'!$D$684,'Equipment Schedules'!$D$685,'Equipment Schedules'!$D$686),'Calculations - Fugitives'!$A37+1,,,"Equipment Schedules"))),0)</f>
        <v>0</v>
      </c>
      <c r="AJ37" s="484">
        <f ca="1">IF($D37="N/A","N/A",'Setup - Facility Details'!$E$65*('Setup - Facility Details'!$H$65+'Setup - Facility Details'!$I$65)*IF(ISERROR(AI37),0,AI37)*$D37)</f>
        <v>0</v>
      </c>
      <c r="AK37" s="452">
        <f ca="1">IF($A37&gt;0,IF(AK$6=0,0,INDIRECT(ADDRESS(AK$6-1+CHOOSE($D$4,'Equipment Schedules'!$D$678,'Equipment Schedules'!$D$679,'Equipment Schedules'!$D$680,'Equipment Schedules'!$D$681,'Equipment Schedules'!$D$682,'Equipment Schedules'!$D$683,'Equipment Schedules'!$D$684,'Equipment Schedules'!$D$685,'Equipment Schedules'!$D$686),'Calculations - Fugitives'!$A37+1,,,"Equipment Schedules"))),0)</f>
        <v>0</v>
      </c>
      <c r="AL37" s="484">
        <f ca="1">IF($D37="N/A","N/A",'Setup - Facility Details'!$E$66*('Setup - Facility Details'!$H$66+'Setup - Facility Details'!$I$66)*IF(ISERROR(AK37),0,AK37)*$D37)</f>
        <v>0</v>
      </c>
      <c r="AM37" s="452">
        <f ca="1">IF($A37&gt;0,IF(AM$6=0,0,INDIRECT(ADDRESS(AM$6-1+CHOOSE($D$4,'Equipment Schedules'!$D$678,'Equipment Schedules'!$D$679,'Equipment Schedules'!$D$680,'Equipment Schedules'!$D$681,'Equipment Schedules'!$D$682,'Equipment Schedules'!$D$683,'Equipment Schedules'!$D$684,'Equipment Schedules'!$D$685,'Equipment Schedules'!$D$686),'Calculations - Fugitives'!$A37+1,,,"Equipment Schedules"))),0)</f>
        <v>0</v>
      </c>
      <c r="AN37" s="484">
        <f ca="1">IF($D37="N/A","N/A",'Setup - Facility Details'!$E$67*('Setup - Facility Details'!$H$67+'Setup - Facility Details'!$I$67)*IF(ISERROR(AM37),0,AM37)*$D37)</f>
        <v>0</v>
      </c>
      <c r="AO37" s="452">
        <f ca="1">IF($A37&gt;0,IF(AO$6=0,0,INDIRECT(ADDRESS(AO$6-1+CHOOSE($D$4,'Equipment Schedules'!$D$678,'Equipment Schedules'!$D$679,'Equipment Schedules'!$D$680,'Equipment Schedules'!$D$681,'Equipment Schedules'!$D$682,'Equipment Schedules'!$D$683,'Equipment Schedules'!$D$684,'Equipment Schedules'!$D$685,'Equipment Schedules'!$D$686),'Calculations - Fugitives'!$A37+1,,,"Equipment Schedules"))),0)</f>
        <v>0</v>
      </c>
      <c r="AP37" s="484">
        <f ca="1">IF($D37="N/A","N/A",'Setup - Facility Details'!$E$68*('Setup - Facility Details'!$H$68+'Setup - Facility Details'!$I$68)*IF(ISERROR(AO37),0,AO37)*$D37)</f>
        <v>0</v>
      </c>
      <c r="AQ37" s="452">
        <f ca="1">IF($A37&gt;0,IF(AQ$6=0,0,INDIRECT(ADDRESS(AQ$6-1+CHOOSE($D$4,'Equipment Schedules'!$D$678,'Equipment Schedules'!$D$679,'Equipment Schedules'!$D$680,'Equipment Schedules'!$D$681,'Equipment Schedules'!$D$682,'Equipment Schedules'!$D$683,'Equipment Schedules'!$D$684,'Equipment Schedules'!$D$685,'Equipment Schedules'!$D$686),'Calculations - Fugitives'!$A37+1,,,"Equipment Schedules"))),0)</f>
        <v>0</v>
      </c>
      <c r="AR37" s="484">
        <f ca="1">IF($D37="N/A","N/A",'Setup - Facility Details'!$E$69*('Setup - Facility Details'!$H$69+'Setup - Facility Details'!$I$69)*IF(ISERROR(AQ37),0,AQ37)*$D37)</f>
        <v>0</v>
      </c>
      <c r="AS37" s="452">
        <f ca="1">IF($A37&gt;0,IF(AS$6=0,0,INDIRECT(ADDRESS(AS$6-1+CHOOSE($D$4,'Equipment Schedules'!$D$678,'Equipment Schedules'!$D$679,'Equipment Schedules'!$D$680,'Equipment Schedules'!$D$681,'Equipment Schedules'!$D$682,'Equipment Schedules'!$D$683,'Equipment Schedules'!$D$684,'Equipment Schedules'!$D$685,'Equipment Schedules'!$D$686),'Calculations - Fugitives'!$A37+1,,,"Equipment Schedules"))),0)</f>
        <v>0</v>
      </c>
      <c r="AT37" s="484">
        <f ca="1">IF($D37="N/A","N/A",'Setup - Facility Details'!$E$70*('Setup - Facility Details'!$H$70+'Setup - Facility Details'!$I$70)*IF(ISERROR(AS37),0,AS37)*$D37)</f>
        <v>0</v>
      </c>
    </row>
    <row r="38" spans="1:46" x14ac:dyDescent="0.3">
      <c r="A38" s="256">
        <f>7+$A$11</f>
        <v>8</v>
      </c>
      <c r="B38" s="48" t="str">
        <f ca="1">'Translation Table'!H584</f>
        <v>Sampling Connections</v>
      </c>
      <c r="C38" s="48" t="str">
        <f ca="1">'Translation Table'!H585</f>
        <v>All</v>
      </c>
      <c r="D38" s="485">
        <f ca="1">IF(OR($C$4=OffshoreOilProduction,$C$4=OffshoreGasProduction,$C$4=OnshoreGasProduction,$C$4=OnshoreOilProduction,$C$4=GasProcessing,$C$4=PetroleumRefining),'EFs - Equipment Leaks'!M33,IF(OR($C$4=GasTransmission,$C$4=GasStorage),'EFs - Equipment Leaks'!M75,IF($C$4=GasDistribution,'EFs - Equipment Leaks'!M117,"Error")))</f>
        <v>7.8654538326296299E-3</v>
      </c>
      <c r="E38" s="485" t="str">
        <f ca="1">IF($C$4=GasDistribution,'EFs - Equipment Leaks'!$M159,"      N/A ")</f>
        <v xml:space="preserve">      N/A </v>
      </c>
      <c r="F38" s="485" t="str">
        <f ca="1">IF($C$4=GasDistribution,'EFs - Equipment Leaks'!$M201,"      N/A ")</f>
        <v xml:space="preserve">      N/A </v>
      </c>
      <c r="G38" s="193">
        <f ca="1">IF($A38&gt;0,IF(G$6=0,0,INDIRECT(ADDRESS(G$6-1+CHOOSE($D$4,'Equipment Schedules'!$D$678,'Equipment Schedules'!$D$679,'Equipment Schedules'!$D$680,'Equipment Schedules'!$D$681,'Equipment Schedules'!$D$682,'Equipment Schedules'!$D$683,'Equipment Schedules'!$D$684,'Equipment Schedules'!$D$685,'Equipment Schedules'!$D$686),'Calculations - Fugitives'!$A38+1,,,"Equipment Schedules"))),0)</f>
        <v>0</v>
      </c>
      <c r="H38" s="486">
        <f ca="1">IF($D38="N/A","N/A",'Setup - Facility Details'!$E$51*('Setup - Facility Details'!$H$51+'Setup - Facility Details'!$I$51)*IF(ISERROR(G38),0,G38)*$D38)</f>
        <v>0</v>
      </c>
      <c r="I38" s="193">
        <f ca="1">IF($A38&gt;0,IF(I$6=0,0,INDIRECT(ADDRESS(I$6-1+CHOOSE($D$4,'Equipment Schedules'!$D$678,'Equipment Schedules'!$D$679,'Equipment Schedules'!$D$680,'Equipment Schedules'!$D$681,'Equipment Schedules'!$D$682,'Equipment Schedules'!$D$683,'Equipment Schedules'!$D$684,'Equipment Schedules'!$D$685,'Equipment Schedules'!$D$686),'Calculations - Fugitives'!$A38+1,,,"Equipment Schedules"))),0)</f>
        <v>0</v>
      </c>
      <c r="J38" s="486">
        <f ca="1">IF($D38="N/A","N/A",'Setup - Facility Details'!$E$52*('Setup - Facility Details'!$H$52+'Setup - Facility Details'!$I$52)*IF(ISERROR(I38),0,I38)*$D38)</f>
        <v>0</v>
      </c>
      <c r="K38" s="193">
        <f ca="1">IF($A38&gt;0,IF(K$6=0,0,INDIRECT(ADDRESS(K$6-1+CHOOSE($D$4,'Equipment Schedules'!$D$678,'Equipment Schedules'!$D$679,'Equipment Schedules'!$D$680,'Equipment Schedules'!$D$681,'Equipment Schedules'!$D$682,'Equipment Schedules'!$D$683,'Equipment Schedules'!$D$684,'Equipment Schedules'!$D$685,'Equipment Schedules'!$D$686),'Calculations - Fugitives'!$A38+1,,,"Equipment Schedules"))),0)</f>
        <v>0</v>
      </c>
      <c r="L38" s="486">
        <f ca="1">IF($D38="N/A","N/A",'Setup - Facility Details'!$E$53*('Setup - Facility Details'!$H$53+'Setup - Facility Details'!$I$53)*IF(ISERROR(K38),0,K38)*$D38)</f>
        <v>0</v>
      </c>
      <c r="M38" s="193">
        <f ca="1">IF($A38&gt;0,IF(M$6=0,0,INDIRECT(ADDRESS(M$6-1+CHOOSE($D$4,'Equipment Schedules'!$D$678,'Equipment Schedules'!$D$679,'Equipment Schedules'!$D$680,'Equipment Schedules'!$D$681,'Equipment Schedules'!$D$682,'Equipment Schedules'!$D$683,'Equipment Schedules'!$D$684,'Equipment Schedules'!$D$685,'Equipment Schedules'!$D$686),'Calculations - Fugitives'!$A38+1,,,"Equipment Schedules"))),0)</f>
        <v>0</v>
      </c>
      <c r="N38" s="486">
        <f ca="1">IF($D38="N/A","N/A",'Setup - Facility Details'!$E$54*('Setup - Facility Details'!$H$54+'Setup - Facility Details'!$I$54)*IF(ISERROR(M38),0,M38)*$D38)</f>
        <v>0</v>
      </c>
      <c r="O38" s="193">
        <f ca="1">IF($A38&gt;0,IF(O$6=0,0,INDIRECT(ADDRESS(O$6-1+CHOOSE($D$4,'Equipment Schedules'!$D$678,'Equipment Schedules'!$D$679,'Equipment Schedules'!$D$680,'Equipment Schedules'!$D$681,'Equipment Schedules'!$D$682,'Equipment Schedules'!$D$683,'Equipment Schedules'!$D$684,'Equipment Schedules'!$D$685,'Equipment Schedules'!$D$686),'Calculations - Fugitives'!$A38+1,,,"Equipment Schedules"))),0)</f>
        <v>0</v>
      </c>
      <c r="P38" s="486">
        <f ca="1">IF($D38="N/A","N/A",'Setup - Facility Details'!$E$55*('Setup - Facility Details'!$H$55+'Setup - Facility Details'!$I$55)*IF(ISERROR(O38),0,O38)*$D38)</f>
        <v>0</v>
      </c>
      <c r="Q38" s="193">
        <f ca="1">IF($A38&gt;0,IF(Q$6=0,0,INDIRECT(ADDRESS(Q$6-1+CHOOSE($D$4,'Equipment Schedules'!$D$678,'Equipment Schedules'!$D$679,'Equipment Schedules'!$D$680,'Equipment Schedules'!$D$681,'Equipment Schedules'!$D$682,'Equipment Schedules'!$D$683,'Equipment Schedules'!$D$684,'Equipment Schedules'!$D$685,'Equipment Schedules'!$D$686),'Calculations - Fugitives'!$A38+1,,,"Equipment Schedules"))),0)</f>
        <v>0</v>
      </c>
      <c r="R38" s="486">
        <f ca="1">IF($D38="N/A","N/A",'Setup - Facility Details'!$E$56*('Setup - Facility Details'!$H$56+'Setup - Facility Details'!$I$56)*IF(ISERROR(Q38),0,Q38)*$D38)</f>
        <v>0</v>
      </c>
      <c r="S38" s="193">
        <f ca="1">IF($A38&gt;0,IF(S$6=0,0,INDIRECT(ADDRESS(S$6-1+CHOOSE($D$4,'Equipment Schedules'!$D$678,'Equipment Schedules'!$D$679,'Equipment Schedules'!$D$680,'Equipment Schedules'!$D$681,'Equipment Schedules'!$D$682,'Equipment Schedules'!$D$683,'Equipment Schedules'!$D$684,'Equipment Schedules'!$D$685,'Equipment Schedules'!$D$686),'Calculations - Fugitives'!$A38+1,,,"Equipment Schedules"))),0)</f>
        <v>0</v>
      </c>
      <c r="T38" s="486">
        <f ca="1">IF($D38="N/A","N/A",'Setup - Facility Details'!$E$57*('Setup - Facility Details'!$H$57+'Setup - Facility Details'!$I$57)*IF(ISERROR(S38),0,S38)*$D38)</f>
        <v>0</v>
      </c>
      <c r="U38" s="193">
        <f ca="1">IF($A38&gt;0,IF(U$6=0,0,INDIRECT(ADDRESS(U$6-1+CHOOSE($D$4,'Equipment Schedules'!$D$678,'Equipment Schedules'!$D$679,'Equipment Schedules'!$D$680,'Equipment Schedules'!$D$681,'Equipment Schedules'!$D$682,'Equipment Schedules'!$D$683,'Equipment Schedules'!$D$684,'Equipment Schedules'!$D$685,'Equipment Schedules'!$D$686),'Calculations - Fugitives'!$A38+1,,,"Equipment Schedules"))),0)</f>
        <v>0</v>
      </c>
      <c r="V38" s="486">
        <f ca="1">IF($D38="N/A","N/A",'Setup - Facility Details'!$E$58*('Setup - Facility Details'!$H$58+'Setup - Facility Details'!$I$58)*IF(ISERROR(U38),0,U38)*$D38)</f>
        <v>0</v>
      </c>
      <c r="W38" s="193">
        <f ca="1">IF($A38&gt;0,IF(W$6=0,0,INDIRECT(ADDRESS(W$6-1+CHOOSE($D$4,'Equipment Schedules'!$D$678,'Equipment Schedules'!$D$679,'Equipment Schedules'!$D$680,'Equipment Schedules'!$D$681,'Equipment Schedules'!$D$682,'Equipment Schedules'!$D$683,'Equipment Schedules'!$D$684,'Equipment Schedules'!$D$685,'Equipment Schedules'!$D$686),'Calculations - Fugitives'!$A38+1,,,"Equipment Schedules"))),0)</f>
        <v>0</v>
      </c>
      <c r="X38" s="486">
        <f ca="1">IF($D38="N/A","N/A",'Setup - Facility Details'!$E$59*('Setup - Facility Details'!$H$59+'Setup - Facility Details'!$I$59)*IF(ISERROR(W38),0,W38)*$D38)</f>
        <v>0</v>
      </c>
      <c r="Y38" s="193">
        <f ca="1">IF($A38&gt;0,IF(Y$6=0,0,INDIRECT(ADDRESS(Y$6-1+CHOOSE($D$4,'Equipment Schedules'!$D$678,'Equipment Schedules'!$D$679,'Equipment Schedules'!$D$680,'Equipment Schedules'!$D$681,'Equipment Schedules'!$D$682,'Equipment Schedules'!$D$683,'Equipment Schedules'!$D$684,'Equipment Schedules'!$D$685,'Equipment Schedules'!$D$686),'Calculations - Fugitives'!$A38+1,,,"Equipment Schedules"))),0)</f>
        <v>0</v>
      </c>
      <c r="Z38" s="486">
        <f ca="1">IF($D38="N/A","N/A",'Setup - Facility Details'!$E$60*('Setup - Facility Details'!$H$60+'Setup - Facility Details'!$I$60)*IF(ISERROR(Y38),0,Y38)*$D38)</f>
        <v>0</v>
      </c>
      <c r="AA38" s="193">
        <f ca="1">IF($A38&gt;0,IF(AA$6=0,0,INDIRECT(ADDRESS(AA$6-1+CHOOSE($D$4,'Equipment Schedules'!$D$678,'Equipment Schedules'!$D$679,'Equipment Schedules'!$D$680,'Equipment Schedules'!$D$681,'Equipment Schedules'!$D$682,'Equipment Schedules'!$D$683,'Equipment Schedules'!$D$684,'Equipment Schedules'!$D$685,'Equipment Schedules'!$D$686),'Calculations - Fugitives'!$A38+1,,,"Equipment Schedules"))),0)</f>
        <v>0</v>
      </c>
      <c r="AB38" s="486">
        <f ca="1">IF($D38="N/A","N/A",'Setup - Facility Details'!$E$61*('Setup - Facility Details'!$H$61+'Setup - Facility Details'!$I$61)*IF(ISERROR(AA38),0,AA38)*$D38)</f>
        <v>0</v>
      </c>
      <c r="AC38" s="193">
        <f ca="1">IF($A38&gt;0,IF(AC$6=0,0,INDIRECT(ADDRESS(AC$6-1+CHOOSE($D$4,'Equipment Schedules'!$D$678,'Equipment Schedules'!$D$679,'Equipment Schedules'!$D$680,'Equipment Schedules'!$D$681,'Equipment Schedules'!$D$682,'Equipment Schedules'!$D$683,'Equipment Schedules'!$D$684,'Equipment Schedules'!$D$685,'Equipment Schedules'!$D$686),'Calculations - Fugitives'!$A38+1,,,"Equipment Schedules"))),0)</f>
        <v>0</v>
      </c>
      <c r="AD38" s="486">
        <f ca="1">IF($D38="N/A","N/A",'Setup - Facility Details'!$E$62*('Setup - Facility Details'!$H$62+'Setup - Facility Details'!$I$62)*IF(ISERROR(AC38),0,AC38)*$D38)</f>
        <v>0</v>
      </c>
      <c r="AE38" s="193">
        <f ca="1">IF($A38&gt;0,IF(AE$6=0,0,INDIRECT(ADDRESS(AE$6-1+CHOOSE($D$4,'Equipment Schedules'!$D$678,'Equipment Schedules'!$D$679,'Equipment Schedules'!$D$680,'Equipment Schedules'!$D$681,'Equipment Schedules'!$D$682,'Equipment Schedules'!$D$683,'Equipment Schedules'!$D$684,'Equipment Schedules'!$D$685,'Equipment Schedules'!$D$686),'Calculations - Fugitives'!$A38+1,,,"Equipment Schedules"))),0)</f>
        <v>0</v>
      </c>
      <c r="AF38" s="486">
        <f ca="1">IF($D38="N/A","N/A",'Setup - Facility Details'!$E$63*('Setup - Facility Details'!$H$63+'Setup - Facility Details'!$I$63)*IF(ISERROR(AE38),0,AE38)*$D38)</f>
        <v>0</v>
      </c>
      <c r="AG38" s="193">
        <f ca="1">IF($A38&gt;0,IF(AG$6=0,0,INDIRECT(ADDRESS(AG$6-1+CHOOSE($D$4,'Equipment Schedules'!$D$678,'Equipment Schedules'!$D$679,'Equipment Schedules'!$D$680,'Equipment Schedules'!$D$681,'Equipment Schedules'!$D$682,'Equipment Schedules'!$D$683,'Equipment Schedules'!$D$684,'Equipment Schedules'!$D$685,'Equipment Schedules'!$D$686),'Calculations - Fugitives'!$A38+1,,,"Equipment Schedules"))),0)</f>
        <v>0</v>
      </c>
      <c r="AH38" s="486">
        <f ca="1">IF($D38="N/A","N/A",'Setup - Facility Details'!$E$64*('Setup - Facility Details'!$H$64+'Setup - Facility Details'!$I$64)*IF(ISERROR(AG38),0,AG38)*$D38)</f>
        <v>0</v>
      </c>
      <c r="AI38" s="193">
        <f ca="1">IF($A38&gt;0,IF(AI$6=0,0,INDIRECT(ADDRESS(AI$6-1+CHOOSE($D$4,'Equipment Schedules'!$D$678,'Equipment Schedules'!$D$679,'Equipment Schedules'!$D$680,'Equipment Schedules'!$D$681,'Equipment Schedules'!$D$682,'Equipment Schedules'!$D$683,'Equipment Schedules'!$D$684,'Equipment Schedules'!$D$685,'Equipment Schedules'!$D$686),'Calculations - Fugitives'!$A38+1,,,"Equipment Schedules"))),0)</f>
        <v>0</v>
      </c>
      <c r="AJ38" s="486">
        <f ca="1">IF($D38="N/A","N/A",'Setup - Facility Details'!$E$65*('Setup - Facility Details'!$H$65+'Setup - Facility Details'!$I$65)*IF(ISERROR(AI38),0,AI38)*$D38)</f>
        <v>0</v>
      </c>
      <c r="AK38" s="193">
        <f ca="1">IF($A38&gt;0,IF(AK$6=0,0,INDIRECT(ADDRESS(AK$6-1+CHOOSE($D$4,'Equipment Schedules'!$D$678,'Equipment Schedules'!$D$679,'Equipment Schedules'!$D$680,'Equipment Schedules'!$D$681,'Equipment Schedules'!$D$682,'Equipment Schedules'!$D$683,'Equipment Schedules'!$D$684,'Equipment Schedules'!$D$685,'Equipment Schedules'!$D$686),'Calculations - Fugitives'!$A38+1,,,"Equipment Schedules"))),0)</f>
        <v>0</v>
      </c>
      <c r="AL38" s="486">
        <f ca="1">IF($D38="N/A","N/A",'Setup - Facility Details'!$E$66*('Setup - Facility Details'!$H$66+'Setup - Facility Details'!$I$66)*IF(ISERROR(AK38),0,AK38)*$D38)</f>
        <v>0</v>
      </c>
      <c r="AM38" s="193">
        <f ca="1">IF($A38&gt;0,IF(AM$6=0,0,INDIRECT(ADDRESS(AM$6-1+CHOOSE($D$4,'Equipment Schedules'!$D$678,'Equipment Schedules'!$D$679,'Equipment Schedules'!$D$680,'Equipment Schedules'!$D$681,'Equipment Schedules'!$D$682,'Equipment Schedules'!$D$683,'Equipment Schedules'!$D$684,'Equipment Schedules'!$D$685,'Equipment Schedules'!$D$686),'Calculations - Fugitives'!$A38+1,,,"Equipment Schedules"))),0)</f>
        <v>0</v>
      </c>
      <c r="AN38" s="486">
        <f ca="1">IF($D38="N/A","N/A",'Setup - Facility Details'!$E$67*('Setup - Facility Details'!$H$67+'Setup - Facility Details'!$I$67)*IF(ISERROR(AM38),0,AM38)*$D38)</f>
        <v>0</v>
      </c>
      <c r="AO38" s="193">
        <f ca="1">IF($A38&gt;0,IF(AO$6=0,0,INDIRECT(ADDRESS(AO$6-1+CHOOSE($D$4,'Equipment Schedules'!$D$678,'Equipment Schedules'!$D$679,'Equipment Schedules'!$D$680,'Equipment Schedules'!$D$681,'Equipment Schedules'!$D$682,'Equipment Schedules'!$D$683,'Equipment Schedules'!$D$684,'Equipment Schedules'!$D$685,'Equipment Schedules'!$D$686),'Calculations - Fugitives'!$A38+1,,,"Equipment Schedules"))),0)</f>
        <v>0</v>
      </c>
      <c r="AP38" s="486">
        <f ca="1">IF($D38="N/A","N/A",'Setup - Facility Details'!$E$68*('Setup - Facility Details'!$H$68+'Setup - Facility Details'!$I$68)*IF(ISERROR(AO38),0,AO38)*$D38)</f>
        <v>0</v>
      </c>
      <c r="AQ38" s="193">
        <f ca="1">IF($A38&gt;0,IF(AQ$6=0,0,INDIRECT(ADDRESS(AQ$6-1+CHOOSE($D$4,'Equipment Schedules'!$D$678,'Equipment Schedules'!$D$679,'Equipment Schedules'!$D$680,'Equipment Schedules'!$D$681,'Equipment Schedules'!$D$682,'Equipment Schedules'!$D$683,'Equipment Schedules'!$D$684,'Equipment Schedules'!$D$685,'Equipment Schedules'!$D$686),'Calculations - Fugitives'!$A38+1,,,"Equipment Schedules"))),0)</f>
        <v>0</v>
      </c>
      <c r="AR38" s="486">
        <f ca="1">IF($D38="N/A","N/A",'Setup - Facility Details'!$E$69*('Setup - Facility Details'!$H$69+'Setup - Facility Details'!$I$69)*IF(ISERROR(AQ38),0,AQ38)*$D38)</f>
        <v>0</v>
      </c>
      <c r="AS38" s="193">
        <f ca="1">IF($A38&gt;0,IF(AS$6=0,0,INDIRECT(ADDRESS(AS$6-1+CHOOSE($D$4,'Equipment Schedules'!$D$678,'Equipment Schedules'!$D$679,'Equipment Schedules'!$D$680,'Equipment Schedules'!$D$681,'Equipment Schedules'!$D$682,'Equipment Schedules'!$D$683,'Equipment Schedules'!$D$684,'Equipment Schedules'!$D$685,'Equipment Schedules'!$D$686),'Calculations - Fugitives'!$A38+1,,,"Equipment Schedules"))),0)</f>
        <v>0</v>
      </c>
      <c r="AT38" s="486">
        <f ca="1">IF($D38="N/A","N/A",'Setup - Facility Details'!$E$70*('Setup - Facility Details'!$H$70+'Setup - Facility Details'!$I$70)*IF(ISERROR(AS38),0,AS38)*$D38)</f>
        <v>0</v>
      </c>
    </row>
    <row r="39" spans="1:46" x14ac:dyDescent="0.3">
      <c r="A39" s="256">
        <f>8+$A$11</f>
        <v>9</v>
      </c>
      <c r="B39" s="81" t="str">
        <f ca="1">'Translation Table'!H586</f>
        <v>Drains</v>
      </c>
      <c r="C39" s="81" t="str">
        <f ca="1">'Translation Table'!H587</f>
        <v>All</v>
      </c>
      <c r="D39" s="483">
        <f ca="1">IF(OR($C$4=OffshoreOilProduction,$C$4=OffshoreGasProduction,$C$4=OnshoreGasProduction,$C$4=OnshoreOilProduction,$C$4=GasProcessing,$C$4=PetroleumRefining),'EFs - Equipment Leaks'!M34,IF(OR($C$4=GasTransmission,$C$4=GasStorage),'EFs - Equipment Leaks'!M76,IF($C$4=GasDistribution,'EFs - Equipment Leaks'!M118,"Error")))</f>
        <v>7.8654538326296299E-3</v>
      </c>
      <c r="E39" s="483" t="str">
        <f ca="1">IF($C$4=GasDistribution,'EFs - Equipment Leaks'!$M160,"      N/A ")</f>
        <v xml:space="preserve">      N/A </v>
      </c>
      <c r="F39" s="483" t="str">
        <f ca="1">IF($C$4=GasDistribution,'EFs - Equipment Leaks'!$M202,"      N/A ")</f>
        <v xml:space="preserve">      N/A </v>
      </c>
      <c r="G39" s="452">
        <f ca="1">IF($A39&gt;0,IF(G$6=0,0,INDIRECT(ADDRESS(G$6-1+CHOOSE($D$4,'Equipment Schedules'!$D$678,'Equipment Schedules'!$D$679,'Equipment Schedules'!$D$680,'Equipment Schedules'!$D$681,'Equipment Schedules'!$D$682,'Equipment Schedules'!$D$683,'Equipment Schedules'!$D$684,'Equipment Schedules'!$D$685,'Equipment Schedules'!$D$686),'Calculations - Fugitives'!$A39+1,,,"Equipment Schedules"))),0)</f>
        <v>0</v>
      </c>
      <c r="H39" s="484">
        <f ca="1">IF($D39="N/A","N/A",'Setup - Facility Details'!$E$51*('Setup - Facility Details'!$H$51+'Setup - Facility Details'!$I$51)*IF(ISERROR(G39),0,G39)*$D39)</f>
        <v>0</v>
      </c>
      <c r="I39" s="452">
        <f ca="1">IF($A39&gt;0,IF(I$6=0,0,INDIRECT(ADDRESS(I$6-1+CHOOSE($D$4,'Equipment Schedules'!$D$678,'Equipment Schedules'!$D$679,'Equipment Schedules'!$D$680,'Equipment Schedules'!$D$681,'Equipment Schedules'!$D$682,'Equipment Schedules'!$D$683,'Equipment Schedules'!$D$684,'Equipment Schedules'!$D$685,'Equipment Schedules'!$D$686),'Calculations - Fugitives'!$A39+1,,,"Equipment Schedules"))),0)</f>
        <v>0</v>
      </c>
      <c r="J39" s="484">
        <f ca="1">IF($D39="N/A","N/A",'Setup - Facility Details'!$E$52*('Setup - Facility Details'!$H$52+'Setup - Facility Details'!$I$52)*IF(ISERROR(I39),0,I39)*$D39)</f>
        <v>0</v>
      </c>
      <c r="K39" s="452">
        <f ca="1">IF($A39&gt;0,IF(K$6=0,0,INDIRECT(ADDRESS(K$6-1+CHOOSE($D$4,'Equipment Schedules'!$D$678,'Equipment Schedules'!$D$679,'Equipment Schedules'!$D$680,'Equipment Schedules'!$D$681,'Equipment Schedules'!$D$682,'Equipment Schedules'!$D$683,'Equipment Schedules'!$D$684,'Equipment Schedules'!$D$685,'Equipment Schedules'!$D$686),'Calculations - Fugitives'!$A39+1,,,"Equipment Schedules"))),0)</f>
        <v>0</v>
      </c>
      <c r="L39" s="484">
        <f ca="1">IF($D39="N/A","N/A",'Setup - Facility Details'!$E$53*('Setup - Facility Details'!$H$53+'Setup - Facility Details'!$I$53)*IF(ISERROR(K39),0,K39)*$D39)</f>
        <v>0</v>
      </c>
      <c r="M39" s="452">
        <f ca="1">IF($A39&gt;0,IF(M$6=0,0,INDIRECT(ADDRESS(M$6-1+CHOOSE($D$4,'Equipment Schedules'!$D$678,'Equipment Schedules'!$D$679,'Equipment Schedules'!$D$680,'Equipment Schedules'!$D$681,'Equipment Schedules'!$D$682,'Equipment Schedules'!$D$683,'Equipment Schedules'!$D$684,'Equipment Schedules'!$D$685,'Equipment Schedules'!$D$686),'Calculations - Fugitives'!$A39+1,,,"Equipment Schedules"))),0)</f>
        <v>0</v>
      </c>
      <c r="N39" s="484">
        <f ca="1">IF($D39="N/A","N/A",'Setup - Facility Details'!$E$54*('Setup - Facility Details'!$H$54+'Setup - Facility Details'!$I$54)*IF(ISERROR(M39),0,M39)*$D39)</f>
        <v>0</v>
      </c>
      <c r="O39" s="452">
        <f ca="1">IF($A39&gt;0,IF(O$6=0,0,INDIRECT(ADDRESS(O$6-1+CHOOSE($D$4,'Equipment Schedules'!$D$678,'Equipment Schedules'!$D$679,'Equipment Schedules'!$D$680,'Equipment Schedules'!$D$681,'Equipment Schedules'!$D$682,'Equipment Schedules'!$D$683,'Equipment Schedules'!$D$684,'Equipment Schedules'!$D$685,'Equipment Schedules'!$D$686),'Calculations - Fugitives'!$A39+1,,,"Equipment Schedules"))),0)</f>
        <v>0</v>
      </c>
      <c r="P39" s="484">
        <f ca="1">IF($D39="N/A","N/A",'Setup - Facility Details'!$E$55*('Setup - Facility Details'!$H$55+'Setup - Facility Details'!$I$55)*IF(ISERROR(O39),0,O39)*$D39)</f>
        <v>0</v>
      </c>
      <c r="Q39" s="452">
        <f ca="1">IF($A39&gt;0,IF(Q$6=0,0,INDIRECT(ADDRESS(Q$6-1+CHOOSE($D$4,'Equipment Schedules'!$D$678,'Equipment Schedules'!$D$679,'Equipment Schedules'!$D$680,'Equipment Schedules'!$D$681,'Equipment Schedules'!$D$682,'Equipment Schedules'!$D$683,'Equipment Schedules'!$D$684,'Equipment Schedules'!$D$685,'Equipment Schedules'!$D$686),'Calculations - Fugitives'!$A39+1,,,"Equipment Schedules"))),0)</f>
        <v>0</v>
      </c>
      <c r="R39" s="484">
        <f ca="1">IF($D39="N/A","N/A",'Setup - Facility Details'!$E$56*('Setup - Facility Details'!$H$56+'Setup - Facility Details'!$I$56)*IF(ISERROR(Q39),0,Q39)*$D39)</f>
        <v>0</v>
      </c>
      <c r="S39" s="452">
        <f ca="1">IF($A39&gt;0,IF(S$6=0,0,INDIRECT(ADDRESS(S$6-1+CHOOSE($D$4,'Equipment Schedules'!$D$678,'Equipment Schedules'!$D$679,'Equipment Schedules'!$D$680,'Equipment Schedules'!$D$681,'Equipment Schedules'!$D$682,'Equipment Schedules'!$D$683,'Equipment Schedules'!$D$684,'Equipment Schedules'!$D$685,'Equipment Schedules'!$D$686),'Calculations - Fugitives'!$A39+1,,,"Equipment Schedules"))),0)</f>
        <v>0</v>
      </c>
      <c r="T39" s="484">
        <f ca="1">IF($D39="N/A","N/A",'Setup - Facility Details'!$E$57*('Setup - Facility Details'!$H$57+'Setup - Facility Details'!$I$57)*IF(ISERROR(S39),0,S39)*$D39)</f>
        <v>0</v>
      </c>
      <c r="U39" s="452">
        <f ca="1">IF($A39&gt;0,IF(U$6=0,0,INDIRECT(ADDRESS(U$6-1+CHOOSE($D$4,'Equipment Schedules'!$D$678,'Equipment Schedules'!$D$679,'Equipment Schedules'!$D$680,'Equipment Schedules'!$D$681,'Equipment Schedules'!$D$682,'Equipment Schedules'!$D$683,'Equipment Schedules'!$D$684,'Equipment Schedules'!$D$685,'Equipment Schedules'!$D$686),'Calculations - Fugitives'!$A39+1,,,"Equipment Schedules"))),0)</f>
        <v>0</v>
      </c>
      <c r="V39" s="484">
        <f ca="1">IF($D39="N/A","N/A",'Setup - Facility Details'!$E$58*('Setup - Facility Details'!$H$58+'Setup - Facility Details'!$I$58)*IF(ISERROR(U39),0,U39)*$D39)</f>
        <v>0</v>
      </c>
      <c r="W39" s="452">
        <f ca="1">IF($A39&gt;0,IF(W$6=0,0,INDIRECT(ADDRESS(W$6-1+CHOOSE($D$4,'Equipment Schedules'!$D$678,'Equipment Schedules'!$D$679,'Equipment Schedules'!$D$680,'Equipment Schedules'!$D$681,'Equipment Schedules'!$D$682,'Equipment Schedules'!$D$683,'Equipment Schedules'!$D$684,'Equipment Schedules'!$D$685,'Equipment Schedules'!$D$686),'Calculations - Fugitives'!$A39+1,,,"Equipment Schedules"))),0)</f>
        <v>0</v>
      </c>
      <c r="X39" s="484">
        <f ca="1">IF($D39="N/A","N/A",'Setup - Facility Details'!$E$59*('Setup - Facility Details'!$H$59+'Setup - Facility Details'!$I$59)*IF(ISERROR(W39),0,W39)*$D39)</f>
        <v>0</v>
      </c>
      <c r="Y39" s="452">
        <f ca="1">IF($A39&gt;0,IF(Y$6=0,0,INDIRECT(ADDRESS(Y$6-1+CHOOSE($D$4,'Equipment Schedules'!$D$678,'Equipment Schedules'!$D$679,'Equipment Schedules'!$D$680,'Equipment Schedules'!$D$681,'Equipment Schedules'!$D$682,'Equipment Schedules'!$D$683,'Equipment Schedules'!$D$684,'Equipment Schedules'!$D$685,'Equipment Schedules'!$D$686),'Calculations - Fugitives'!$A39+1,,,"Equipment Schedules"))),0)</f>
        <v>0</v>
      </c>
      <c r="Z39" s="484">
        <f ca="1">IF($D39="N/A","N/A",'Setup - Facility Details'!$E$60*('Setup - Facility Details'!$H$60+'Setup - Facility Details'!$I$60)*IF(ISERROR(Y39),0,Y39)*$D39)</f>
        <v>0</v>
      </c>
      <c r="AA39" s="452">
        <f ca="1">IF($A39&gt;0,IF(AA$6=0,0,INDIRECT(ADDRESS(AA$6-1+CHOOSE($D$4,'Equipment Schedules'!$D$678,'Equipment Schedules'!$D$679,'Equipment Schedules'!$D$680,'Equipment Schedules'!$D$681,'Equipment Schedules'!$D$682,'Equipment Schedules'!$D$683,'Equipment Schedules'!$D$684,'Equipment Schedules'!$D$685,'Equipment Schedules'!$D$686),'Calculations - Fugitives'!$A39+1,,,"Equipment Schedules"))),0)</f>
        <v>0</v>
      </c>
      <c r="AB39" s="484">
        <f ca="1">IF($D39="N/A","N/A",'Setup - Facility Details'!$E$61*('Setup - Facility Details'!$H$61+'Setup - Facility Details'!$I$61)*IF(ISERROR(AA39),0,AA39)*$D39)</f>
        <v>0</v>
      </c>
      <c r="AC39" s="452">
        <f ca="1">IF($A39&gt;0,IF(AC$6=0,0,INDIRECT(ADDRESS(AC$6-1+CHOOSE($D$4,'Equipment Schedules'!$D$678,'Equipment Schedules'!$D$679,'Equipment Schedules'!$D$680,'Equipment Schedules'!$D$681,'Equipment Schedules'!$D$682,'Equipment Schedules'!$D$683,'Equipment Schedules'!$D$684,'Equipment Schedules'!$D$685,'Equipment Schedules'!$D$686),'Calculations - Fugitives'!$A39+1,,,"Equipment Schedules"))),0)</f>
        <v>0</v>
      </c>
      <c r="AD39" s="484">
        <f ca="1">IF($D39="N/A","N/A",'Setup - Facility Details'!$E$62*('Setup - Facility Details'!$H$62+'Setup - Facility Details'!$I$62)*IF(ISERROR(AC39),0,AC39)*$D39)</f>
        <v>0</v>
      </c>
      <c r="AE39" s="452">
        <f ca="1">IF($A39&gt;0,IF(AE$6=0,0,INDIRECT(ADDRESS(AE$6-1+CHOOSE($D$4,'Equipment Schedules'!$D$678,'Equipment Schedules'!$D$679,'Equipment Schedules'!$D$680,'Equipment Schedules'!$D$681,'Equipment Schedules'!$D$682,'Equipment Schedules'!$D$683,'Equipment Schedules'!$D$684,'Equipment Schedules'!$D$685,'Equipment Schedules'!$D$686),'Calculations - Fugitives'!$A39+1,,,"Equipment Schedules"))),0)</f>
        <v>0</v>
      </c>
      <c r="AF39" s="484">
        <f ca="1">IF($D39="N/A","N/A",'Setup - Facility Details'!$E$63*('Setup - Facility Details'!$H$63+'Setup - Facility Details'!$I$63)*IF(ISERROR(AE39),0,AE39)*$D39)</f>
        <v>0</v>
      </c>
      <c r="AG39" s="452">
        <f ca="1">IF($A39&gt;0,IF(AG$6=0,0,INDIRECT(ADDRESS(AG$6-1+CHOOSE($D$4,'Equipment Schedules'!$D$678,'Equipment Schedules'!$D$679,'Equipment Schedules'!$D$680,'Equipment Schedules'!$D$681,'Equipment Schedules'!$D$682,'Equipment Schedules'!$D$683,'Equipment Schedules'!$D$684,'Equipment Schedules'!$D$685,'Equipment Schedules'!$D$686),'Calculations - Fugitives'!$A39+1,,,"Equipment Schedules"))),0)</f>
        <v>0</v>
      </c>
      <c r="AH39" s="484">
        <f ca="1">IF($D39="N/A","N/A",'Setup - Facility Details'!$E$64*('Setup - Facility Details'!$H$64+'Setup - Facility Details'!$I$64)*IF(ISERROR(AG39),0,AG39)*$D39)</f>
        <v>0</v>
      </c>
      <c r="AI39" s="452">
        <f ca="1">IF($A39&gt;0,IF(AI$6=0,0,INDIRECT(ADDRESS(AI$6-1+CHOOSE($D$4,'Equipment Schedules'!$D$678,'Equipment Schedules'!$D$679,'Equipment Schedules'!$D$680,'Equipment Schedules'!$D$681,'Equipment Schedules'!$D$682,'Equipment Schedules'!$D$683,'Equipment Schedules'!$D$684,'Equipment Schedules'!$D$685,'Equipment Schedules'!$D$686),'Calculations - Fugitives'!$A39+1,,,"Equipment Schedules"))),0)</f>
        <v>0</v>
      </c>
      <c r="AJ39" s="484">
        <f ca="1">IF($D39="N/A","N/A",'Setup - Facility Details'!$E$65*('Setup - Facility Details'!$H$65+'Setup - Facility Details'!$I$65)*IF(ISERROR(AI39),0,AI39)*$D39)</f>
        <v>0</v>
      </c>
      <c r="AK39" s="452">
        <f ca="1">IF($A39&gt;0,IF(AK$6=0,0,INDIRECT(ADDRESS(AK$6-1+CHOOSE($D$4,'Equipment Schedules'!$D$678,'Equipment Schedules'!$D$679,'Equipment Schedules'!$D$680,'Equipment Schedules'!$D$681,'Equipment Schedules'!$D$682,'Equipment Schedules'!$D$683,'Equipment Schedules'!$D$684,'Equipment Schedules'!$D$685,'Equipment Schedules'!$D$686),'Calculations - Fugitives'!$A39+1,,,"Equipment Schedules"))),0)</f>
        <v>0</v>
      </c>
      <c r="AL39" s="484">
        <f ca="1">IF($D39="N/A","N/A",'Setup - Facility Details'!$E$66*('Setup - Facility Details'!$H$66+'Setup - Facility Details'!$I$66)*IF(ISERROR(AK39),0,AK39)*$D39)</f>
        <v>0</v>
      </c>
      <c r="AM39" s="452">
        <f ca="1">IF($A39&gt;0,IF(AM$6=0,0,INDIRECT(ADDRESS(AM$6-1+CHOOSE($D$4,'Equipment Schedules'!$D$678,'Equipment Schedules'!$D$679,'Equipment Schedules'!$D$680,'Equipment Schedules'!$D$681,'Equipment Schedules'!$D$682,'Equipment Schedules'!$D$683,'Equipment Schedules'!$D$684,'Equipment Schedules'!$D$685,'Equipment Schedules'!$D$686),'Calculations - Fugitives'!$A39+1,,,"Equipment Schedules"))),0)</f>
        <v>0</v>
      </c>
      <c r="AN39" s="484">
        <f ca="1">IF($D39="N/A","N/A",'Setup - Facility Details'!$E$67*('Setup - Facility Details'!$H$67+'Setup - Facility Details'!$I$67)*IF(ISERROR(AM39),0,AM39)*$D39)</f>
        <v>0</v>
      </c>
      <c r="AO39" s="452">
        <f ca="1">IF($A39&gt;0,IF(AO$6=0,0,INDIRECT(ADDRESS(AO$6-1+CHOOSE($D$4,'Equipment Schedules'!$D$678,'Equipment Schedules'!$D$679,'Equipment Schedules'!$D$680,'Equipment Schedules'!$D$681,'Equipment Schedules'!$D$682,'Equipment Schedules'!$D$683,'Equipment Schedules'!$D$684,'Equipment Schedules'!$D$685,'Equipment Schedules'!$D$686),'Calculations - Fugitives'!$A39+1,,,"Equipment Schedules"))),0)</f>
        <v>0</v>
      </c>
      <c r="AP39" s="484">
        <f ca="1">IF($D39="N/A","N/A",'Setup - Facility Details'!$E$68*('Setup - Facility Details'!$H$68+'Setup - Facility Details'!$I$68)*IF(ISERROR(AO39),0,AO39)*$D39)</f>
        <v>0</v>
      </c>
      <c r="AQ39" s="452">
        <f ca="1">IF($A39&gt;0,IF(AQ$6=0,0,INDIRECT(ADDRESS(AQ$6-1+CHOOSE($D$4,'Equipment Schedules'!$D$678,'Equipment Schedules'!$D$679,'Equipment Schedules'!$D$680,'Equipment Schedules'!$D$681,'Equipment Schedules'!$D$682,'Equipment Schedules'!$D$683,'Equipment Schedules'!$D$684,'Equipment Schedules'!$D$685,'Equipment Schedules'!$D$686),'Calculations - Fugitives'!$A39+1,,,"Equipment Schedules"))),0)</f>
        <v>0</v>
      </c>
      <c r="AR39" s="484">
        <f ca="1">IF($D39="N/A","N/A",'Setup - Facility Details'!$E$69*('Setup - Facility Details'!$H$69+'Setup - Facility Details'!$I$69)*IF(ISERROR(AQ39),0,AQ39)*$D39)</f>
        <v>0</v>
      </c>
      <c r="AS39" s="452">
        <f ca="1">IF($A39&gt;0,IF(AS$6=0,0,INDIRECT(ADDRESS(AS$6-1+CHOOSE($D$4,'Equipment Schedules'!$D$678,'Equipment Schedules'!$D$679,'Equipment Schedules'!$D$680,'Equipment Schedules'!$D$681,'Equipment Schedules'!$D$682,'Equipment Schedules'!$D$683,'Equipment Schedules'!$D$684,'Equipment Schedules'!$D$685,'Equipment Schedules'!$D$686),'Calculations - Fugitives'!$A39+1,,,"Equipment Schedules"))),0)</f>
        <v>0</v>
      </c>
      <c r="AT39" s="484">
        <f ca="1">IF($D39="N/A","N/A",'Setup - Facility Details'!$E$70*('Setup - Facility Details'!$H$70+'Setup - Facility Details'!$I$70)*IF(ISERROR(AS39),0,AS39)*$D39)</f>
        <v>0</v>
      </c>
    </row>
    <row r="40" spans="1:46" x14ac:dyDescent="0.3">
      <c r="A40" s="256">
        <f>18+$A$11</f>
        <v>19</v>
      </c>
      <c r="B40" s="48" t="str">
        <f ca="1">'Translation Table'!H588</f>
        <v>Meter (Orifice)</v>
      </c>
      <c r="C40" s="48" t="str">
        <f ca="1">'Translation Table'!H589</f>
        <v>Gas</v>
      </c>
      <c r="D40" s="485" t="str">
        <f ca="1">IF(OR($C$4=OffshoreOilProduction,$C$4=OffshoreGasProduction,$C$4=OnshoreGasProduction,$C$4=OnshoreOilProduction,$C$4=GasProcessing,$C$4=PetroleumRefining),'EFs - Equipment Leaks'!M35,IF(OR($C$4=GasTransmission,$C$4=GasStorage),'EFs - Equipment Leaks'!M77,IF($C$4=GasDistribution,'EFs - Equipment Leaks'!M119,"Error")))</f>
        <v>N/A</v>
      </c>
      <c r="E40" s="485" t="str">
        <f ca="1">IF($C$4=GasDistribution,'EFs - Equipment Leaks'!$M161,"      N/A ")</f>
        <v xml:space="preserve">      N/A </v>
      </c>
      <c r="F40" s="485" t="str">
        <f ca="1">IF($C$4=GasDistribution,'EFs - Equipment Leaks'!$M203,"      N/A ")</f>
        <v xml:space="preserve">      N/A </v>
      </c>
      <c r="G40" s="193">
        <f ca="1">IF($A40&gt;0,IF(G$6=0,0,INDIRECT(ADDRESS(G$6-1+CHOOSE($D$4,'Equipment Schedules'!$D$678,'Equipment Schedules'!$D$679,'Equipment Schedules'!$D$680,'Equipment Schedules'!$D$681,'Equipment Schedules'!$D$682,'Equipment Schedules'!$D$683,'Equipment Schedules'!$D$684,'Equipment Schedules'!$D$685,'Equipment Schedules'!$D$686),'Calculations - Fugitives'!$A40+1,,,"Equipment Schedules"))),0)</f>
        <v>0</v>
      </c>
      <c r="H40" s="486" t="str">
        <f ca="1">IF($D40="N/A","N/A",'Setup - Facility Details'!$E$51*('Setup - Facility Details'!$H$51+'Setup - Facility Details'!$I$51)*IF(ISERROR(G40),0,G40)*$D40)</f>
        <v>N/A</v>
      </c>
      <c r="I40" s="193">
        <f ca="1">IF($A40&gt;0,IF(I$6=0,0,INDIRECT(ADDRESS(I$6-1+CHOOSE($D$4,'Equipment Schedules'!$D$678,'Equipment Schedules'!$D$679,'Equipment Schedules'!$D$680,'Equipment Schedules'!$D$681,'Equipment Schedules'!$D$682,'Equipment Schedules'!$D$683,'Equipment Schedules'!$D$684,'Equipment Schedules'!$D$685,'Equipment Schedules'!$D$686),'Calculations - Fugitives'!$A40+1,,,"Equipment Schedules"))),0)</f>
        <v>0</v>
      </c>
      <c r="J40" s="486" t="str">
        <f ca="1">IF($D40="N/A","N/A",'Setup - Facility Details'!$E$52*('Setup - Facility Details'!$H$52+'Setup - Facility Details'!$I$52)*IF(ISERROR(I40),0,I40)*$D40)</f>
        <v>N/A</v>
      </c>
      <c r="K40" s="193">
        <f ca="1">IF($A40&gt;0,IF(K$6=0,0,INDIRECT(ADDRESS(K$6-1+CHOOSE($D$4,'Equipment Schedules'!$D$678,'Equipment Schedules'!$D$679,'Equipment Schedules'!$D$680,'Equipment Schedules'!$D$681,'Equipment Schedules'!$D$682,'Equipment Schedules'!$D$683,'Equipment Schedules'!$D$684,'Equipment Schedules'!$D$685,'Equipment Schedules'!$D$686),'Calculations - Fugitives'!$A40+1,,,"Equipment Schedules"))),0)</f>
        <v>0</v>
      </c>
      <c r="L40" s="486" t="str">
        <f ca="1">IF($D40="N/A","N/A",'Setup - Facility Details'!$E$53*('Setup - Facility Details'!$H$53+'Setup - Facility Details'!$I$53)*IF(ISERROR(K40),0,K40)*$D40)</f>
        <v>N/A</v>
      </c>
      <c r="M40" s="193">
        <f ca="1">IF($A40&gt;0,IF(M$6=0,0,INDIRECT(ADDRESS(M$6-1+CHOOSE($D$4,'Equipment Schedules'!$D$678,'Equipment Schedules'!$D$679,'Equipment Schedules'!$D$680,'Equipment Schedules'!$D$681,'Equipment Schedules'!$D$682,'Equipment Schedules'!$D$683,'Equipment Schedules'!$D$684,'Equipment Schedules'!$D$685,'Equipment Schedules'!$D$686),'Calculations - Fugitives'!$A40+1,,,"Equipment Schedules"))),0)</f>
        <v>0</v>
      </c>
      <c r="N40" s="486" t="str">
        <f ca="1">IF($D40="N/A","N/A",'Setup - Facility Details'!$E$54*('Setup - Facility Details'!$H$54+'Setup - Facility Details'!$I$54)*IF(ISERROR(M40),0,M40)*$D40)</f>
        <v>N/A</v>
      </c>
      <c r="O40" s="193">
        <f ca="1">IF($A40&gt;0,IF(O$6=0,0,INDIRECT(ADDRESS(O$6-1+CHOOSE($D$4,'Equipment Schedules'!$D$678,'Equipment Schedules'!$D$679,'Equipment Schedules'!$D$680,'Equipment Schedules'!$D$681,'Equipment Schedules'!$D$682,'Equipment Schedules'!$D$683,'Equipment Schedules'!$D$684,'Equipment Schedules'!$D$685,'Equipment Schedules'!$D$686),'Calculations - Fugitives'!$A40+1,,,"Equipment Schedules"))),0)</f>
        <v>0</v>
      </c>
      <c r="P40" s="486" t="str">
        <f ca="1">IF($D40="N/A","N/A",'Setup - Facility Details'!$E$55*('Setup - Facility Details'!$H$55+'Setup - Facility Details'!$I$55)*IF(ISERROR(O40),0,O40)*$D40)</f>
        <v>N/A</v>
      </c>
      <c r="Q40" s="193">
        <f ca="1">IF($A40&gt;0,IF(Q$6=0,0,INDIRECT(ADDRESS(Q$6-1+CHOOSE($D$4,'Equipment Schedules'!$D$678,'Equipment Schedules'!$D$679,'Equipment Schedules'!$D$680,'Equipment Schedules'!$D$681,'Equipment Schedules'!$D$682,'Equipment Schedules'!$D$683,'Equipment Schedules'!$D$684,'Equipment Schedules'!$D$685,'Equipment Schedules'!$D$686),'Calculations - Fugitives'!$A40+1,,,"Equipment Schedules"))),0)</f>
        <v>0</v>
      </c>
      <c r="R40" s="486" t="str">
        <f ca="1">IF($D40="N/A","N/A",'Setup - Facility Details'!$E$56*('Setup - Facility Details'!$H$56+'Setup - Facility Details'!$I$56)*IF(ISERROR(Q40),0,Q40)*$D40)</f>
        <v>N/A</v>
      </c>
      <c r="S40" s="193">
        <f ca="1">IF($A40&gt;0,IF(S$6=0,0,INDIRECT(ADDRESS(S$6-1+CHOOSE($D$4,'Equipment Schedules'!$D$678,'Equipment Schedules'!$D$679,'Equipment Schedules'!$D$680,'Equipment Schedules'!$D$681,'Equipment Schedules'!$D$682,'Equipment Schedules'!$D$683,'Equipment Schedules'!$D$684,'Equipment Schedules'!$D$685,'Equipment Schedules'!$D$686),'Calculations - Fugitives'!$A40+1,,,"Equipment Schedules"))),0)</f>
        <v>0</v>
      </c>
      <c r="T40" s="486" t="str">
        <f ca="1">IF($D40="N/A","N/A",'Setup - Facility Details'!$E$57*('Setup - Facility Details'!$H$57+'Setup - Facility Details'!$I$57)*IF(ISERROR(S40),0,S40)*$D40)</f>
        <v>N/A</v>
      </c>
      <c r="U40" s="193">
        <f ca="1">IF($A40&gt;0,IF(U$6=0,0,INDIRECT(ADDRESS(U$6-1+CHOOSE($D$4,'Equipment Schedules'!$D$678,'Equipment Schedules'!$D$679,'Equipment Schedules'!$D$680,'Equipment Schedules'!$D$681,'Equipment Schedules'!$D$682,'Equipment Schedules'!$D$683,'Equipment Schedules'!$D$684,'Equipment Schedules'!$D$685,'Equipment Schedules'!$D$686),'Calculations - Fugitives'!$A40+1,,,"Equipment Schedules"))),0)</f>
        <v>0</v>
      </c>
      <c r="V40" s="486" t="str">
        <f ca="1">IF($D40="N/A","N/A",'Setup - Facility Details'!$E$58*('Setup - Facility Details'!$H$58+'Setup - Facility Details'!$I$58)*IF(ISERROR(U40),0,U40)*$D40)</f>
        <v>N/A</v>
      </c>
      <c r="W40" s="193">
        <f ca="1">IF($A40&gt;0,IF(W$6=0,0,INDIRECT(ADDRESS(W$6-1+CHOOSE($D$4,'Equipment Schedules'!$D$678,'Equipment Schedules'!$D$679,'Equipment Schedules'!$D$680,'Equipment Schedules'!$D$681,'Equipment Schedules'!$D$682,'Equipment Schedules'!$D$683,'Equipment Schedules'!$D$684,'Equipment Schedules'!$D$685,'Equipment Schedules'!$D$686),'Calculations - Fugitives'!$A40+1,,,"Equipment Schedules"))),0)</f>
        <v>0</v>
      </c>
      <c r="X40" s="486" t="str">
        <f ca="1">IF($D40="N/A","N/A",'Setup - Facility Details'!$E$59*('Setup - Facility Details'!$H$59+'Setup - Facility Details'!$I$59)*IF(ISERROR(W40),0,W40)*$D40)</f>
        <v>N/A</v>
      </c>
      <c r="Y40" s="193">
        <f ca="1">IF($A40&gt;0,IF(Y$6=0,0,INDIRECT(ADDRESS(Y$6-1+CHOOSE($D$4,'Equipment Schedules'!$D$678,'Equipment Schedules'!$D$679,'Equipment Schedules'!$D$680,'Equipment Schedules'!$D$681,'Equipment Schedules'!$D$682,'Equipment Schedules'!$D$683,'Equipment Schedules'!$D$684,'Equipment Schedules'!$D$685,'Equipment Schedules'!$D$686),'Calculations - Fugitives'!$A40+1,,,"Equipment Schedules"))),0)</f>
        <v>0</v>
      </c>
      <c r="Z40" s="486" t="str">
        <f ca="1">IF($D40="N/A","N/A",'Setup - Facility Details'!$E$60*('Setup - Facility Details'!$H$60+'Setup - Facility Details'!$I$60)*IF(ISERROR(Y40),0,Y40)*$D40)</f>
        <v>N/A</v>
      </c>
      <c r="AA40" s="193">
        <f ca="1">IF($A40&gt;0,IF(AA$6=0,0,INDIRECT(ADDRESS(AA$6-1+CHOOSE($D$4,'Equipment Schedules'!$D$678,'Equipment Schedules'!$D$679,'Equipment Schedules'!$D$680,'Equipment Schedules'!$D$681,'Equipment Schedules'!$D$682,'Equipment Schedules'!$D$683,'Equipment Schedules'!$D$684,'Equipment Schedules'!$D$685,'Equipment Schedules'!$D$686),'Calculations - Fugitives'!$A40+1,,,"Equipment Schedules"))),0)</f>
        <v>0</v>
      </c>
      <c r="AB40" s="486" t="str">
        <f ca="1">IF($D40="N/A","N/A",'Setup - Facility Details'!$E$61*('Setup - Facility Details'!$H$61+'Setup - Facility Details'!$I$61)*IF(ISERROR(AA40),0,AA40)*$D40)</f>
        <v>N/A</v>
      </c>
      <c r="AC40" s="193">
        <f ca="1">IF($A40&gt;0,IF(AC$6=0,0,INDIRECT(ADDRESS(AC$6-1+CHOOSE($D$4,'Equipment Schedules'!$D$678,'Equipment Schedules'!$D$679,'Equipment Schedules'!$D$680,'Equipment Schedules'!$D$681,'Equipment Schedules'!$D$682,'Equipment Schedules'!$D$683,'Equipment Schedules'!$D$684,'Equipment Schedules'!$D$685,'Equipment Schedules'!$D$686),'Calculations - Fugitives'!$A40+1,,,"Equipment Schedules"))),0)</f>
        <v>0</v>
      </c>
      <c r="AD40" s="486" t="str">
        <f ca="1">IF($D40="N/A","N/A",'Setup - Facility Details'!$E$62*('Setup - Facility Details'!$H$62+'Setup - Facility Details'!$I$62)*IF(ISERROR(AC40),0,AC40)*$D40)</f>
        <v>N/A</v>
      </c>
      <c r="AE40" s="193">
        <f ca="1">IF($A40&gt;0,IF(AE$6=0,0,INDIRECT(ADDRESS(AE$6-1+CHOOSE($D$4,'Equipment Schedules'!$D$678,'Equipment Schedules'!$D$679,'Equipment Schedules'!$D$680,'Equipment Schedules'!$D$681,'Equipment Schedules'!$D$682,'Equipment Schedules'!$D$683,'Equipment Schedules'!$D$684,'Equipment Schedules'!$D$685,'Equipment Schedules'!$D$686),'Calculations - Fugitives'!$A40+1,,,"Equipment Schedules"))),0)</f>
        <v>0</v>
      </c>
      <c r="AF40" s="486" t="str">
        <f ca="1">IF($D40="N/A","N/A",'Setup - Facility Details'!$E$63*('Setup - Facility Details'!$H$63+'Setup - Facility Details'!$I$63)*IF(ISERROR(AE40),0,AE40)*$D40)</f>
        <v>N/A</v>
      </c>
      <c r="AG40" s="193">
        <f ca="1">IF($A40&gt;0,IF(AG$6=0,0,INDIRECT(ADDRESS(AG$6-1+CHOOSE($D$4,'Equipment Schedules'!$D$678,'Equipment Schedules'!$D$679,'Equipment Schedules'!$D$680,'Equipment Schedules'!$D$681,'Equipment Schedules'!$D$682,'Equipment Schedules'!$D$683,'Equipment Schedules'!$D$684,'Equipment Schedules'!$D$685,'Equipment Schedules'!$D$686),'Calculations - Fugitives'!$A40+1,,,"Equipment Schedules"))),0)</f>
        <v>0</v>
      </c>
      <c r="AH40" s="486" t="str">
        <f ca="1">IF($D40="N/A","N/A",'Setup - Facility Details'!$E$64*('Setup - Facility Details'!$H$64+'Setup - Facility Details'!$I$64)*IF(ISERROR(AG40),0,AG40)*$D40)</f>
        <v>N/A</v>
      </c>
      <c r="AI40" s="193">
        <f ca="1">IF($A40&gt;0,IF(AI$6=0,0,INDIRECT(ADDRESS(AI$6-1+CHOOSE($D$4,'Equipment Schedules'!$D$678,'Equipment Schedules'!$D$679,'Equipment Schedules'!$D$680,'Equipment Schedules'!$D$681,'Equipment Schedules'!$D$682,'Equipment Schedules'!$D$683,'Equipment Schedules'!$D$684,'Equipment Schedules'!$D$685,'Equipment Schedules'!$D$686),'Calculations - Fugitives'!$A40+1,,,"Equipment Schedules"))),0)</f>
        <v>0</v>
      </c>
      <c r="AJ40" s="486" t="str">
        <f ca="1">IF($D40="N/A","N/A",'Setup - Facility Details'!$E$65*('Setup - Facility Details'!$H$65+'Setup - Facility Details'!$I$65)*IF(ISERROR(AI40),0,AI40)*$D40)</f>
        <v>N/A</v>
      </c>
      <c r="AK40" s="193">
        <f ca="1">IF($A40&gt;0,IF(AK$6=0,0,INDIRECT(ADDRESS(AK$6-1+CHOOSE($D$4,'Equipment Schedules'!$D$678,'Equipment Schedules'!$D$679,'Equipment Schedules'!$D$680,'Equipment Schedules'!$D$681,'Equipment Schedules'!$D$682,'Equipment Schedules'!$D$683,'Equipment Schedules'!$D$684,'Equipment Schedules'!$D$685,'Equipment Schedules'!$D$686),'Calculations - Fugitives'!$A40+1,,,"Equipment Schedules"))),0)</f>
        <v>0</v>
      </c>
      <c r="AL40" s="486" t="str">
        <f ca="1">IF($D40="N/A","N/A",'Setup - Facility Details'!$E$66*('Setup - Facility Details'!$H$66+'Setup - Facility Details'!$I$66)*IF(ISERROR(AK40),0,AK40)*$D40)</f>
        <v>N/A</v>
      </c>
      <c r="AM40" s="193">
        <f ca="1">IF($A40&gt;0,IF(AM$6=0,0,INDIRECT(ADDRESS(AM$6-1+CHOOSE($D$4,'Equipment Schedules'!$D$678,'Equipment Schedules'!$D$679,'Equipment Schedules'!$D$680,'Equipment Schedules'!$D$681,'Equipment Schedules'!$D$682,'Equipment Schedules'!$D$683,'Equipment Schedules'!$D$684,'Equipment Schedules'!$D$685,'Equipment Schedules'!$D$686),'Calculations - Fugitives'!$A40+1,,,"Equipment Schedules"))),0)</f>
        <v>0</v>
      </c>
      <c r="AN40" s="486" t="str">
        <f ca="1">IF($D40="N/A","N/A",'Setup - Facility Details'!$E$67*('Setup - Facility Details'!$H$67+'Setup - Facility Details'!$I$67)*IF(ISERROR(AM40),0,AM40)*$D40)</f>
        <v>N/A</v>
      </c>
      <c r="AO40" s="193">
        <f ca="1">IF($A40&gt;0,IF(AO$6=0,0,INDIRECT(ADDRESS(AO$6-1+CHOOSE($D$4,'Equipment Schedules'!$D$678,'Equipment Schedules'!$D$679,'Equipment Schedules'!$D$680,'Equipment Schedules'!$D$681,'Equipment Schedules'!$D$682,'Equipment Schedules'!$D$683,'Equipment Schedules'!$D$684,'Equipment Schedules'!$D$685,'Equipment Schedules'!$D$686),'Calculations - Fugitives'!$A40+1,,,"Equipment Schedules"))),0)</f>
        <v>0</v>
      </c>
      <c r="AP40" s="486" t="str">
        <f ca="1">IF($D40="N/A","N/A",'Setup - Facility Details'!$E$68*('Setup - Facility Details'!$H$68+'Setup - Facility Details'!$I$68)*IF(ISERROR(AO40),0,AO40)*$D40)</f>
        <v>N/A</v>
      </c>
      <c r="AQ40" s="193">
        <f ca="1">IF($A40&gt;0,IF(AQ$6=0,0,INDIRECT(ADDRESS(AQ$6-1+CHOOSE($D$4,'Equipment Schedules'!$D$678,'Equipment Schedules'!$D$679,'Equipment Schedules'!$D$680,'Equipment Schedules'!$D$681,'Equipment Schedules'!$D$682,'Equipment Schedules'!$D$683,'Equipment Schedules'!$D$684,'Equipment Schedules'!$D$685,'Equipment Schedules'!$D$686),'Calculations - Fugitives'!$A40+1,,,"Equipment Schedules"))),0)</f>
        <v>0</v>
      </c>
      <c r="AR40" s="486" t="str">
        <f ca="1">IF($D40="N/A","N/A",'Setup - Facility Details'!$E$69*('Setup - Facility Details'!$H$69+'Setup - Facility Details'!$I$69)*IF(ISERROR(AQ40),0,AQ40)*$D40)</f>
        <v>N/A</v>
      </c>
      <c r="AS40" s="193">
        <f ca="1">IF($A40&gt;0,IF(AS$6=0,0,INDIRECT(ADDRESS(AS$6-1+CHOOSE($D$4,'Equipment Schedules'!$D$678,'Equipment Schedules'!$D$679,'Equipment Schedules'!$D$680,'Equipment Schedules'!$D$681,'Equipment Schedules'!$D$682,'Equipment Schedules'!$D$683,'Equipment Schedules'!$D$684,'Equipment Schedules'!$D$685,'Equipment Schedules'!$D$686),'Calculations - Fugitives'!$A40+1,,,"Equipment Schedules"))),0)</f>
        <v>0</v>
      </c>
      <c r="AT40" s="486" t="str">
        <f ca="1">IF($D40="N/A","N/A",'Setup - Facility Details'!$E$70*('Setup - Facility Details'!$H$70+'Setup - Facility Details'!$I$70)*IF(ISERROR(AS40),0,AS40)*$D40)</f>
        <v>N/A</v>
      </c>
    </row>
    <row r="41" spans="1:46" x14ac:dyDescent="0.3">
      <c r="A41" s="256">
        <f>19+$A$11</f>
        <v>20</v>
      </c>
      <c r="B41" s="81" t="str">
        <f ca="1">'Translation Table'!H590</f>
        <v>Meter (Other)</v>
      </c>
      <c r="C41" s="81" t="str">
        <f ca="1">'Translation Table'!H591</f>
        <v>Gas</v>
      </c>
      <c r="D41" s="483" t="str">
        <f ca="1">IF(OR($C$4=OffshoreOilProduction,$C$4=OffshoreGasProduction,$C$4=OnshoreGasProduction,$C$4=OnshoreOilProduction,$C$4=GasProcessing,$C$4=PetroleumRefining),'EFs - Equipment Leaks'!M36,IF(OR($C$4=GasTransmission,$C$4=GasStorage),'EFs - Equipment Leaks'!M78,IF($C$4=GasDistribution,'EFs - Equipment Leaks'!M120,"Error")))</f>
        <v>N/A</v>
      </c>
      <c r="E41" s="483" t="str">
        <f ca="1">IF($C$4=GasDistribution,'EFs - Equipment Leaks'!$M162,"      N/A ")</f>
        <v xml:space="preserve">      N/A </v>
      </c>
      <c r="F41" s="483" t="str">
        <f ca="1">IF($C$4=GasDistribution,'EFs - Equipment Leaks'!$M204,"      N/A ")</f>
        <v xml:space="preserve">      N/A </v>
      </c>
      <c r="G41" s="452">
        <f ca="1">IF($A41&gt;0,IF(G$6=0,0,INDIRECT(ADDRESS(G$6-1+CHOOSE($D$4,'Equipment Schedules'!$D$678,'Equipment Schedules'!$D$679,'Equipment Schedules'!$D$680,'Equipment Schedules'!$D$681,'Equipment Schedules'!$D$682,'Equipment Schedules'!$D$683,'Equipment Schedules'!$D$684,'Equipment Schedules'!$D$685,'Equipment Schedules'!$D$686),'Calculations - Fugitives'!$A41+1,,,"Equipment Schedules"))),0)</f>
        <v>0</v>
      </c>
      <c r="H41" s="484" t="str">
        <f ca="1">IF($D41="N/A","N/A",'Setup - Facility Details'!$E$51*('Setup - Facility Details'!$H$51+'Setup - Facility Details'!$I$51)*IF(ISERROR(G41),0,G41)*$D41)</f>
        <v>N/A</v>
      </c>
      <c r="I41" s="452">
        <f ca="1">IF($A41&gt;0,IF(I$6=0,0,INDIRECT(ADDRESS(I$6-1+CHOOSE($D$4,'Equipment Schedules'!$D$678,'Equipment Schedules'!$D$679,'Equipment Schedules'!$D$680,'Equipment Schedules'!$D$681,'Equipment Schedules'!$D$682,'Equipment Schedules'!$D$683,'Equipment Schedules'!$D$684,'Equipment Schedules'!$D$685,'Equipment Schedules'!$D$686),'Calculations - Fugitives'!$A41+1,,,"Equipment Schedules"))),0)</f>
        <v>0</v>
      </c>
      <c r="J41" s="484" t="str">
        <f ca="1">IF($D41="N/A","N/A",'Setup - Facility Details'!$E$52*('Setup - Facility Details'!$H$52+'Setup - Facility Details'!$I$52)*IF(ISERROR(I41),0,I41)*$D41)</f>
        <v>N/A</v>
      </c>
      <c r="K41" s="452">
        <f ca="1">IF($A41&gt;0,IF(K$6=0,0,INDIRECT(ADDRESS(K$6-1+CHOOSE($D$4,'Equipment Schedules'!$D$678,'Equipment Schedules'!$D$679,'Equipment Schedules'!$D$680,'Equipment Schedules'!$D$681,'Equipment Schedules'!$D$682,'Equipment Schedules'!$D$683,'Equipment Schedules'!$D$684,'Equipment Schedules'!$D$685,'Equipment Schedules'!$D$686),'Calculations - Fugitives'!$A41+1,,,"Equipment Schedules"))),0)</f>
        <v>0</v>
      </c>
      <c r="L41" s="484" t="str">
        <f ca="1">IF($D41="N/A","N/A",'Setup - Facility Details'!$E$53*('Setup - Facility Details'!$H$53+'Setup - Facility Details'!$I$53)*IF(ISERROR(K41),0,K41)*$D41)</f>
        <v>N/A</v>
      </c>
      <c r="M41" s="452">
        <f ca="1">IF($A41&gt;0,IF(M$6=0,0,INDIRECT(ADDRESS(M$6-1+CHOOSE($D$4,'Equipment Schedules'!$D$678,'Equipment Schedules'!$D$679,'Equipment Schedules'!$D$680,'Equipment Schedules'!$D$681,'Equipment Schedules'!$D$682,'Equipment Schedules'!$D$683,'Equipment Schedules'!$D$684,'Equipment Schedules'!$D$685,'Equipment Schedules'!$D$686),'Calculations - Fugitives'!$A41+1,,,"Equipment Schedules"))),0)</f>
        <v>0</v>
      </c>
      <c r="N41" s="484" t="str">
        <f ca="1">IF($D41="N/A","N/A",'Setup - Facility Details'!$E$54*('Setup - Facility Details'!$H$54+'Setup - Facility Details'!$I$54)*IF(ISERROR(M41),0,M41)*$D41)</f>
        <v>N/A</v>
      </c>
      <c r="O41" s="452">
        <f ca="1">IF($A41&gt;0,IF(O$6=0,0,INDIRECT(ADDRESS(O$6-1+CHOOSE($D$4,'Equipment Schedules'!$D$678,'Equipment Schedules'!$D$679,'Equipment Schedules'!$D$680,'Equipment Schedules'!$D$681,'Equipment Schedules'!$D$682,'Equipment Schedules'!$D$683,'Equipment Schedules'!$D$684,'Equipment Schedules'!$D$685,'Equipment Schedules'!$D$686),'Calculations - Fugitives'!$A41+1,,,"Equipment Schedules"))),0)</f>
        <v>0</v>
      </c>
      <c r="P41" s="484" t="str">
        <f ca="1">IF($D41="N/A","N/A",'Setup - Facility Details'!$E$55*('Setup - Facility Details'!$H$55+'Setup - Facility Details'!$I$55)*IF(ISERROR(O41),0,O41)*$D41)</f>
        <v>N/A</v>
      </c>
      <c r="Q41" s="452">
        <f ca="1">IF($A41&gt;0,IF(Q$6=0,0,INDIRECT(ADDRESS(Q$6-1+CHOOSE($D$4,'Equipment Schedules'!$D$678,'Equipment Schedules'!$D$679,'Equipment Schedules'!$D$680,'Equipment Schedules'!$D$681,'Equipment Schedules'!$D$682,'Equipment Schedules'!$D$683,'Equipment Schedules'!$D$684,'Equipment Schedules'!$D$685,'Equipment Schedules'!$D$686),'Calculations - Fugitives'!$A41+1,,,"Equipment Schedules"))),0)</f>
        <v>0</v>
      </c>
      <c r="R41" s="484" t="str">
        <f ca="1">IF($D41="N/A","N/A",'Setup - Facility Details'!$E$56*('Setup - Facility Details'!$H$56+'Setup - Facility Details'!$I$56)*IF(ISERROR(Q41),0,Q41)*$D41)</f>
        <v>N/A</v>
      </c>
      <c r="S41" s="452">
        <f ca="1">IF($A41&gt;0,IF(S$6=0,0,INDIRECT(ADDRESS(S$6-1+CHOOSE($D$4,'Equipment Schedules'!$D$678,'Equipment Schedules'!$D$679,'Equipment Schedules'!$D$680,'Equipment Schedules'!$D$681,'Equipment Schedules'!$D$682,'Equipment Schedules'!$D$683,'Equipment Schedules'!$D$684,'Equipment Schedules'!$D$685,'Equipment Schedules'!$D$686),'Calculations - Fugitives'!$A41+1,,,"Equipment Schedules"))),0)</f>
        <v>0</v>
      </c>
      <c r="T41" s="484" t="str">
        <f ca="1">IF($D41="N/A","N/A",'Setup - Facility Details'!$E$57*('Setup - Facility Details'!$H$57+'Setup - Facility Details'!$I$57)*IF(ISERROR(S41),0,S41)*$D41)</f>
        <v>N/A</v>
      </c>
      <c r="U41" s="452">
        <f ca="1">IF($A41&gt;0,IF(U$6=0,0,INDIRECT(ADDRESS(U$6-1+CHOOSE($D$4,'Equipment Schedules'!$D$678,'Equipment Schedules'!$D$679,'Equipment Schedules'!$D$680,'Equipment Schedules'!$D$681,'Equipment Schedules'!$D$682,'Equipment Schedules'!$D$683,'Equipment Schedules'!$D$684,'Equipment Schedules'!$D$685,'Equipment Schedules'!$D$686),'Calculations - Fugitives'!$A41+1,,,"Equipment Schedules"))),0)</f>
        <v>0</v>
      </c>
      <c r="V41" s="484" t="str">
        <f ca="1">IF($D41="N/A","N/A",'Setup - Facility Details'!$E$58*('Setup - Facility Details'!$H$58+'Setup - Facility Details'!$I$58)*IF(ISERROR(U41),0,U41)*$D41)</f>
        <v>N/A</v>
      </c>
      <c r="W41" s="452">
        <f ca="1">IF($A41&gt;0,IF(W$6=0,0,INDIRECT(ADDRESS(W$6-1+CHOOSE($D$4,'Equipment Schedules'!$D$678,'Equipment Schedules'!$D$679,'Equipment Schedules'!$D$680,'Equipment Schedules'!$D$681,'Equipment Schedules'!$D$682,'Equipment Schedules'!$D$683,'Equipment Schedules'!$D$684,'Equipment Schedules'!$D$685,'Equipment Schedules'!$D$686),'Calculations - Fugitives'!$A41+1,,,"Equipment Schedules"))),0)</f>
        <v>0</v>
      </c>
      <c r="X41" s="484" t="str">
        <f ca="1">IF($D41="N/A","N/A",'Setup - Facility Details'!$E$59*('Setup - Facility Details'!$H$59+'Setup - Facility Details'!$I$59)*IF(ISERROR(W41),0,W41)*$D41)</f>
        <v>N/A</v>
      </c>
      <c r="Y41" s="452">
        <f ca="1">IF($A41&gt;0,IF(Y$6=0,0,INDIRECT(ADDRESS(Y$6-1+CHOOSE($D$4,'Equipment Schedules'!$D$678,'Equipment Schedules'!$D$679,'Equipment Schedules'!$D$680,'Equipment Schedules'!$D$681,'Equipment Schedules'!$D$682,'Equipment Schedules'!$D$683,'Equipment Schedules'!$D$684,'Equipment Schedules'!$D$685,'Equipment Schedules'!$D$686),'Calculations - Fugitives'!$A41+1,,,"Equipment Schedules"))),0)</f>
        <v>0</v>
      </c>
      <c r="Z41" s="484" t="str">
        <f ca="1">IF($D41="N/A","N/A",'Setup - Facility Details'!$E$60*('Setup - Facility Details'!$H$60+'Setup - Facility Details'!$I$60)*IF(ISERROR(Y41),0,Y41)*$D41)</f>
        <v>N/A</v>
      </c>
      <c r="AA41" s="452">
        <f ca="1">IF($A41&gt;0,IF(AA$6=0,0,INDIRECT(ADDRESS(AA$6-1+CHOOSE($D$4,'Equipment Schedules'!$D$678,'Equipment Schedules'!$D$679,'Equipment Schedules'!$D$680,'Equipment Schedules'!$D$681,'Equipment Schedules'!$D$682,'Equipment Schedules'!$D$683,'Equipment Schedules'!$D$684,'Equipment Schedules'!$D$685,'Equipment Schedules'!$D$686),'Calculations - Fugitives'!$A41+1,,,"Equipment Schedules"))),0)</f>
        <v>0</v>
      </c>
      <c r="AB41" s="484" t="str">
        <f ca="1">IF($D41="N/A","N/A",'Setup - Facility Details'!$E$61*('Setup - Facility Details'!$H$61+'Setup - Facility Details'!$I$61)*IF(ISERROR(AA41),0,AA41)*$D41)</f>
        <v>N/A</v>
      </c>
      <c r="AC41" s="452">
        <f ca="1">IF($A41&gt;0,IF(AC$6=0,0,INDIRECT(ADDRESS(AC$6-1+CHOOSE($D$4,'Equipment Schedules'!$D$678,'Equipment Schedules'!$D$679,'Equipment Schedules'!$D$680,'Equipment Schedules'!$D$681,'Equipment Schedules'!$D$682,'Equipment Schedules'!$D$683,'Equipment Schedules'!$D$684,'Equipment Schedules'!$D$685,'Equipment Schedules'!$D$686),'Calculations - Fugitives'!$A41+1,,,"Equipment Schedules"))),0)</f>
        <v>0</v>
      </c>
      <c r="AD41" s="484" t="str">
        <f ca="1">IF($D41="N/A","N/A",'Setup - Facility Details'!$E$62*('Setup - Facility Details'!$H$62+'Setup - Facility Details'!$I$62)*IF(ISERROR(AC41),0,AC41)*$D41)</f>
        <v>N/A</v>
      </c>
      <c r="AE41" s="452">
        <f ca="1">IF($A41&gt;0,IF(AE$6=0,0,INDIRECT(ADDRESS(AE$6-1+CHOOSE($D$4,'Equipment Schedules'!$D$678,'Equipment Schedules'!$D$679,'Equipment Schedules'!$D$680,'Equipment Schedules'!$D$681,'Equipment Schedules'!$D$682,'Equipment Schedules'!$D$683,'Equipment Schedules'!$D$684,'Equipment Schedules'!$D$685,'Equipment Schedules'!$D$686),'Calculations - Fugitives'!$A41+1,,,"Equipment Schedules"))),0)</f>
        <v>0</v>
      </c>
      <c r="AF41" s="484" t="str">
        <f ca="1">IF($D41="N/A","N/A",'Setup - Facility Details'!$E$63*('Setup - Facility Details'!$H$63+'Setup - Facility Details'!$I$63)*IF(ISERROR(AE41),0,AE41)*$D41)</f>
        <v>N/A</v>
      </c>
      <c r="AG41" s="452">
        <f ca="1">IF($A41&gt;0,IF(AG$6=0,0,INDIRECT(ADDRESS(AG$6-1+CHOOSE($D$4,'Equipment Schedules'!$D$678,'Equipment Schedules'!$D$679,'Equipment Schedules'!$D$680,'Equipment Schedules'!$D$681,'Equipment Schedules'!$D$682,'Equipment Schedules'!$D$683,'Equipment Schedules'!$D$684,'Equipment Schedules'!$D$685,'Equipment Schedules'!$D$686),'Calculations - Fugitives'!$A41+1,,,"Equipment Schedules"))),0)</f>
        <v>0</v>
      </c>
      <c r="AH41" s="484" t="str">
        <f ca="1">IF($D41="N/A","N/A",'Setup - Facility Details'!$E$64*('Setup - Facility Details'!$H$64+'Setup - Facility Details'!$I$64)*IF(ISERROR(AG41),0,AG41)*$D41)</f>
        <v>N/A</v>
      </c>
      <c r="AI41" s="452">
        <f ca="1">IF($A41&gt;0,IF(AI$6=0,0,INDIRECT(ADDRESS(AI$6-1+CHOOSE($D$4,'Equipment Schedules'!$D$678,'Equipment Schedules'!$D$679,'Equipment Schedules'!$D$680,'Equipment Schedules'!$D$681,'Equipment Schedules'!$D$682,'Equipment Schedules'!$D$683,'Equipment Schedules'!$D$684,'Equipment Schedules'!$D$685,'Equipment Schedules'!$D$686),'Calculations - Fugitives'!$A41+1,,,"Equipment Schedules"))),0)</f>
        <v>0</v>
      </c>
      <c r="AJ41" s="484" t="str">
        <f ca="1">IF($D41="N/A","N/A",'Setup - Facility Details'!$E$65*('Setup - Facility Details'!$H$65+'Setup - Facility Details'!$I$65)*IF(ISERROR(AI41),0,AI41)*$D41)</f>
        <v>N/A</v>
      </c>
      <c r="AK41" s="452">
        <f ca="1">IF($A41&gt;0,IF(AK$6=0,0,INDIRECT(ADDRESS(AK$6-1+CHOOSE($D$4,'Equipment Schedules'!$D$678,'Equipment Schedules'!$D$679,'Equipment Schedules'!$D$680,'Equipment Schedules'!$D$681,'Equipment Schedules'!$D$682,'Equipment Schedules'!$D$683,'Equipment Schedules'!$D$684,'Equipment Schedules'!$D$685,'Equipment Schedules'!$D$686),'Calculations - Fugitives'!$A41+1,,,"Equipment Schedules"))),0)</f>
        <v>0</v>
      </c>
      <c r="AL41" s="484" t="str">
        <f ca="1">IF($D41="N/A","N/A",'Setup - Facility Details'!$E$66*('Setup - Facility Details'!$H$66+'Setup - Facility Details'!$I$66)*IF(ISERROR(AK41),0,AK41)*$D41)</f>
        <v>N/A</v>
      </c>
      <c r="AM41" s="452">
        <f ca="1">IF($A41&gt;0,IF(AM$6=0,0,INDIRECT(ADDRESS(AM$6-1+CHOOSE($D$4,'Equipment Schedules'!$D$678,'Equipment Schedules'!$D$679,'Equipment Schedules'!$D$680,'Equipment Schedules'!$D$681,'Equipment Schedules'!$D$682,'Equipment Schedules'!$D$683,'Equipment Schedules'!$D$684,'Equipment Schedules'!$D$685,'Equipment Schedules'!$D$686),'Calculations - Fugitives'!$A41+1,,,"Equipment Schedules"))),0)</f>
        <v>0</v>
      </c>
      <c r="AN41" s="484" t="str">
        <f ca="1">IF($D41="N/A","N/A",'Setup - Facility Details'!$E$67*('Setup - Facility Details'!$H$67+'Setup - Facility Details'!$I$67)*IF(ISERROR(AM41),0,AM41)*$D41)</f>
        <v>N/A</v>
      </c>
      <c r="AO41" s="452">
        <f ca="1">IF($A41&gt;0,IF(AO$6=0,0,INDIRECT(ADDRESS(AO$6-1+CHOOSE($D$4,'Equipment Schedules'!$D$678,'Equipment Schedules'!$D$679,'Equipment Schedules'!$D$680,'Equipment Schedules'!$D$681,'Equipment Schedules'!$D$682,'Equipment Schedules'!$D$683,'Equipment Schedules'!$D$684,'Equipment Schedules'!$D$685,'Equipment Schedules'!$D$686),'Calculations - Fugitives'!$A41+1,,,"Equipment Schedules"))),0)</f>
        <v>0</v>
      </c>
      <c r="AP41" s="484" t="str">
        <f ca="1">IF($D41="N/A","N/A",'Setup - Facility Details'!$E$68*('Setup - Facility Details'!$H$68+'Setup - Facility Details'!$I$68)*IF(ISERROR(AO41),0,AO41)*$D41)</f>
        <v>N/A</v>
      </c>
      <c r="AQ41" s="452">
        <f ca="1">IF($A41&gt;0,IF(AQ$6=0,0,INDIRECT(ADDRESS(AQ$6-1+CHOOSE($D$4,'Equipment Schedules'!$D$678,'Equipment Schedules'!$D$679,'Equipment Schedules'!$D$680,'Equipment Schedules'!$D$681,'Equipment Schedules'!$D$682,'Equipment Schedules'!$D$683,'Equipment Schedules'!$D$684,'Equipment Schedules'!$D$685,'Equipment Schedules'!$D$686),'Calculations - Fugitives'!$A41+1,,,"Equipment Schedules"))),0)</f>
        <v>0</v>
      </c>
      <c r="AR41" s="484" t="str">
        <f ca="1">IF($D41="N/A","N/A",'Setup - Facility Details'!$E$69*('Setup - Facility Details'!$H$69+'Setup - Facility Details'!$I$69)*IF(ISERROR(AQ41),0,AQ41)*$D41)</f>
        <v>N/A</v>
      </c>
      <c r="AS41" s="452">
        <f ca="1">IF($A41&gt;0,IF(AS$6=0,0,INDIRECT(ADDRESS(AS$6-1+CHOOSE($D$4,'Equipment Schedules'!$D$678,'Equipment Schedules'!$D$679,'Equipment Schedules'!$D$680,'Equipment Schedules'!$D$681,'Equipment Schedules'!$D$682,'Equipment Schedules'!$D$683,'Equipment Schedules'!$D$684,'Equipment Schedules'!$D$685,'Equipment Schedules'!$D$686),'Calculations - Fugitives'!$A41+1,,,"Equipment Schedules"))),0)</f>
        <v>0</v>
      </c>
      <c r="AT41" s="484" t="str">
        <f ca="1">IF($D41="N/A","N/A",'Setup - Facility Details'!$E$70*('Setup - Facility Details'!$H$70+'Setup - Facility Details'!$I$70)*IF(ISERROR(AS41),0,AS41)*$D41)</f>
        <v>N/A</v>
      </c>
    </row>
    <row r="42" spans="1:46" x14ac:dyDescent="0.3">
      <c r="A42" s="256">
        <f>6+$A$11</f>
        <v>7</v>
      </c>
      <c r="B42" s="48" t="str">
        <f ca="1">'Translation Table'!H592</f>
        <v>Blowdown System</v>
      </c>
      <c r="C42" s="48" t="str">
        <f ca="1">'Translation Table'!H593</f>
        <v>Gas</v>
      </c>
      <c r="D42" s="485" t="str">
        <f ca="1">IF(OR($C$4=OffshoreOilProduction,$C$4=OffshoreGasProduction,$C$4=OnshoreGasProduction,$C$4=OnshoreOilProduction,$C$4=GasProcessing,$C$4=PetroleumRefining),'EFs - Equipment Leaks'!M37,IF(OR($C$4=GasTransmission,$C$4=GasStorage),'EFs - Equipment Leaks'!M79,IF($C$4=GasDistribution,'EFs - Equipment Leaks'!M121,"Error")))</f>
        <v>N/A</v>
      </c>
      <c r="E42" s="485" t="str">
        <f ca="1">IF($C$4=GasDistribution,'EFs - Equipment Leaks'!$M163,"      N/A ")</f>
        <v xml:space="preserve">      N/A </v>
      </c>
      <c r="F42" s="485" t="str">
        <f ca="1">IF($C$4=GasDistribution,'EFs - Equipment Leaks'!$M205,"      N/A ")</f>
        <v xml:space="preserve">      N/A </v>
      </c>
      <c r="G42" s="193">
        <f ca="1">IF($A42&gt;0,IF(G$6=0,0,INDIRECT(ADDRESS(G$6-1+CHOOSE($D$4,'Equipment Schedules'!$D$678,'Equipment Schedules'!$D$679,'Equipment Schedules'!$D$680,'Equipment Schedules'!$D$681,'Equipment Schedules'!$D$682,'Equipment Schedules'!$D$683,'Equipment Schedules'!$D$684,'Equipment Schedules'!$D$685,'Equipment Schedules'!$D$686),'Calculations - Fugitives'!$A42+1,,,"Equipment Schedules"))),0)</f>
        <v>0</v>
      </c>
      <c r="H42" s="486" t="str">
        <f ca="1">IF($D42="N/A","N/A",'Setup - Facility Details'!$E$51*('Setup - Facility Details'!$H$51+'Setup - Facility Details'!$I$51)*IF(ISERROR(G42),0,G42)*$D42)</f>
        <v>N/A</v>
      </c>
      <c r="I42" s="193">
        <f ca="1">IF($A42&gt;0,IF(I$6=0,0,INDIRECT(ADDRESS(I$6-1+CHOOSE($D$4,'Equipment Schedules'!$D$678,'Equipment Schedules'!$D$679,'Equipment Schedules'!$D$680,'Equipment Schedules'!$D$681,'Equipment Schedules'!$D$682,'Equipment Schedules'!$D$683,'Equipment Schedules'!$D$684,'Equipment Schedules'!$D$685,'Equipment Schedules'!$D$686),'Calculations - Fugitives'!$A42+1,,,"Equipment Schedules"))),0)</f>
        <v>0</v>
      </c>
      <c r="J42" s="486" t="str">
        <f ca="1">IF($D42="N/A","N/A",'Setup - Facility Details'!$E$52*('Setup - Facility Details'!$H$52+'Setup - Facility Details'!$I$52)*IF(ISERROR(I42),0,I42)*$D42)</f>
        <v>N/A</v>
      </c>
      <c r="K42" s="193">
        <f ca="1">IF($A42&gt;0,IF(K$6=0,0,INDIRECT(ADDRESS(K$6-1+CHOOSE($D$4,'Equipment Schedules'!$D$678,'Equipment Schedules'!$D$679,'Equipment Schedules'!$D$680,'Equipment Schedules'!$D$681,'Equipment Schedules'!$D$682,'Equipment Schedules'!$D$683,'Equipment Schedules'!$D$684,'Equipment Schedules'!$D$685,'Equipment Schedules'!$D$686),'Calculations - Fugitives'!$A42+1,,,"Equipment Schedules"))),0)</f>
        <v>0</v>
      </c>
      <c r="L42" s="486" t="str">
        <f ca="1">IF($D42="N/A","N/A",'Setup - Facility Details'!$E$53*('Setup - Facility Details'!$H$53+'Setup - Facility Details'!$I$53)*IF(ISERROR(K42),0,K42)*$D42)</f>
        <v>N/A</v>
      </c>
      <c r="M42" s="193">
        <f ca="1">IF($A42&gt;0,IF(M$6=0,0,INDIRECT(ADDRESS(M$6-1+CHOOSE($D$4,'Equipment Schedules'!$D$678,'Equipment Schedules'!$D$679,'Equipment Schedules'!$D$680,'Equipment Schedules'!$D$681,'Equipment Schedules'!$D$682,'Equipment Schedules'!$D$683,'Equipment Schedules'!$D$684,'Equipment Schedules'!$D$685,'Equipment Schedules'!$D$686),'Calculations - Fugitives'!$A42+1,,,"Equipment Schedules"))),0)</f>
        <v>0</v>
      </c>
      <c r="N42" s="486" t="str">
        <f ca="1">IF($D42="N/A","N/A",'Setup - Facility Details'!$E$54*('Setup - Facility Details'!$H$54+'Setup - Facility Details'!$I$54)*IF(ISERROR(M42),0,M42)*$D42)</f>
        <v>N/A</v>
      </c>
      <c r="O42" s="193">
        <f ca="1">IF($A42&gt;0,IF(O$6=0,0,INDIRECT(ADDRESS(O$6-1+CHOOSE($D$4,'Equipment Schedules'!$D$678,'Equipment Schedules'!$D$679,'Equipment Schedules'!$D$680,'Equipment Schedules'!$D$681,'Equipment Schedules'!$D$682,'Equipment Schedules'!$D$683,'Equipment Schedules'!$D$684,'Equipment Schedules'!$D$685,'Equipment Schedules'!$D$686),'Calculations - Fugitives'!$A42+1,,,"Equipment Schedules"))),0)</f>
        <v>0</v>
      </c>
      <c r="P42" s="486" t="str">
        <f ca="1">IF($D42="N/A","N/A",'Setup - Facility Details'!$E$55*('Setup - Facility Details'!$H$55+'Setup - Facility Details'!$I$55)*IF(ISERROR(O42),0,O42)*$D42)</f>
        <v>N/A</v>
      </c>
      <c r="Q42" s="193">
        <f ca="1">IF($A42&gt;0,IF(Q$6=0,0,INDIRECT(ADDRESS(Q$6-1+CHOOSE($D$4,'Equipment Schedules'!$D$678,'Equipment Schedules'!$D$679,'Equipment Schedules'!$D$680,'Equipment Schedules'!$D$681,'Equipment Schedules'!$D$682,'Equipment Schedules'!$D$683,'Equipment Schedules'!$D$684,'Equipment Schedules'!$D$685,'Equipment Schedules'!$D$686),'Calculations - Fugitives'!$A42+1,,,"Equipment Schedules"))),0)</f>
        <v>0</v>
      </c>
      <c r="R42" s="486" t="str">
        <f ca="1">IF($D42="N/A","N/A",'Setup - Facility Details'!$E$56*('Setup - Facility Details'!$H$56+'Setup - Facility Details'!$I$56)*IF(ISERROR(Q42),0,Q42)*$D42)</f>
        <v>N/A</v>
      </c>
      <c r="S42" s="193">
        <f ca="1">IF($A42&gt;0,IF(S$6=0,0,INDIRECT(ADDRESS(S$6-1+CHOOSE($D$4,'Equipment Schedules'!$D$678,'Equipment Schedules'!$D$679,'Equipment Schedules'!$D$680,'Equipment Schedules'!$D$681,'Equipment Schedules'!$D$682,'Equipment Schedules'!$D$683,'Equipment Schedules'!$D$684,'Equipment Schedules'!$D$685,'Equipment Schedules'!$D$686),'Calculations - Fugitives'!$A42+1,,,"Equipment Schedules"))),0)</f>
        <v>0</v>
      </c>
      <c r="T42" s="486" t="str">
        <f ca="1">IF($D42="N/A","N/A",'Setup - Facility Details'!$E$57*('Setup - Facility Details'!$H$57+'Setup - Facility Details'!$I$57)*IF(ISERROR(S42),0,S42)*$D42)</f>
        <v>N/A</v>
      </c>
      <c r="U42" s="193">
        <f ca="1">IF($A42&gt;0,IF(U$6=0,0,INDIRECT(ADDRESS(U$6-1+CHOOSE($D$4,'Equipment Schedules'!$D$678,'Equipment Schedules'!$D$679,'Equipment Schedules'!$D$680,'Equipment Schedules'!$D$681,'Equipment Schedules'!$D$682,'Equipment Schedules'!$D$683,'Equipment Schedules'!$D$684,'Equipment Schedules'!$D$685,'Equipment Schedules'!$D$686),'Calculations - Fugitives'!$A42+1,,,"Equipment Schedules"))),0)</f>
        <v>0</v>
      </c>
      <c r="V42" s="486" t="str">
        <f ca="1">IF($D42="N/A","N/A",'Setup - Facility Details'!$E$58*('Setup - Facility Details'!$H$58+'Setup - Facility Details'!$I$58)*IF(ISERROR(U42),0,U42)*$D42)</f>
        <v>N/A</v>
      </c>
      <c r="W42" s="193">
        <f ca="1">IF($A42&gt;0,IF(W$6=0,0,INDIRECT(ADDRESS(W$6-1+CHOOSE($D$4,'Equipment Schedules'!$D$678,'Equipment Schedules'!$D$679,'Equipment Schedules'!$D$680,'Equipment Schedules'!$D$681,'Equipment Schedules'!$D$682,'Equipment Schedules'!$D$683,'Equipment Schedules'!$D$684,'Equipment Schedules'!$D$685,'Equipment Schedules'!$D$686),'Calculations - Fugitives'!$A42+1,,,"Equipment Schedules"))),0)</f>
        <v>0</v>
      </c>
      <c r="X42" s="486" t="str">
        <f ca="1">IF($D42="N/A","N/A",'Setup - Facility Details'!$E$59*('Setup - Facility Details'!$H$59+'Setup - Facility Details'!$I$59)*IF(ISERROR(W42),0,W42)*$D42)</f>
        <v>N/A</v>
      </c>
      <c r="Y42" s="193">
        <f ca="1">IF($A42&gt;0,IF(Y$6=0,0,INDIRECT(ADDRESS(Y$6-1+CHOOSE($D$4,'Equipment Schedules'!$D$678,'Equipment Schedules'!$D$679,'Equipment Schedules'!$D$680,'Equipment Schedules'!$D$681,'Equipment Schedules'!$D$682,'Equipment Schedules'!$D$683,'Equipment Schedules'!$D$684,'Equipment Schedules'!$D$685,'Equipment Schedules'!$D$686),'Calculations - Fugitives'!$A42+1,,,"Equipment Schedules"))),0)</f>
        <v>0</v>
      </c>
      <c r="Z42" s="486" t="str">
        <f ca="1">IF($D42="N/A","N/A",'Setup - Facility Details'!$E$60*('Setup - Facility Details'!$H$60+'Setup - Facility Details'!$I$60)*IF(ISERROR(Y42),0,Y42)*$D42)</f>
        <v>N/A</v>
      </c>
      <c r="AA42" s="193">
        <f ca="1">IF($A42&gt;0,IF(AA$6=0,0,INDIRECT(ADDRESS(AA$6-1+CHOOSE($D$4,'Equipment Schedules'!$D$678,'Equipment Schedules'!$D$679,'Equipment Schedules'!$D$680,'Equipment Schedules'!$D$681,'Equipment Schedules'!$D$682,'Equipment Schedules'!$D$683,'Equipment Schedules'!$D$684,'Equipment Schedules'!$D$685,'Equipment Schedules'!$D$686),'Calculations - Fugitives'!$A42+1,,,"Equipment Schedules"))),0)</f>
        <v>0</v>
      </c>
      <c r="AB42" s="486" t="str">
        <f ca="1">IF($D42="N/A","N/A",'Setup - Facility Details'!$E$61*('Setup - Facility Details'!$H$61+'Setup - Facility Details'!$I$61)*IF(ISERROR(AA42),0,AA42)*$D42)</f>
        <v>N/A</v>
      </c>
      <c r="AC42" s="193">
        <f ca="1">IF($A42&gt;0,IF(AC$6=0,0,INDIRECT(ADDRESS(AC$6-1+CHOOSE($D$4,'Equipment Schedules'!$D$678,'Equipment Schedules'!$D$679,'Equipment Schedules'!$D$680,'Equipment Schedules'!$D$681,'Equipment Schedules'!$D$682,'Equipment Schedules'!$D$683,'Equipment Schedules'!$D$684,'Equipment Schedules'!$D$685,'Equipment Schedules'!$D$686),'Calculations - Fugitives'!$A42+1,,,"Equipment Schedules"))),0)</f>
        <v>0</v>
      </c>
      <c r="AD42" s="486" t="str">
        <f ca="1">IF($D42="N/A","N/A",'Setup - Facility Details'!$E$62*('Setup - Facility Details'!$H$62+'Setup - Facility Details'!$I$62)*IF(ISERROR(AC42),0,AC42)*$D42)</f>
        <v>N/A</v>
      </c>
      <c r="AE42" s="193">
        <f ca="1">IF($A42&gt;0,IF(AE$6=0,0,INDIRECT(ADDRESS(AE$6-1+CHOOSE($D$4,'Equipment Schedules'!$D$678,'Equipment Schedules'!$D$679,'Equipment Schedules'!$D$680,'Equipment Schedules'!$D$681,'Equipment Schedules'!$D$682,'Equipment Schedules'!$D$683,'Equipment Schedules'!$D$684,'Equipment Schedules'!$D$685,'Equipment Schedules'!$D$686),'Calculations - Fugitives'!$A42+1,,,"Equipment Schedules"))),0)</f>
        <v>0</v>
      </c>
      <c r="AF42" s="486" t="str">
        <f ca="1">IF($D42="N/A","N/A",'Setup - Facility Details'!$E$63*('Setup - Facility Details'!$H$63+'Setup - Facility Details'!$I$63)*IF(ISERROR(AE42),0,AE42)*$D42)</f>
        <v>N/A</v>
      </c>
      <c r="AG42" s="193">
        <f ca="1">IF($A42&gt;0,IF(AG$6=0,0,INDIRECT(ADDRESS(AG$6-1+CHOOSE($D$4,'Equipment Schedules'!$D$678,'Equipment Schedules'!$D$679,'Equipment Schedules'!$D$680,'Equipment Schedules'!$D$681,'Equipment Schedules'!$D$682,'Equipment Schedules'!$D$683,'Equipment Schedules'!$D$684,'Equipment Schedules'!$D$685,'Equipment Schedules'!$D$686),'Calculations - Fugitives'!$A42+1,,,"Equipment Schedules"))),0)</f>
        <v>0</v>
      </c>
      <c r="AH42" s="486" t="str">
        <f ca="1">IF($D42="N/A","N/A",'Setup - Facility Details'!$E$64*('Setup - Facility Details'!$H$64+'Setup - Facility Details'!$I$64)*IF(ISERROR(AG42),0,AG42)*$D42)</f>
        <v>N/A</v>
      </c>
      <c r="AI42" s="193">
        <f ca="1">IF($A42&gt;0,IF(AI$6=0,0,INDIRECT(ADDRESS(AI$6-1+CHOOSE($D$4,'Equipment Schedules'!$D$678,'Equipment Schedules'!$D$679,'Equipment Schedules'!$D$680,'Equipment Schedules'!$D$681,'Equipment Schedules'!$D$682,'Equipment Schedules'!$D$683,'Equipment Schedules'!$D$684,'Equipment Schedules'!$D$685,'Equipment Schedules'!$D$686),'Calculations - Fugitives'!$A42+1,,,"Equipment Schedules"))),0)</f>
        <v>0</v>
      </c>
      <c r="AJ42" s="486" t="str">
        <f ca="1">IF($D42="N/A","N/A",'Setup - Facility Details'!$E$65*('Setup - Facility Details'!$H$65+'Setup - Facility Details'!$I$65)*IF(ISERROR(AI42),0,AI42)*$D42)</f>
        <v>N/A</v>
      </c>
      <c r="AK42" s="193">
        <f ca="1">IF($A42&gt;0,IF(AK$6=0,0,INDIRECT(ADDRESS(AK$6-1+CHOOSE($D$4,'Equipment Schedules'!$D$678,'Equipment Schedules'!$D$679,'Equipment Schedules'!$D$680,'Equipment Schedules'!$D$681,'Equipment Schedules'!$D$682,'Equipment Schedules'!$D$683,'Equipment Schedules'!$D$684,'Equipment Schedules'!$D$685,'Equipment Schedules'!$D$686),'Calculations - Fugitives'!$A42+1,,,"Equipment Schedules"))),0)</f>
        <v>0</v>
      </c>
      <c r="AL42" s="486" t="str">
        <f ca="1">IF($D42="N/A","N/A",'Setup - Facility Details'!$E$66*('Setup - Facility Details'!$H$66+'Setup - Facility Details'!$I$66)*IF(ISERROR(AK42),0,AK42)*$D42)</f>
        <v>N/A</v>
      </c>
      <c r="AM42" s="193">
        <f ca="1">IF($A42&gt;0,IF(AM$6=0,0,INDIRECT(ADDRESS(AM$6-1+CHOOSE($D$4,'Equipment Schedules'!$D$678,'Equipment Schedules'!$D$679,'Equipment Schedules'!$D$680,'Equipment Schedules'!$D$681,'Equipment Schedules'!$D$682,'Equipment Schedules'!$D$683,'Equipment Schedules'!$D$684,'Equipment Schedules'!$D$685,'Equipment Schedules'!$D$686),'Calculations - Fugitives'!$A42+1,,,"Equipment Schedules"))),0)</f>
        <v>0</v>
      </c>
      <c r="AN42" s="486" t="str">
        <f ca="1">IF($D42="N/A","N/A",'Setup - Facility Details'!$E$67*('Setup - Facility Details'!$H$67+'Setup - Facility Details'!$I$67)*IF(ISERROR(AM42),0,AM42)*$D42)</f>
        <v>N/A</v>
      </c>
      <c r="AO42" s="193">
        <f ca="1">IF($A42&gt;0,IF(AO$6=0,0,INDIRECT(ADDRESS(AO$6-1+CHOOSE($D$4,'Equipment Schedules'!$D$678,'Equipment Schedules'!$D$679,'Equipment Schedules'!$D$680,'Equipment Schedules'!$D$681,'Equipment Schedules'!$D$682,'Equipment Schedules'!$D$683,'Equipment Schedules'!$D$684,'Equipment Schedules'!$D$685,'Equipment Schedules'!$D$686),'Calculations - Fugitives'!$A42+1,,,"Equipment Schedules"))),0)</f>
        <v>0</v>
      </c>
      <c r="AP42" s="486" t="str">
        <f ca="1">IF($D42="N/A","N/A",'Setup - Facility Details'!$E$68*('Setup - Facility Details'!$H$68+'Setup - Facility Details'!$I$68)*IF(ISERROR(AO42),0,AO42)*$D42)</f>
        <v>N/A</v>
      </c>
      <c r="AQ42" s="193">
        <f ca="1">IF($A42&gt;0,IF(AQ$6=0,0,INDIRECT(ADDRESS(AQ$6-1+CHOOSE($D$4,'Equipment Schedules'!$D$678,'Equipment Schedules'!$D$679,'Equipment Schedules'!$D$680,'Equipment Schedules'!$D$681,'Equipment Schedules'!$D$682,'Equipment Schedules'!$D$683,'Equipment Schedules'!$D$684,'Equipment Schedules'!$D$685,'Equipment Schedules'!$D$686),'Calculations - Fugitives'!$A42+1,,,"Equipment Schedules"))),0)</f>
        <v>0</v>
      </c>
      <c r="AR42" s="486" t="str">
        <f ca="1">IF($D42="N/A","N/A",'Setup - Facility Details'!$E$69*('Setup - Facility Details'!$H$69+'Setup - Facility Details'!$I$69)*IF(ISERROR(AQ42),0,AQ42)*$D42)</f>
        <v>N/A</v>
      </c>
      <c r="AS42" s="193">
        <f ca="1">IF($A42&gt;0,IF(AS$6=0,0,INDIRECT(ADDRESS(AS$6-1+CHOOSE($D$4,'Equipment Schedules'!$D$678,'Equipment Schedules'!$D$679,'Equipment Schedules'!$D$680,'Equipment Schedules'!$D$681,'Equipment Schedules'!$D$682,'Equipment Schedules'!$D$683,'Equipment Schedules'!$D$684,'Equipment Schedules'!$D$685,'Equipment Schedules'!$D$686),'Calculations - Fugitives'!$A42+1,,,"Equipment Schedules"))),0)</f>
        <v>0</v>
      </c>
      <c r="AT42" s="486" t="str">
        <f ca="1">IF($D42="N/A","N/A",'Setup - Facility Details'!$E$70*('Setup - Facility Details'!$H$70+'Setup - Facility Details'!$I$70)*IF(ISERROR(AS42),0,AS42)*$D42)</f>
        <v>N/A</v>
      </c>
    </row>
    <row r="43" spans="1:46" x14ac:dyDescent="0.3">
      <c r="B43" s="81" t="str">
        <f ca="1">'Translation Table'!H594</f>
        <v>Others</v>
      </c>
      <c r="C43" s="81" t="str">
        <f ca="1">'Translation Table'!H595</f>
        <v>Gas</v>
      </c>
      <c r="D43" s="483">
        <f ca="1">IF(OR($C$4=OffshoreOilProduction,$C$4=OffshoreGasProduction,$C$4=OnshoreGasProduction,$C$4=OnshoreOilProduction,$C$4=GasProcessing,$C$4=PetroleumRefining),'EFs - Equipment Leaks'!M38,IF(OR($C$4=GasTransmission,$C$4=GasStorage),'EFs - Equipment Leaks'!M80,IF($C$4=GasDistribution,'EFs - Equipment Leaks'!M122,"Error")))</f>
        <v>9.7191871087976642E-3</v>
      </c>
      <c r="E43" s="483" t="str">
        <f ca="1">IF($C$4=GasDistribution,'EFs - Equipment Leaks'!$M164,"      N/A ")</f>
        <v xml:space="preserve">      N/A </v>
      </c>
      <c r="F43" s="483" t="str">
        <f ca="1">IF($C$4=GasDistribution,'EFs - Equipment Leaks'!$M206,"      N/A ")</f>
        <v xml:space="preserve">      N/A </v>
      </c>
      <c r="G43" s="452">
        <f ca="1">IF($A43&gt;0,IF(G$6=0,0,INDIRECT(ADDRESS(G$6-1+CHOOSE($D$4,'Equipment Schedules'!$D$678,'Equipment Schedules'!$D$679,'Equipment Schedules'!$D$680,'Equipment Schedules'!$D$681,'Equipment Schedules'!$D$682,'Equipment Schedules'!$D$683,'Equipment Schedules'!$D$684,'Equipment Schedules'!$D$685,'Equipment Schedules'!$D$686),'Calculations - Fugitives'!$A43+1,,,"Equipment Schedules"))),0)</f>
        <v>0</v>
      </c>
      <c r="H43" s="484">
        <f ca="1">IF($D43="N/A","N/A",'Setup - Facility Details'!$E$51*('Setup - Facility Details'!$H$51+'Setup - Facility Details'!$I$51)*IF(ISERROR(G43),0,G43)*$D43)</f>
        <v>0</v>
      </c>
      <c r="I43" s="452">
        <f ca="1">IF($A43&gt;0,IF(I$6=0,0,INDIRECT(ADDRESS(I$6-1+CHOOSE($D$4,'Equipment Schedules'!$D$678,'Equipment Schedules'!$D$679,'Equipment Schedules'!$D$680,'Equipment Schedules'!$D$681,'Equipment Schedules'!$D$682,'Equipment Schedules'!$D$683,'Equipment Schedules'!$D$684,'Equipment Schedules'!$D$685,'Equipment Schedules'!$D$686),'Calculations - Fugitives'!$A43+1,,,"Equipment Schedules"))),0)</f>
        <v>0</v>
      </c>
      <c r="J43" s="484">
        <f ca="1">IF($D43="N/A","N/A",'Setup - Facility Details'!$E$52*('Setup - Facility Details'!$H$52+'Setup - Facility Details'!$I$52)*IF(ISERROR(I43),0,I43)*$D43)</f>
        <v>0</v>
      </c>
      <c r="K43" s="452">
        <f ca="1">IF($A43&gt;0,IF(K$6=0,0,INDIRECT(ADDRESS(K$6-1+CHOOSE($D$4,'Equipment Schedules'!$D$678,'Equipment Schedules'!$D$679,'Equipment Schedules'!$D$680,'Equipment Schedules'!$D$681,'Equipment Schedules'!$D$682,'Equipment Schedules'!$D$683,'Equipment Schedules'!$D$684,'Equipment Schedules'!$D$685,'Equipment Schedules'!$D$686),'Calculations - Fugitives'!$A43+1,,,"Equipment Schedules"))),0)</f>
        <v>0</v>
      </c>
      <c r="L43" s="484">
        <f ca="1">IF($D43="N/A","N/A",'Setup - Facility Details'!$E$53*('Setup - Facility Details'!$H$53+'Setup - Facility Details'!$I$53)*IF(ISERROR(K43),0,K43)*$D43)</f>
        <v>0</v>
      </c>
      <c r="M43" s="452">
        <f ca="1">IF($A43&gt;0,IF(M$6=0,0,INDIRECT(ADDRESS(M$6-1+CHOOSE($D$4,'Equipment Schedules'!$D$678,'Equipment Schedules'!$D$679,'Equipment Schedules'!$D$680,'Equipment Schedules'!$D$681,'Equipment Schedules'!$D$682,'Equipment Schedules'!$D$683,'Equipment Schedules'!$D$684,'Equipment Schedules'!$D$685,'Equipment Schedules'!$D$686),'Calculations - Fugitives'!$A43+1,,,"Equipment Schedules"))),0)</f>
        <v>0</v>
      </c>
      <c r="N43" s="484">
        <f ca="1">IF($D43="N/A","N/A",'Setup - Facility Details'!$E$54*('Setup - Facility Details'!$H$54+'Setup - Facility Details'!$I$54)*IF(ISERROR(M43),0,M43)*$D43)</f>
        <v>0</v>
      </c>
      <c r="O43" s="452">
        <f ca="1">IF($A43&gt;0,IF(O$6=0,0,INDIRECT(ADDRESS(O$6-1+CHOOSE($D$4,'Equipment Schedules'!$D$678,'Equipment Schedules'!$D$679,'Equipment Schedules'!$D$680,'Equipment Schedules'!$D$681,'Equipment Schedules'!$D$682,'Equipment Schedules'!$D$683,'Equipment Schedules'!$D$684,'Equipment Schedules'!$D$685,'Equipment Schedules'!$D$686),'Calculations - Fugitives'!$A43+1,,,"Equipment Schedules"))),0)</f>
        <v>0</v>
      </c>
      <c r="P43" s="484">
        <f ca="1">IF($D43="N/A","N/A",'Setup - Facility Details'!$E$55*('Setup - Facility Details'!$H$55+'Setup - Facility Details'!$I$55)*IF(ISERROR(O43),0,O43)*$D43)</f>
        <v>0</v>
      </c>
      <c r="Q43" s="452">
        <f ca="1">IF($A43&gt;0,IF(Q$6=0,0,INDIRECT(ADDRESS(Q$6-1+CHOOSE($D$4,'Equipment Schedules'!$D$678,'Equipment Schedules'!$D$679,'Equipment Schedules'!$D$680,'Equipment Schedules'!$D$681,'Equipment Schedules'!$D$682,'Equipment Schedules'!$D$683,'Equipment Schedules'!$D$684,'Equipment Schedules'!$D$685,'Equipment Schedules'!$D$686),'Calculations - Fugitives'!$A43+1,,,"Equipment Schedules"))),0)</f>
        <v>0</v>
      </c>
      <c r="R43" s="484">
        <f ca="1">IF($D43="N/A","N/A",'Setup - Facility Details'!$E$56*('Setup - Facility Details'!$H$56+'Setup - Facility Details'!$I$56)*IF(ISERROR(Q43),0,Q43)*$D43)</f>
        <v>0</v>
      </c>
      <c r="S43" s="452">
        <f ca="1">IF($A43&gt;0,IF(S$6=0,0,INDIRECT(ADDRESS(S$6-1+CHOOSE($D$4,'Equipment Schedules'!$D$678,'Equipment Schedules'!$D$679,'Equipment Schedules'!$D$680,'Equipment Schedules'!$D$681,'Equipment Schedules'!$D$682,'Equipment Schedules'!$D$683,'Equipment Schedules'!$D$684,'Equipment Schedules'!$D$685,'Equipment Schedules'!$D$686),'Calculations - Fugitives'!$A43+1,,,"Equipment Schedules"))),0)</f>
        <v>0</v>
      </c>
      <c r="T43" s="484">
        <f ca="1">IF($D43="N/A","N/A",'Setup - Facility Details'!$E$57*('Setup - Facility Details'!$H$57+'Setup - Facility Details'!$I$57)*IF(ISERROR(S43),0,S43)*$D43)</f>
        <v>0</v>
      </c>
      <c r="U43" s="452">
        <f ca="1">IF($A43&gt;0,IF(U$6=0,0,INDIRECT(ADDRESS(U$6-1+CHOOSE($D$4,'Equipment Schedules'!$D$678,'Equipment Schedules'!$D$679,'Equipment Schedules'!$D$680,'Equipment Schedules'!$D$681,'Equipment Schedules'!$D$682,'Equipment Schedules'!$D$683,'Equipment Schedules'!$D$684,'Equipment Schedules'!$D$685,'Equipment Schedules'!$D$686),'Calculations - Fugitives'!$A43+1,,,"Equipment Schedules"))),0)</f>
        <v>0</v>
      </c>
      <c r="V43" s="484">
        <f ca="1">IF($D43="N/A","N/A",'Setup - Facility Details'!$E$58*('Setup - Facility Details'!$H$58+'Setup - Facility Details'!$I$58)*IF(ISERROR(U43),0,U43)*$D43)</f>
        <v>0</v>
      </c>
      <c r="W43" s="452">
        <f ca="1">IF($A43&gt;0,IF(W$6=0,0,INDIRECT(ADDRESS(W$6-1+CHOOSE($D$4,'Equipment Schedules'!$D$678,'Equipment Schedules'!$D$679,'Equipment Schedules'!$D$680,'Equipment Schedules'!$D$681,'Equipment Schedules'!$D$682,'Equipment Schedules'!$D$683,'Equipment Schedules'!$D$684,'Equipment Schedules'!$D$685,'Equipment Schedules'!$D$686),'Calculations - Fugitives'!$A43+1,,,"Equipment Schedules"))),0)</f>
        <v>0</v>
      </c>
      <c r="X43" s="484">
        <f ca="1">IF($D43="N/A","N/A",'Setup - Facility Details'!$E$59*('Setup - Facility Details'!$H$59+'Setup - Facility Details'!$I$59)*IF(ISERROR(W43),0,W43)*$D43)</f>
        <v>0</v>
      </c>
      <c r="Y43" s="452">
        <f ca="1">IF($A43&gt;0,IF(Y$6=0,0,INDIRECT(ADDRESS(Y$6-1+CHOOSE($D$4,'Equipment Schedules'!$D$678,'Equipment Schedules'!$D$679,'Equipment Schedules'!$D$680,'Equipment Schedules'!$D$681,'Equipment Schedules'!$D$682,'Equipment Schedules'!$D$683,'Equipment Schedules'!$D$684,'Equipment Schedules'!$D$685,'Equipment Schedules'!$D$686),'Calculations - Fugitives'!$A43+1,,,"Equipment Schedules"))),0)</f>
        <v>0</v>
      </c>
      <c r="Z43" s="484">
        <f ca="1">IF($D43="N/A","N/A",'Setup - Facility Details'!$E$60*('Setup - Facility Details'!$H$60+'Setup - Facility Details'!$I$60)*IF(ISERROR(Y43),0,Y43)*$D43)</f>
        <v>0</v>
      </c>
      <c r="AA43" s="452">
        <f ca="1">IF($A43&gt;0,IF(AA$6=0,0,INDIRECT(ADDRESS(AA$6-1+CHOOSE($D$4,'Equipment Schedules'!$D$678,'Equipment Schedules'!$D$679,'Equipment Schedules'!$D$680,'Equipment Schedules'!$D$681,'Equipment Schedules'!$D$682,'Equipment Schedules'!$D$683,'Equipment Schedules'!$D$684,'Equipment Schedules'!$D$685,'Equipment Schedules'!$D$686),'Calculations - Fugitives'!$A43+1,,,"Equipment Schedules"))),0)</f>
        <v>0</v>
      </c>
      <c r="AB43" s="484">
        <f ca="1">IF($D43="N/A","N/A",'Setup - Facility Details'!$E$61*('Setup - Facility Details'!$H$61+'Setup - Facility Details'!$I$61)*IF(ISERROR(AA43),0,AA43)*$D43)</f>
        <v>0</v>
      </c>
      <c r="AC43" s="452">
        <f ca="1">IF($A43&gt;0,IF(AC$6=0,0,INDIRECT(ADDRESS(AC$6-1+CHOOSE($D$4,'Equipment Schedules'!$D$678,'Equipment Schedules'!$D$679,'Equipment Schedules'!$D$680,'Equipment Schedules'!$D$681,'Equipment Schedules'!$D$682,'Equipment Schedules'!$D$683,'Equipment Schedules'!$D$684,'Equipment Schedules'!$D$685,'Equipment Schedules'!$D$686),'Calculations - Fugitives'!$A43+1,,,"Equipment Schedules"))),0)</f>
        <v>0</v>
      </c>
      <c r="AD43" s="484">
        <f ca="1">IF($D43="N/A","N/A",'Setup - Facility Details'!$E$62*('Setup - Facility Details'!$H$62+'Setup - Facility Details'!$I$62)*IF(ISERROR(AC43),0,AC43)*$D43)</f>
        <v>0</v>
      </c>
      <c r="AE43" s="452">
        <f ca="1">IF($A43&gt;0,IF(AE$6=0,0,INDIRECT(ADDRESS(AE$6-1+CHOOSE($D$4,'Equipment Schedules'!$D$678,'Equipment Schedules'!$D$679,'Equipment Schedules'!$D$680,'Equipment Schedules'!$D$681,'Equipment Schedules'!$D$682,'Equipment Schedules'!$D$683,'Equipment Schedules'!$D$684,'Equipment Schedules'!$D$685,'Equipment Schedules'!$D$686),'Calculations - Fugitives'!$A43+1,,,"Equipment Schedules"))),0)</f>
        <v>0</v>
      </c>
      <c r="AF43" s="484">
        <f ca="1">IF($D43="N/A","N/A",'Setup - Facility Details'!$E$63*('Setup - Facility Details'!$H$63+'Setup - Facility Details'!$I$63)*IF(ISERROR(AE43),0,AE43)*$D43)</f>
        <v>0</v>
      </c>
      <c r="AG43" s="452">
        <f ca="1">IF($A43&gt;0,IF(AG$6=0,0,INDIRECT(ADDRESS(AG$6-1+CHOOSE($D$4,'Equipment Schedules'!$D$678,'Equipment Schedules'!$D$679,'Equipment Schedules'!$D$680,'Equipment Schedules'!$D$681,'Equipment Schedules'!$D$682,'Equipment Schedules'!$D$683,'Equipment Schedules'!$D$684,'Equipment Schedules'!$D$685,'Equipment Schedules'!$D$686),'Calculations - Fugitives'!$A43+1,,,"Equipment Schedules"))),0)</f>
        <v>0</v>
      </c>
      <c r="AH43" s="484">
        <f ca="1">IF($D43="N/A","N/A",'Setup - Facility Details'!$E$64*('Setup - Facility Details'!$H$64+'Setup - Facility Details'!$I$64)*IF(ISERROR(AG43),0,AG43)*$D43)</f>
        <v>0</v>
      </c>
      <c r="AI43" s="452">
        <f ca="1">IF($A43&gt;0,IF(AI$6=0,0,INDIRECT(ADDRESS(AI$6-1+CHOOSE($D$4,'Equipment Schedules'!$D$678,'Equipment Schedules'!$D$679,'Equipment Schedules'!$D$680,'Equipment Schedules'!$D$681,'Equipment Schedules'!$D$682,'Equipment Schedules'!$D$683,'Equipment Schedules'!$D$684,'Equipment Schedules'!$D$685,'Equipment Schedules'!$D$686),'Calculations - Fugitives'!$A43+1,,,"Equipment Schedules"))),0)</f>
        <v>0</v>
      </c>
      <c r="AJ43" s="484">
        <f ca="1">IF($D43="N/A","N/A",'Setup - Facility Details'!$E$65*('Setup - Facility Details'!$H$65+'Setup - Facility Details'!$I$65)*IF(ISERROR(AI43),0,AI43)*$D43)</f>
        <v>0</v>
      </c>
      <c r="AK43" s="452">
        <f ca="1">IF($A43&gt;0,IF(AK$6=0,0,INDIRECT(ADDRESS(AK$6-1+CHOOSE($D$4,'Equipment Schedules'!$D$678,'Equipment Schedules'!$D$679,'Equipment Schedules'!$D$680,'Equipment Schedules'!$D$681,'Equipment Schedules'!$D$682,'Equipment Schedules'!$D$683,'Equipment Schedules'!$D$684,'Equipment Schedules'!$D$685,'Equipment Schedules'!$D$686),'Calculations - Fugitives'!$A43+1,,,"Equipment Schedules"))),0)</f>
        <v>0</v>
      </c>
      <c r="AL43" s="484">
        <f ca="1">IF($D43="N/A","N/A",'Setup - Facility Details'!$E$66*('Setup - Facility Details'!$H$66+'Setup - Facility Details'!$I$66)*IF(ISERROR(AK43),0,AK43)*$D43)</f>
        <v>0</v>
      </c>
      <c r="AM43" s="452">
        <f ca="1">IF($A43&gt;0,IF(AM$6=0,0,INDIRECT(ADDRESS(AM$6-1+CHOOSE($D$4,'Equipment Schedules'!$D$678,'Equipment Schedules'!$D$679,'Equipment Schedules'!$D$680,'Equipment Schedules'!$D$681,'Equipment Schedules'!$D$682,'Equipment Schedules'!$D$683,'Equipment Schedules'!$D$684,'Equipment Schedules'!$D$685,'Equipment Schedules'!$D$686),'Calculations - Fugitives'!$A43+1,,,"Equipment Schedules"))),0)</f>
        <v>0</v>
      </c>
      <c r="AN43" s="484">
        <f ca="1">IF($D43="N/A","N/A",'Setup - Facility Details'!$E$67*('Setup - Facility Details'!$H$67+'Setup - Facility Details'!$I$67)*IF(ISERROR(AM43),0,AM43)*$D43)</f>
        <v>0</v>
      </c>
      <c r="AO43" s="452">
        <f ca="1">IF($A43&gt;0,IF(AO$6=0,0,INDIRECT(ADDRESS(AO$6-1+CHOOSE($D$4,'Equipment Schedules'!$D$678,'Equipment Schedules'!$D$679,'Equipment Schedules'!$D$680,'Equipment Schedules'!$D$681,'Equipment Schedules'!$D$682,'Equipment Schedules'!$D$683,'Equipment Schedules'!$D$684,'Equipment Schedules'!$D$685,'Equipment Schedules'!$D$686),'Calculations - Fugitives'!$A43+1,,,"Equipment Schedules"))),0)</f>
        <v>0</v>
      </c>
      <c r="AP43" s="484">
        <f ca="1">IF($D43="N/A","N/A",'Setup - Facility Details'!$E$68*('Setup - Facility Details'!$H$68+'Setup - Facility Details'!$I$68)*IF(ISERROR(AO43),0,AO43)*$D43)</f>
        <v>0</v>
      </c>
      <c r="AQ43" s="452">
        <f ca="1">IF($A43&gt;0,IF(AQ$6=0,0,INDIRECT(ADDRESS(AQ$6-1+CHOOSE($D$4,'Equipment Schedules'!$D$678,'Equipment Schedules'!$D$679,'Equipment Schedules'!$D$680,'Equipment Schedules'!$D$681,'Equipment Schedules'!$D$682,'Equipment Schedules'!$D$683,'Equipment Schedules'!$D$684,'Equipment Schedules'!$D$685,'Equipment Schedules'!$D$686),'Calculations - Fugitives'!$A43+1,,,"Equipment Schedules"))),0)</f>
        <v>0</v>
      </c>
      <c r="AR43" s="484">
        <f ca="1">IF($D43="N/A","N/A",'Setup - Facility Details'!$E$69*('Setup - Facility Details'!$H$69+'Setup - Facility Details'!$I$69)*IF(ISERROR(AQ43),0,AQ43)*$D43)</f>
        <v>0</v>
      </c>
      <c r="AS43" s="452">
        <f ca="1">IF($A43&gt;0,IF(AS$6=0,0,INDIRECT(ADDRESS(AS$6-1+CHOOSE($D$4,'Equipment Schedules'!$D$678,'Equipment Schedules'!$D$679,'Equipment Schedules'!$D$680,'Equipment Schedules'!$D$681,'Equipment Schedules'!$D$682,'Equipment Schedules'!$D$683,'Equipment Schedules'!$D$684,'Equipment Schedules'!$D$685,'Equipment Schedules'!$D$686),'Calculations - Fugitives'!$A43+1,,,"Equipment Schedules"))),0)</f>
        <v>0</v>
      </c>
      <c r="AT43" s="484">
        <f ca="1">IF($D43="N/A","N/A",'Setup - Facility Details'!$E$70*('Setup - Facility Details'!$H$70+'Setup - Facility Details'!$I$70)*IF(ISERROR(AS43),0,AS43)*$D43)</f>
        <v>0</v>
      </c>
    </row>
    <row r="44" spans="1:46" x14ac:dyDescent="0.3">
      <c r="A44" s="256">
        <f ca="1">IF($C$6=1,26,26)+$A$11</f>
        <v>27</v>
      </c>
      <c r="B44" s="48" t="str">
        <f ca="1">'Translation Table'!H596</f>
        <v>Others</v>
      </c>
      <c r="C44" s="48" t="str">
        <f ca="1">'Translation Table'!H597</f>
        <v>Light Liquid</v>
      </c>
      <c r="D44" s="485">
        <f ca="1">IF(OR($C$4=OffshoreOilProduction,$C$4=OffshoreGasProduction,$C$4=OnshoreGasProduction,$C$4=OnshoreOilProduction,$C$4=GasProcessing,$C$4=PetroleumRefining),'EFs - Equipment Leaks'!M39,IF(OR($C$4=GasTransmission,$C$4=GasStorage),'EFs - Equipment Leaks'!M81,IF($C$4=GasDistribution,'EFs - Equipment Leaks'!M123,"Error")))</f>
        <v>4.8540364181780902E-3</v>
      </c>
      <c r="E44" s="485" t="str">
        <f ca="1">IF($C$4=GasDistribution,'EFs - Equipment Leaks'!$M165,"      N/A ")</f>
        <v xml:space="preserve">      N/A </v>
      </c>
      <c r="F44" s="485" t="str">
        <f ca="1">IF($C$4=GasDistribution,'EFs - Equipment Leaks'!$M207,"      N/A ")</f>
        <v xml:space="preserve">      N/A </v>
      </c>
      <c r="G44" s="193">
        <f ca="1">IF($A44&gt;0,IF(G$6=0,0,INDIRECT(ADDRESS(G$6-1+CHOOSE($D$4,'Equipment Schedules'!$D$678,'Equipment Schedules'!$D$679,'Equipment Schedules'!$D$680,'Equipment Schedules'!$D$681,'Equipment Schedules'!$D$682,'Equipment Schedules'!$D$683,'Equipment Schedules'!$D$684,'Equipment Schedules'!$D$685,'Equipment Schedules'!$D$686),'Calculations - Fugitives'!$A44+1,,,"Equipment Schedules"))),0)</f>
        <v>0</v>
      </c>
      <c r="H44" s="486">
        <f ca="1">IF($D44="N/A","N/A",'Setup - Facility Details'!$E$51*('Setup - Facility Details'!$H$51+'Setup - Facility Details'!$I$51)*IF(ISERROR(G44),0,G44)*$D44)</f>
        <v>0</v>
      </c>
      <c r="I44" s="193">
        <f ca="1">IF($A44&gt;0,IF(I$6=0,0,INDIRECT(ADDRESS(I$6-1+CHOOSE($D$4,'Equipment Schedules'!$D$678,'Equipment Schedules'!$D$679,'Equipment Schedules'!$D$680,'Equipment Schedules'!$D$681,'Equipment Schedules'!$D$682,'Equipment Schedules'!$D$683,'Equipment Schedules'!$D$684,'Equipment Schedules'!$D$685,'Equipment Schedules'!$D$686),'Calculations - Fugitives'!$A44+1,,,"Equipment Schedules"))),0)</f>
        <v>0</v>
      </c>
      <c r="J44" s="486">
        <f ca="1">IF($D44="N/A","N/A",'Setup - Facility Details'!$E$52*('Setup - Facility Details'!$H$52+'Setup - Facility Details'!$I$52)*IF(ISERROR(I44),0,I44)*$D44)</f>
        <v>0</v>
      </c>
      <c r="K44" s="193">
        <f ca="1">IF($A44&gt;0,IF(K$6=0,0,INDIRECT(ADDRESS(K$6-1+CHOOSE($D$4,'Equipment Schedules'!$D$678,'Equipment Schedules'!$D$679,'Equipment Schedules'!$D$680,'Equipment Schedules'!$D$681,'Equipment Schedules'!$D$682,'Equipment Schedules'!$D$683,'Equipment Schedules'!$D$684,'Equipment Schedules'!$D$685,'Equipment Schedules'!$D$686),'Calculations - Fugitives'!$A44+1,,,"Equipment Schedules"))),0)</f>
        <v>0</v>
      </c>
      <c r="L44" s="486">
        <f ca="1">IF($D44="N/A","N/A",'Setup - Facility Details'!$E$53*('Setup - Facility Details'!$H$53+'Setup - Facility Details'!$I$53)*IF(ISERROR(K44),0,K44)*$D44)</f>
        <v>0</v>
      </c>
      <c r="M44" s="193">
        <f ca="1">IF($A44&gt;0,IF(M$6=0,0,INDIRECT(ADDRESS(M$6-1+CHOOSE($D$4,'Equipment Schedules'!$D$678,'Equipment Schedules'!$D$679,'Equipment Schedules'!$D$680,'Equipment Schedules'!$D$681,'Equipment Schedules'!$D$682,'Equipment Schedules'!$D$683,'Equipment Schedules'!$D$684,'Equipment Schedules'!$D$685,'Equipment Schedules'!$D$686),'Calculations - Fugitives'!$A44+1,,,"Equipment Schedules"))),0)</f>
        <v>0</v>
      </c>
      <c r="N44" s="486">
        <f ca="1">IF($D44="N/A","N/A",'Setup - Facility Details'!$E$54*('Setup - Facility Details'!$H$54+'Setup - Facility Details'!$I$54)*IF(ISERROR(M44),0,M44)*$D44)</f>
        <v>0</v>
      </c>
      <c r="O44" s="193">
        <f ca="1">IF($A44&gt;0,IF(O$6=0,0,INDIRECT(ADDRESS(O$6-1+CHOOSE($D$4,'Equipment Schedules'!$D$678,'Equipment Schedules'!$D$679,'Equipment Schedules'!$D$680,'Equipment Schedules'!$D$681,'Equipment Schedules'!$D$682,'Equipment Schedules'!$D$683,'Equipment Schedules'!$D$684,'Equipment Schedules'!$D$685,'Equipment Schedules'!$D$686),'Calculations - Fugitives'!$A44+1,,,"Equipment Schedules"))),0)</f>
        <v>0</v>
      </c>
      <c r="P44" s="486">
        <f ca="1">IF($D44="N/A","N/A",'Setup - Facility Details'!$E$55*('Setup - Facility Details'!$H$55+'Setup - Facility Details'!$I$55)*IF(ISERROR(O44),0,O44)*$D44)</f>
        <v>0</v>
      </c>
      <c r="Q44" s="193">
        <f ca="1">IF($A44&gt;0,IF(Q$6=0,0,INDIRECT(ADDRESS(Q$6-1+CHOOSE($D$4,'Equipment Schedules'!$D$678,'Equipment Schedules'!$D$679,'Equipment Schedules'!$D$680,'Equipment Schedules'!$D$681,'Equipment Schedules'!$D$682,'Equipment Schedules'!$D$683,'Equipment Schedules'!$D$684,'Equipment Schedules'!$D$685,'Equipment Schedules'!$D$686),'Calculations - Fugitives'!$A44+1,,,"Equipment Schedules"))),0)</f>
        <v>0</v>
      </c>
      <c r="R44" s="486">
        <f ca="1">IF($D44="N/A","N/A",'Setup - Facility Details'!$E$56*('Setup - Facility Details'!$H$56+'Setup - Facility Details'!$I$56)*IF(ISERROR(Q44),0,Q44)*$D44)</f>
        <v>0</v>
      </c>
      <c r="S44" s="193">
        <f ca="1">IF($A44&gt;0,IF(S$6=0,0,INDIRECT(ADDRESS(S$6-1+CHOOSE($D$4,'Equipment Schedules'!$D$678,'Equipment Schedules'!$D$679,'Equipment Schedules'!$D$680,'Equipment Schedules'!$D$681,'Equipment Schedules'!$D$682,'Equipment Schedules'!$D$683,'Equipment Schedules'!$D$684,'Equipment Schedules'!$D$685,'Equipment Schedules'!$D$686),'Calculations - Fugitives'!$A44+1,,,"Equipment Schedules"))),0)</f>
        <v>0</v>
      </c>
      <c r="T44" s="486">
        <f ca="1">IF($D44="N/A","N/A",'Setup - Facility Details'!$E$57*('Setup - Facility Details'!$H$57+'Setup - Facility Details'!$I$57)*IF(ISERROR(S44),0,S44)*$D44)</f>
        <v>0</v>
      </c>
      <c r="U44" s="193">
        <f ca="1">IF($A44&gt;0,IF(U$6=0,0,INDIRECT(ADDRESS(U$6-1+CHOOSE($D$4,'Equipment Schedules'!$D$678,'Equipment Schedules'!$D$679,'Equipment Schedules'!$D$680,'Equipment Schedules'!$D$681,'Equipment Schedules'!$D$682,'Equipment Schedules'!$D$683,'Equipment Schedules'!$D$684,'Equipment Schedules'!$D$685,'Equipment Schedules'!$D$686),'Calculations - Fugitives'!$A44+1,,,"Equipment Schedules"))),0)</f>
        <v>0</v>
      </c>
      <c r="V44" s="486">
        <f ca="1">IF($D44="N/A","N/A",'Setup - Facility Details'!$E$58*('Setup - Facility Details'!$H$58+'Setup - Facility Details'!$I$58)*IF(ISERROR(U44),0,U44)*$D44)</f>
        <v>0</v>
      </c>
      <c r="W44" s="193">
        <f ca="1">IF($A44&gt;0,IF(W$6=0,0,INDIRECT(ADDRESS(W$6-1+CHOOSE($D$4,'Equipment Schedules'!$D$678,'Equipment Schedules'!$D$679,'Equipment Schedules'!$D$680,'Equipment Schedules'!$D$681,'Equipment Schedules'!$D$682,'Equipment Schedules'!$D$683,'Equipment Schedules'!$D$684,'Equipment Schedules'!$D$685,'Equipment Schedules'!$D$686),'Calculations - Fugitives'!$A44+1,,,"Equipment Schedules"))),0)</f>
        <v>0</v>
      </c>
      <c r="X44" s="486">
        <f ca="1">IF($D44="N/A","N/A",'Setup - Facility Details'!$E$59*('Setup - Facility Details'!$H$59+'Setup - Facility Details'!$I$59)*IF(ISERROR(W44),0,W44)*$D44)</f>
        <v>0</v>
      </c>
      <c r="Y44" s="193">
        <f ca="1">IF($A44&gt;0,IF(Y$6=0,0,INDIRECT(ADDRESS(Y$6-1+CHOOSE($D$4,'Equipment Schedules'!$D$678,'Equipment Schedules'!$D$679,'Equipment Schedules'!$D$680,'Equipment Schedules'!$D$681,'Equipment Schedules'!$D$682,'Equipment Schedules'!$D$683,'Equipment Schedules'!$D$684,'Equipment Schedules'!$D$685,'Equipment Schedules'!$D$686),'Calculations - Fugitives'!$A44+1,,,"Equipment Schedules"))),0)</f>
        <v>0</v>
      </c>
      <c r="Z44" s="486">
        <f ca="1">IF($D44="N/A","N/A",'Setup - Facility Details'!$E$60*('Setup - Facility Details'!$H$60+'Setup - Facility Details'!$I$60)*IF(ISERROR(Y44),0,Y44)*$D44)</f>
        <v>0</v>
      </c>
      <c r="AA44" s="193">
        <f ca="1">IF($A44&gt;0,IF(AA$6=0,0,INDIRECT(ADDRESS(AA$6-1+CHOOSE($D$4,'Equipment Schedules'!$D$678,'Equipment Schedules'!$D$679,'Equipment Schedules'!$D$680,'Equipment Schedules'!$D$681,'Equipment Schedules'!$D$682,'Equipment Schedules'!$D$683,'Equipment Schedules'!$D$684,'Equipment Schedules'!$D$685,'Equipment Schedules'!$D$686),'Calculations - Fugitives'!$A44+1,,,"Equipment Schedules"))),0)</f>
        <v>0</v>
      </c>
      <c r="AB44" s="486">
        <f ca="1">IF($D44="N/A","N/A",'Setup - Facility Details'!$E$61*('Setup - Facility Details'!$H$61+'Setup - Facility Details'!$I$61)*IF(ISERROR(AA44),0,AA44)*$D44)</f>
        <v>0</v>
      </c>
      <c r="AC44" s="193">
        <f ca="1">IF($A44&gt;0,IF(AC$6=0,0,INDIRECT(ADDRESS(AC$6-1+CHOOSE($D$4,'Equipment Schedules'!$D$678,'Equipment Schedules'!$D$679,'Equipment Schedules'!$D$680,'Equipment Schedules'!$D$681,'Equipment Schedules'!$D$682,'Equipment Schedules'!$D$683,'Equipment Schedules'!$D$684,'Equipment Schedules'!$D$685,'Equipment Schedules'!$D$686),'Calculations - Fugitives'!$A44+1,,,"Equipment Schedules"))),0)</f>
        <v>0</v>
      </c>
      <c r="AD44" s="486">
        <f ca="1">IF($D44="N/A","N/A",'Setup - Facility Details'!$E$62*('Setup - Facility Details'!$H$62+'Setup - Facility Details'!$I$62)*IF(ISERROR(AC44),0,AC44)*$D44)</f>
        <v>0</v>
      </c>
      <c r="AE44" s="193">
        <f ca="1">IF($A44&gt;0,IF(AE$6=0,0,INDIRECT(ADDRESS(AE$6-1+CHOOSE($D$4,'Equipment Schedules'!$D$678,'Equipment Schedules'!$D$679,'Equipment Schedules'!$D$680,'Equipment Schedules'!$D$681,'Equipment Schedules'!$D$682,'Equipment Schedules'!$D$683,'Equipment Schedules'!$D$684,'Equipment Schedules'!$D$685,'Equipment Schedules'!$D$686),'Calculations - Fugitives'!$A44+1,,,"Equipment Schedules"))),0)</f>
        <v>0</v>
      </c>
      <c r="AF44" s="486">
        <f ca="1">IF($D44="N/A","N/A",'Setup - Facility Details'!$E$63*('Setup - Facility Details'!$H$63+'Setup - Facility Details'!$I$63)*IF(ISERROR(AE44),0,AE44)*$D44)</f>
        <v>0</v>
      </c>
      <c r="AG44" s="193">
        <f ca="1">IF($A44&gt;0,IF(AG$6=0,0,INDIRECT(ADDRESS(AG$6-1+CHOOSE($D$4,'Equipment Schedules'!$D$678,'Equipment Schedules'!$D$679,'Equipment Schedules'!$D$680,'Equipment Schedules'!$D$681,'Equipment Schedules'!$D$682,'Equipment Schedules'!$D$683,'Equipment Schedules'!$D$684,'Equipment Schedules'!$D$685,'Equipment Schedules'!$D$686),'Calculations - Fugitives'!$A44+1,,,"Equipment Schedules"))),0)</f>
        <v>0</v>
      </c>
      <c r="AH44" s="486">
        <f ca="1">IF($D44="N/A","N/A",'Setup - Facility Details'!$E$64*('Setup - Facility Details'!$H$64+'Setup - Facility Details'!$I$64)*IF(ISERROR(AG44),0,AG44)*$D44)</f>
        <v>0</v>
      </c>
      <c r="AI44" s="193">
        <f ca="1">IF($A44&gt;0,IF(AI$6=0,0,INDIRECT(ADDRESS(AI$6-1+CHOOSE($D$4,'Equipment Schedules'!$D$678,'Equipment Schedules'!$D$679,'Equipment Schedules'!$D$680,'Equipment Schedules'!$D$681,'Equipment Schedules'!$D$682,'Equipment Schedules'!$D$683,'Equipment Schedules'!$D$684,'Equipment Schedules'!$D$685,'Equipment Schedules'!$D$686),'Calculations - Fugitives'!$A44+1,,,"Equipment Schedules"))),0)</f>
        <v>0</v>
      </c>
      <c r="AJ44" s="486">
        <f ca="1">IF($D44="N/A","N/A",'Setup - Facility Details'!$E$65*('Setup - Facility Details'!$H$65+'Setup - Facility Details'!$I$65)*IF(ISERROR(AI44),0,AI44)*$D44)</f>
        <v>0</v>
      </c>
      <c r="AK44" s="193">
        <f ca="1">IF($A44&gt;0,IF(AK$6=0,0,INDIRECT(ADDRESS(AK$6-1+CHOOSE($D$4,'Equipment Schedules'!$D$678,'Equipment Schedules'!$D$679,'Equipment Schedules'!$D$680,'Equipment Schedules'!$D$681,'Equipment Schedules'!$D$682,'Equipment Schedules'!$D$683,'Equipment Schedules'!$D$684,'Equipment Schedules'!$D$685,'Equipment Schedules'!$D$686),'Calculations - Fugitives'!$A44+1,,,"Equipment Schedules"))),0)</f>
        <v>0</v>
      </c>
      <c r="AL44" s="486">
        <f ca="1">IF($D44="N/A","N/A",'Setup - Facility Details'!$E$66*('Setup - Facility Details'!$H$66+'Setup - Facility Details'!$I$66)*IF(ISERROR(AK44),0,AK44)*$D44)</f>
        <v>0</v>
      </c>
      <c r="AM44" s="193">
        <f ca="1">IF($A44&gt;0,IF(AM$6=0,0,INDIRECT(ADDRESS(AM$6-1+CHOOSE($D$4,'Equipment Schedules'!$D$678,'Equipment Schedules'!$D$679,'Equipment Schedules'!$D$680,'Equipment Schedules'!$D$681,'Equipment Schedules'!$D$682,'Equipment Schedules'!$D$683,'Equipment Schedules'!$D$684,'Equipment Schedules'!$D$685,'Equipment Schedules'!$D$686),'Calculations - Fugitives'!$A44+1,,,"Equipment Schedules"))),0)</f>
        <v>0</v>
      </c>
      <c r="AN44" s="486">
        <f ca="1">IF($D44="N/A","N/A",'Setup - Facility Details'!$E$67*('Setup - Facility Details'!$H$67+'Setup - Facility Details'!$I$67)*IF(ISERROR(AM44),0,AM44)*$D44)</f>
        <v>0</v>
      </c>
      <c r="AO44" s="193">
        <f ca="1">IF($A44&gt;0,IF(AO$6=0,0,INDIRECT(ADDRESS(AO$6-1+CHOOSE($D$4,'Equipment Schedules'!$D$678,'Equipment Schedules'!$D$679,'Equipment Schedules'!$D$680,'Equipment Schedules'!$D$681,'Equipment Schedules'!$D$682,'Equipment Schedules'!$D$683,'Equipment Schedules'!$D$684,'Equipment Schedules'!$D$685,'Equipment Schedules'!$D$686),'Calculations - Fugitives'!$A44+1,,,"Equipment Schedules"))),0)</f>
        <v>0</v>
      </c>
      <c r="AP44" s="486">
        <f ca="1">IF($D44="N/A","N/A",'Setup - Facility Details'!$E$68*('Setup - Facility Details'!$H$68+'Setup - Facility Details'!$I$68)*IF(ISERROR(AO44),0,AO44)*$D44)</f>
        <v>0</v>
      </c>
      <c r="AQ44" s="193">
        <f ca="1">IF($A44&gt;0,IF(AQ$6=0,0,INDIRECT(ADDRESS(AQ$6-1+CHOOSE($D$4,'Equipment Schedules'!$D$678,'Equipment Schedules'!$D$679,'Equipment Schedules'!$D$680,'Equipment Schedules'!$D$681,'Equipment Schedules'!$D$682,'Equipment Schedules'!$D$683,'Equipment Schedules'!$D$684,'Equipment Schedules'!$D$685,'Equipment Schedules'!$D$686),'Calculations - Fugitives'!$A44+1,,,"Equipment Schedules"))),0)</f>
        <v>0</v>
      </c>
      <c r="AR44" s="486">
        <f ca="1">IF($D44="N/A","N/A",'Setup - Facility Details'!$E$69*('Setup - Facility Details'!$H$69+'Setup - Facility Details'!$I$69)*IF(ISERROR(AQ44),0,AQ44)*$D44)</f>
        <v>0</v>
      </c>
      <c r="AS44" s="193">
        <f ca="1">IF($A44&gt;0,IF(AS$6=0,0,INDIRECT(ADDRESS(AS$6-1+CHOOSE($D$4,'Equipment Schedules'!$D$678,'Equipment Schedules'!$D$679,'Equipment Schedules'!$D$680,'Equipment Schedules'!$D$681,'Equipment Schedules'!$D$682,'Equipment Schedules'!$D$683,'Equipment Schedules'!$D$684,'Equipment Schedules'!$D$685,'Equipment Schedules'!$D$686),'Calculations - Fugitives'!$A44+1,,,"Equipment Schedules"))),0)</f>
        <v>0</v>
      </c>
      <c r="AT44" s="486">
        <f ca="1">IF($D44="N/A","N/A",'Setup - Facility Details'!$E$70*('Setup - Facility Details'!$H$70+'Setup - Facility Details'!$I$70)*IF(ISERROR(AS44),0,AS44)*$D44)</f>
        <v>0</v>
      </c>
    </row>
    <row r="45" spans="1:46" x14ac:dyDescent="0.3">
      <c r="A45" s="256">
        <f ca="1">IF($C$6=0,26,26)+$A$11</f>
        <v>27</v>
      </c>
      <c r="B45" s="81" t="str">
        <f ca="1">'Translation Table'!H598</f>
        <v>Others</v>
      </c>
      <c r="C45" s="81" t="str">
        <f ca="1">'Translation Table'!H613</f>
        <v>Heavy Liquid</v>
      </c>
      <c r="D45" s="483">
        <f ca="1">IF(OR($C$4=OffshoreOilProduction,$C$4=OffshoreGasProduction,$C$4=OnshoreGasProduction,$C$4=OnshoreOilProduction,$C$4=GasProcessing,$C$4=PetroleumRefining),'EFs - Equipment Leaks'!M40,IF(OR($C$4=GasTransmission,$C$4=GasStorage),'EFs - Equipment Leaks'!M82,IF($C$4=GasDistribution,'EFs - Equipment Leaks'!M124,"Error")))</f>
        <v>2.0711539872755139E-5</v>
      </c>
      <c r="E45" s="483" t="str">
        <f ca="1">IF($C$4=GasDistribution,'EFs - Equipment Leaks'!$M166,"      N/A ")</f>
        <v xml:space="preserve">      N/A </v>
      </c>
      <c r="F45" s="483" t="str">
        <f ca="1">IF($C$4=GasDistribution,'EFs - Equipment Leaks'!$M208,"      N/A ")</f>
        <v xml:space="preserve">      N/A </v>
      </c>
      <c r="G45" s="452">
        <f ca="1">IF($A45&gt;0,IF(G$6=0,0,INDIRECT(ADDRESS(G$6-1+CHOOSE($D$4,'Equipment Schedules'!$D$678,'Equipment Schedules'!$D$679,'Equipment Schedules'!$D$680,'Equipment Schedules'!$D$681,'Equipment Schedules'!$D$682,'Equipment Schedules'!$D$683,'Equipment Schedules'!$D$684,'Equipment Schedules'!$D$685,'Equipment Schedules'!$D$686),'Calculations - Fugitives'!$A45+1,,,"Equipment Schedules"))),0)</f>
        <v>0</v>
      </c>
      <c r="H45" s="484">
        <f ca="1">IF($D45="N/A","N/A",'Setup - Facility Details'!$E$51*('Setup - Facility Details'!$H$51+'Setup - Facility Details'!$I$51)*IF(ISERROR(G45),0,G45)*$D45)</f>
        <v>0</v>
      </c>
      <c r="I45" s="452">
        <f ca="1">IF($A45&gt;0,IF(I$6=0,0,INDIRECT(ADDRESS(I$6-1+CHOOSE($D$4,'Equipment Schedules'!$D$678,'Equipment Schedules'!$D$679,'Equipment Schedules'!$D$680,'Equipment Schedules'!$D$681,'Equipment Schedules'!$D$682,'Equipment Schedules'!$D$683,'Equipment Schedules'!$D$684,'Equipment Schedules'!$D$685,'Equipment Schedules'!$D$686),'Calculations - Fugitives'!$A45+1,,,"Equipment Schedules"))),0)</f>
        <v>0</v>
      </c>
      <c r="J45" s="484">
        <f ca="1">IF($D45="N/A","N/A",'Setup - Facility Details'!$E$52*('Setup - Facility Details'!$H$52+'Setup - Facility Details'!$I$52)*IF(ISERROR(I45),0,I45)*$D45)</f>
        <v>0</v>
      </c>
      <c r="K45" s="452">
        <f ca="1">IF($A45&gt;0,IF(K$6=0,0,INDIRECT(ADDRESS(K$6-1+CHOOSE($D$4,'Equipment Schedules'!$D$678,'Equipment Schedules'!$D$679,'Equipment Schedules'!$D$680,'Equipment Schedules'!$D$681,'Equipment Schedules'!$D$682,'Equipment Schedules'!$D$683,'Equipment Schedules'!$D$684,'Equipment Schedules'!$D$685,'Equipment Schedules'!$D$686),'Calculations - Fugitives'!$A45+1,,,"Equipment Schedules"))),0)</f>
        <v>0</v>
      </c>
      <c r="L45" s="484">
        <f ca="1">IF($D45="N/A","N/A",'Setup - Facility Details'!$E$53*('Setup - Facility Details'!$H$53+'Setup - Facility Details'!$I$53)*IF(ISERROR(K45),0,K45)*$D45)</f>
        <v>0</v>
      </c>
      <c r="M45" s="452">
        <f ca="1">IF($A45&gt;0,IF(M$6=0,0,INDIRECT(ADDRESS(M$6-1+CHOOSE($D$4,'Equipment Schedules'!$D$678,'Equipment Schedules'!$D$679,'Equipment Schedules'!$D$680,'Equipment Schedules'!$D$681,'Equipment Schedules'!$D$682,'Equipment Schedules'!$D$683,'Equipment Schedules'!$D$684,'Equipment Schedules'!$D$685,'Equipment Schedules'!$D$686),'Calculations - Fugitives'!$A45+1,,,"Equipment Schedules"))),0)</f>
        <v>0</v>
      </c>
      <c r="N45" s="484">
        <f ca="1">IF($D45="N/A","N/A",'Setup - Facility Details'!$E$54*('Setup - Facility Details'!$H$54+'Setup - Facility Details'!$I$54)*IF(ISERROR(M45),0,M45)*$D45)</f>
        <v>0</v>
      </c>
      <c r="O45" s="452">
        <f ca="1">IF($A45&gt;0,IF(O$6=0,0,INDIRECT(ADDRESS(O$6-1+CHOOSE($D$4,'Equipment Schedules'!$D$678,'Equipment Schedules'!$D$679,'Equipment Schedules'!$D$680,'Equipment Schedules'!$D$681,'Equipment Schedules'!$D$682,'Equipment Schedules'!$D$683,'Equipment Schedules'!$D$684,'Equipment Schedules'!$D$685,'Equipment Schedules'!$D$686),'Calculations - Fugitives'!$A45+1,,,"Equipment Schedules"))),0)</f>
        <v>0</v>
      </c>
      <c r="P45" s="484">
        <f ca="1">IF($D45="N/A","N/A",'Setup - Facility Details'!$E$55*('Setup - Facility Details'!$H$55+'Setup - Facility Details'!$I$55)*IF(ISERROR(O45),0,O45)*$D45)</f>
        <v>0</v>
      </c>
      <c r="Q45" s="452">
        <f ca="1">IF($A45&gt;0,IF(Q$6=0,0,INDIRECT(ADDRESS(Q$6-1+CHOOSE($D$4,'Equipment Schedules'!$D$678,'Equipment Schedules'!$D$679,'Equipment Schedules'!$D$680,'Equipment Schedules'!$D$681,'Equipment Schedules'!$D$682,'Equipment Schedules'!$D$683,'Equipment Schedules'!$D$684,'Equipment Schedules'!$D$685,'Equipment Schedules'!$D$686),'Calculations - Fugitives'!$A45+1,,,"Equipment Schedules"))),0)</f>
        <v>0</v>
      </c>
      <c r="R45" s="484">
        <f ca="1">IF($D45="N/A","N/A",'Setup - Facility Details'!$E$56*('Setup - Facility Details'!$H$56+'Setup - Facility Details'!$I$56)*IF(ISERROR(Q45),0,Q45)*$D45)</f>
        <v>0</v>
      </c>
      <c r="S45" s="452">
        <f ca="1">IF($A45&gt;0,IF(S$6=0,0,INDIRECT(ADDRESS(S$6-1+CHOOSE($D$4,'Equipment Schedules'!$D$678,'Equipment Schedules'!$D$679,'Equipment Schedules'!$D$680,'Equipment Schedules'!$D$681,'Equipment Schedules'!$D$682,'Equipment Schedules'!$D$683,'Equipment Schedules'!$D$684,'Equipment Schedules'!$D$685,'Equipment Schedules'!$D$686),'Calculations - Fugitives'!$A45+1,,,"Equipment Schedules"))),0)</f>
        <v>0</v>
      </c>
      <c r="T45" s="484">
        <f ca="1">IF($D45="N/A","N/A",'Setup - Facility Details'!$E$57*('Setup - Facility Details'!$H$57+'Setup - Facility Details'!$I$57)*IF(ISERROR(S45),0,S45)*$D45)</f>
        <v>0</v>
      </c>
      <c r="U45" s="452">
        <f ca="1">IF($A45&gt;0,IF(U$6=0,0,INDIRECT(ADDRESS(U$6-1+CHOOSE($D$4,'Equipment Schedules'!$D$678,'Equipment Schedules'!$D$679,'Equipment Schedules'!$D$680,'Equipment Schedules'!$D$681,'Equipment Schedules'!$D$682,'Equipment Schedules'!$D$683,'Equipment Schedules'!$D$684,'Equipment Schedules'!$D$685,'Equipment Schedules'!$D$686),'Calculations - Fugitives'!$A45+1,,,"Equipment Schedules"))),0)</f>
        <v>0</v>
      </c>
      <c r="V45" s="484">
        <f ca="1">IF($D45="N/A","N/A",'Setup - Facility Details'!$E$58*('Setup - Facility Details'!$H$58+'Setup - Facility Details'!$I$58)*IF(ISERROR(U45),0,U45)*$D45)</f>
        <v>0</v>
      </c>
      <c r="W45" s="452">
        <f ca="1">IF($A45&gt;0,IF(W$6=0,0,INDIRECT(ADDRESS(W$6-1+CHOOSE($D$4,'Equipment Schedules'!$D$678,'Equipment Schedules'!$D$679,'Equipment Schedules'!$D$680,'Equipment Schedules'!$D$681,'Equipment Schedules'!$D$682,'Equipment Schedules'!$D$683,'Equipment Schedules'!$D$684,'Equipment Schedules'!$D$685,'Equipment Schedules'!$D$686),'Calculations - Fugitives'!$A45+1,,,"Equipment Schedules"))),0)</f>
        <v>0</v>
      </c>
      <c r="X45" s="484">
        <f ca="1">IF($D45="N/A","N/A",'Setup - Facility Details'!$E$59*('Setup - Facility Details'!$H$59+'Setup - Facility Details'!$I$59)*IF(ISERROR(W45),0,W45)*$D45)</f>
        <v>0</v>
      </c>
      <c r="Y45" s="452">
        <f ca="1">IF($A45&gt;0,IF(Y$6=0,0,INDIRECT(ADDRESS(Y$6-1+CHOOSE($D$4,'Equipment Schedules'!$D$678,'Equipment Schedules'!$D$679,'Equipment Schedules'!$D$680,'Equipment Schedules'!$D$681,'Equipment Schedules'!$D$682,'Equipment Schedules'!$D$683,'Equipment Schedules'!$D$684,'Equipment Schedules'!$D$685,'Equipment Schedules'!$D$686),'Calculations - Fugitives'!$A45+1,,,"Equipment Schedules"))),0)</f>
        <v>0</v>
      </c>
      <c r="Z45" s="484">
        <f ca="1">IF($D45="N/A","N/A",'Setup - Facility Details'!$E$60*('Setup - Facility Details'!$H$60+'Setup - Facility Details'!$I$60)*IF(ISERROR(Y45),0,Y45)*$D45)</f>
        <v>0</v>
      </c>
      <c r="AA45" s="452">
        <f ca="1">IF($A45&gt;0,IF(AA$6=0,0,INDIRECT(ADDRESS(AA$6-1+CHOOSE($D$4,'Equipment Schedules'!$D$678,'Equipment Schedules'!$D$679,'Equipment Schedules'!$D$680,'Equipment Schedules'!$D$681,'Equipment Schedules'!$D$682,'Equipment Schedules'!$D$683,'Equipment Schedules'!$D$684,'Equipment Schedules'!$D$685,'Equipment Schedules'!$D$686),'Calculations - Fugitives'!$A45+1,,,"Equipment Schedules"))),0)</f>
        <v>0</v>
      </c>
      <c r="AB45" s="484">
        <f ca="1">IF($D45="N/A","N/A",'Setup - Facility Details'!$E$61*('Setup - Facility Details'!$H$61+'Setup - Facility Details'!$I$61)*IF(ISERROR(AA45),0,AA45)*$D45)</f>
        <v>0</v>
      </c>
      <c r="AC45" s="452">
        <f ca="1">IF($A45&gt;0,IF(AC$6=0,0,INDIRECT(ADDRESS(AC$6-1+CHOOSE($D$4,'Equipment Schedules'!$D$678,'Equipment Schedules'!$D$679,'Equipment Schedules'!$D$680,'Equipment Schedules'!$D$681,'Equipment Schedules'!$D$682,'Equipment Schedules'!$D$683,'Equipment Schedules'!$D$684,'Equipment Schedules'!$D$685,'Equipment Schedules'!$D$686),'Calculations - Fugitives'!$A45+1,,,"Equipment Schedules"))),0)</f>
        <v>0</v>
      </c>
      <c r="AD45" s="484">
        <f ca="1">IF($D45="N/A","N/A",'Setup - Facility Details'!$E$62*('Setup - Facility Details'!$H$62+'Setup - Facility Details'!$I$62)*IF(ISERROR(AC45),0,AC45)*$D45)</f>
        <v>0</v>
      </c>
      <c r="AE45" s="452">
        <f ca="1">IF($A45&gt;0,IF(AE$6=0,0,INDIRECT(ADDRESS(AE$6-1+CHOOSE($D$4,'Equipment Schedules'!$D$678,'Equipment Schedules'!$D$679,'Equipment Schedules'!$D$680,'Equipment Schedules'!$D$681,'Equipment Schedules'!$D$682,'Equipment Schedules'!$D$683,'Equipment Schedules'!$D$684,'Equipment Schedules'!$D$685,'Equipment Schedules'!$D$686),'Calculations - Fugitives'!$A45+1,,,"Equipment Schedules"))),0)</f>
        <v>0</v>
      </c>
      <c r="AF45" s="484">
        <f ca="1">IF($D45="N/A","N/A",'Setup - Facility Details'!$E$63*('Setup - Facility Details'!$H$63+'Setup - Facility Details'!$I$63)*IF(ISERROR(AE45),0,AE45)*$D45)</f>
        <v>0</v>
      </c>
      <c r="AG45" s="452">
        <f ca="1">IF($A45&gt;0,IF(AG$6=0,0,INDIRECT(ADDRESS(AG$6-1+CHOOSE($D$4,'Equipment Schedules'!$D$678,'Equipment Schedules'!$D$679,'Equipment Schedules'!$D$680,'Equipment Schedules'!$D$681,'Equipment Schedules'!$D$682,'Equipment Schedules'!$D$683,'Equipment Schedules'!$D$684,'Equipment Schedules'!$D$685,'Equipment Schedules'!$D$686),'Calculations - Fugitives'!$A45+1,,,"Equipment Schedules"))),0)</f>
        <v>0</v>
      </c>
      <c r="AH45" s="484">
        <f ca="1">IF($D45="N/A","N/A",'Setup - Facility Details'!$E$64*('Setup - Facility Details'!$H$64+'Setup - Facility Details'!$I$64)*IF(ISERROR(AG45),0,AG45)*$D45)</f>
        <v>0</v>
      </c>
      <c r="AI45" s="452">
        <f ca="1">IF($A45&gt;0,IF(AI$6=0,0,INDIRECT(ADDRESS(AI$6-1+CHOOSE($D$4,'Equipment Schedules'!$D$678,'Equipment Schedules'!$D$679,'Equipment Schedules'!$D$680,'Equipment Schedules'!$D$681,'Equipment Schedules'!$D$682,'Equipment Schedules'!$D$683,'Equipment Schedules'!$D$684,'Equipment Schedules'!$D$685,'Equipment Schedules'!$D$686),'Calculations - Fugitives'!$A45+1,,,"Equipment Schedules"))),0)</f>
        <v>0</v>
      </c>
      <c r="AJ45" s="484">
        <f ca="1">IF($D45="N/A","N/A",'Setup - Facility Details'!$E$65*('Setup - Facility Details'!$H$65+'Setup - Facility Details'!$I$65)*IF(ISERROR(AI45),0,AI45)*$D45)</f>
        <v>0</v>
      </c>
      <c r="AK45" s="452">
        <f ca="1">IF($A45&gt;0,IF(AK$6=0,0,INDIRECT(ADDRESS(AK$6-1+CHOOSE($D$4,'Equipment Schedules'!$D$678,'Equipment Schedules'!$D$679,'Equipment Schedules'!$D$680,'Equipment Schedules'!$D$681,'Equipment Schedules'!$D$682,'Equipment Schedules'!$D$683,'Equipment Schedules'!$D$684,'Equipment Schedules'!$D$685,'Equipment Schedules'!$D$686),'Calculations - Fugitives'!$A45+1,,,"Equipment Schedules"))),0)</f>
        <v>0</v>
      </c>
      <c r="AL45" s="484">
        <f ca="1">IF($D45="N/A","N/A",'Setup - Facility Details'!$E$66*('Setup - Facility Details'!$H$66+'Setup - Facility Details'!$I$66)*IF(ISERROR(AK45),0,AK45)*$D45)</f>
        <v>0</v>
      </c>
      <c r="AM45" s="452">
        <f ca="1">IF($A45&gt;0,IF(AM$6=0,0,INDIRECT(ADDRESS(AM$6-1+CHOOSE($D$4,'Equipment Schedules'!$D$678,'Equipment Schedules'!$D$679,'Equipment Schedules'!$D$680,'Equipment Schedules'!$D$681,'Equipment Schedules'!$D$682,'Equipment Schedules'!$D$683,'Equipment Schedules'!$D$684,'Equipment Schedules'!$D$685,'Equipment Schedules'!$D$686),'Calculations - Fugitives'!$A45+1,,,"Equipment Schedules"))),0)</f>
        <v>0</v>
      </c>
      <c r="AN45" s="484">
        <f ca="1">IF($D45="N/A","N/A",'Setup - Facility Details'!$E$67*('Setup - Facility Details'!$H$67+'Setup - Facility Details'!$I$67)*IF(ISERROR(AM45),0,AM45)*$D45)</f>
        <v>0</v>
      </c>
      <c r="AO45" s="452">
        <f ca="1">IF($A45&gt;0,IF(AO$6=0,0,INDIRECT(ADDRESS(AO$6-1+CHOOSE($D$4,'Equipment Schedules'!$D$678,'Equipment Schedules'!$D$679,'Equipment Schedules'!$D$680,'Equipment Schedules'!$D$681,'Equipment Schedules'!$D$682,'Equipment Schedules'!$D$683,'Equipment Schedules'!$D$684,'Equipment Schedules'!$D$685,'Equipment Schedules'!$D$686),'Calculations - Fugitives'!$A45+1,,,"Equipment Schedules"))),0)</f>
        <v>0</v>
      </c>
      <c r="AP45" s="484">
        <f ca="1">IF($D45="N/A","N/A",'Setup - Facility Details'!$E$68*('Setup - Facility Details'!$H$68+'Setup - Facility Details'!$I$68)*IF(ISERROR(AO45),0,AO45)*$D45)</f>
        <v>0</v>
      </c>
      <c r="AQ45" s="452">
        <f ca="1">IF($A45&gt;0,IF(AQ$6=0,0,INDIRECT(ADDRESS(AQ$6-1+CHOOSE($D$4,'Equipment Schedules'!$D$678,'Equipment Schedules'!$D$679,'Equipment Schedules'!$D$680,'Equipment Schedules'!$D$681,'Equipment Schedules'!$D$682,'Equipment Schedules'!$D$683,'Equipment Schedules'!$D$684,'Equipment Schedules'!$D$685,'Equipment Schedules'!$D$686),'Calculations - Fugitives'!$A45+1,,,"Equipment Schedules"))),0)</f>
        <v>0</v>
      </c>
      <c r="AR45" s="484">
        <f ca="1">IF($D45="N/A","N/A",'Setup - Facility Details'!$E$69*('Setup - Facility Details'!$H$69+'Setup - Facility Details'!$I$69)*IF(ISERROR(AQ45),0,AQ45)*$D45)</f>
        <v>0</v>
      </c>
      <c r="AS45" s="452">
        <f ca="1">IF($A45&gt;0,IF(AS$6=0,0,INDIRECT(ADDRESS(AS$6-1+CHOOSE($D$4,'Equipment Schedules'!$D$678,'Equipment Schedules'!$D$679,'Equipment Schedules'!$D$680,'Equipment Schedules'!$D$681,'Equipment Schedules'!$D$682,'Equipment Schedules'!$D$683,'Equipment Schedules'!$D$684,'Equipment Schedules'!$D$685,'Equipment Schedules'!$D$686),'Calculations - Fugitives'!$A45+1,,,"Equipment Schedules"))),0)</f>
        <v>0</v>
      </c>
      <c r="AT45" s="484">
        <f ca="1">IF($D45="N/A","N/A",'Setup - Facility Details'!$E$70*('Setup - Facility Details'!$H$70+'Setup - Facility Details'!$I$70)*IF(ISERROR(AS45),0,AS45)*$D45)</f>
        <v>0</v>
      </c>
    </row>
    <row r="46" spans="1:46" x14ac:dyDescent="0.3">
      <c r="B46" s="1066" t="str">
        <f ca="1">'Translation Table'!H599</f>
        <v>Equipment Leaks (Contributions From Operating Periods)</v>
      </c>
      <c r="C46" s="1067"/>
      <c r="D46" s="1067"/>
      <c r="E46" s="1067"/>
      <c r="F46" s="1068"/>
      <c r="G46" s="1015">
        <f ca="1">(SUM(H$13:H$19)+SUM(H$29:H$45))*'Setup - Facility Details'!$E51*'Setup - Facility Details'!$H51</f>
        <v>0</v>
      </c>
      <c r="H46" s="1016"/>
      <c r="I46" s="1015">
        <f ca="1">(SUM(J$13:J$19)+SUM(J$29:J$45))*'Setup - Facility Details'!$E52*'Setup - Facility Details'!$H52</f>
        <v>0</v>
      </c>
      <c r="J46" s="1016"/>
      <c r="K46" s="1015">
        <f ca="1">(SUM(L$13:L$19)+SUM(L$29:L$45))*'Setup - Facility Details'!$E53*'Setup - Facility Details'!$H53</f>
        <v>0</v>
      </c>
      <c r="L46" s="1016"/>
      <c r="M46" s="1015">
        <f ca="1">(SUM(N$13:N$19)+SUM(N$29:N$45))*'Setup - Facility Details'!$E54*'Setup - Facility Details'!$H54</f>
        <v>0</v>
      </c>
      <c r="N46" s="1016"/>
      <c r="O46" s="1015">
        <f ca="1">(SUM(P$13:P$19)+SUM(P$29:P$45))*'Setup - Facility Details'!$E55*'Setup - Facility Details'!$H55</f>
        <v>0</v>
      </c>
      <c r="P46" s="1016"/>
      <c r="Q46" s="1015">
        <f ca="1">(SUM(R$13:R$19)+SUM(R$29:R$45))*'Setup - Facility Details'!$E56*'Setup - Facility Details'!$H56</f>
        <v>0</v>
      </c>
      <c r="R46" s="1016"/>
      <c r="S46" s="1015">
        <f ca="1">(SUM(T$13:T$19)+SUM(T$29:T$45))*'Setup - Facility Details'!$E57*'Setup - Facility Details'!$H57</f>
        <v>0</v>
      </c>
      <c r="T46" s="1016"/>
      <c r="U46" s="1015">
        <f ca="1">(SUM(V$13:V$19)+SUM(V$29:V$45))*'Setup - Facility Details'!$E58*'Setup - Facility Details'!$H58</f>
        <v>0</v>
      </c>
      <c r="V46" s="1016"/>
      <c r="W46" s="1015">
        <f ca="1">(SUM(X$13:X$19)+SUM(X$29:X$45))*'Setup - Facility Details'!$E59*'Setup - Facility Details'!$H59</f>
        <v>0</v>
      </c>
      <c r="X46" s="1016"/>
      <c r="Y46" s="1015">
        <f ca="1">(SUM(Z$13:Z$19)+SUM(Z$29:Z$45))*'Setup - Facility Details'!$E60*'Setup - Facility Details'!$H60</f>
        <v>0</v>
      </c>
      <c r="Z46" s="1016"/>
      <c r="AA46" s="1015">
        <f ca="1">(SUM(AB$13:AB$19)+SUM(AB$29:AB$45))*'Setup - Facility Details'!$E61*'Setup - Facility Details'!$H61</f>
        <v>0</v>
      </c>
      <c r="AB46" s="1016"/>
      <c r="AC46" s="1015">
        <f ca="1">(SUM(AD$13:AD$19)+SUM(AD$29:AD$45))*'Setup - Facility Details'!$E62*'Setup - Facility Details'!$H62</f>
        <v>0</v>
      </c>
      <c r="AD46" s="1016"/>
      <c r="AE46" s="1015">
        <f ca="1">(SUM(AF$13:AF$19)+SUM(AF$29:AF$45))*'Setup - Facility Details'!$E63*'Setup - Facility Details'!$H63</f>
        <v>0</v>
      </c>
      <c r="AF46" s="1016"/>
      <c r="AG46" s="1015">
        <f ca="1">(SUM(AH$13:AH$19)+SUM(AH$29:AH$45))*'Setup - Facility Details'!$E64*'Setup - Facility Details'!$H64</f>
        <v>0</v>
      </c>
      <c r="AH46" s="1016"/>
      <c r="AI46" s="1015">
        <f ca="1">(SUM(AJ$13:AJ$19)+SUM(AJ$29:AJ$45))*'Setup - Facility Details'!$E65*'Setup - Facility Details'!$H65</f>
        <v>0</v>
      </c>
      <c r="AJ46" s="1016"/>
      <c r="AK46" s="1015">
        <f ca="1">(SUM(AL$13:AL$19)+SUM(AL$29:AL$45))*'Setup - Facility Details'!$E66*'Setup - Facility Details'!$H66</f>
        <v>0</v>
      </c>
      <c r="AL46" s="1016"/>
      <c r="AM46" s="1015">
        <f ca="1">(SUM(AN$13:AN$19)+SUM(AN$29:AN$45))*'Setup - Facility Details'!$E67*'Setup - Facility Details'!$H67</f>
        <v>0</v>
      </c>
      <c r="AN46" s="1016"/>
      <c r="AO46" s="1015">
        <f ca="1">(SUM(AP$13:AP$19)+SUM(AP$29:AP$45))*'Setup - Facility Details'!$E68*'Setup - Facility Details'!$H68</f>
        <v>0</v>
      </c>
      <c r="AP46" s="1016"/>
      <c r="AQ46" s="1015">
        <f ca="1">(SUM(AR$13:AR$19)+SUM(AR$29:AR$45))*'Setup - Facility Details'!$E69*'Setup - Facility Details'!$H69</f>
        <v>0</v>
      </c>
      <c r="AR46" s="1016"/>
      <c r="AS46" s="1015">
        <f ca="1">(SUM(AT$13:AT$19)+SUM(AT$29:AT$45))*'Setup - Facility Details'!$E70*'Setup - Facility Details'!$H70</f>
        <v>0</v>
      </c>
      <c r="AT46" s="1016"/>
    </row>
    <row r="47" spans="1:46" x14ac:dyDescent="0.3">
      <c r="B47" s="1069" t="str">
        <f ca="1">'Translation Table'!H600</f>
        <v>Compressor Seals (Contributions From Operating Periods)</v>
      </c>
      <c r="C47" s="1070"/>
      <c r="D47" s="1070"/>
      <c r="E47" s="1070"/>
      <c r="F47" s="1071"/>
      <c r="G47" s="1013">
        <f ca="1">SUM(H20,H23,H26)*'Setup - Facility Details'!$E51*'Setup - Facility Details'!$H51</f>
        <v>0</v>
      </c>
      <c r="H47" s="1014"/>
      <c r="I47" s="1013">
        <f ca="1">SUM(J20,J23,J26)*'Setup - Facility Details'!$E52*'Setup - Facility Details'!$H52</f>
        <v>0</v>
      </c>
      <c r="J47" s="1014"/>
      <c r="K47" s="1013">
        <f ca="1">SUM(L20,L23,L26)*'Setup - Facility Details'!$E53*'Setup - Facility Details'!$H53</f>
        <v>0</v>
      </c>
      <c r="L47" s="1014"/>
      <c r="M47" s="1013">
        <f ca="1">SUM(N20,N23,N26)*'Setup - Facility Details'!$E54*'Setup - Facility Details'!$H54</f>
        <v>0</v>
      </c>
      <c r="N47" s="1014"/>
      <c r="O47" s="1013">
        <f ca="1">SUM(P20,P23,P26)*'Setup - Facility Details'!$E55*'Setup - Facility Details'!$H55</f>
        <v>0</v>
      </c>
      <c r="P47" s="1014"/>
      <c r="Q47" s="1013">
        <f ca="1">SUM(R20,R23,R26)*'Setup - Facility Details'!$E56*'Setup - Facility Details'!$H56</f>
        <v>0</v>
      </c>
      <c r="R47" s="1014"/>
      <c r="S47" s="1013">
        <f ca="1">SUM(T20,T23,T26)*'Setup - Facility Details'!$E57*'Setup - Facility Details'!$H57</f>
        <v>0</v>
      </c>
      <c r="T47" s="1014"/>
      <c r="U47" s="1013">
        <f ca="1">SUM(V20,V23,V26)*'Setup - Facility Details'!$E58*'Setup - Facility Details'!$H58</f>
        <v>0</v>
      </c>
      <c r="V47" s="1014"/>
      <c r="W47" s="1013">
        <f ca="1">SUM(X20,X23,X26)*'Setup - Facility Details'!$E59*'Setup - Facility Details'!$H59</f>
        <v>0</v>
      </c>
      <c r="X47" s="1014"/>
      <c r="Y47" s="1013">
        <f ca="1">SUM(Z20,Z23,Z26)*'Setup - Facility Details'!$E60*'Setup - Facility Details'!$H60</f>
        <v>0</v>
      </c>
      <c r="Z47" s="1014"/>
      <c r="AA47" s="1013">
        <f ca="1">SUM(AB20,AB23,AB26)*'Setup - Facility Details'!$E61*'Setup - Facility Details'!$H61</f>
        <v>0</v>
      </c>
      <c r="AB47" s="1014"/>
      <c r="AC47" s="1013">
        <f ca="1">SUM(AD20,AD23,AD26)*'Setup - Facility Details'!$E62*'Setup - Facility Details'!$H62</f>
        <v>0</v>
      </c>
      <c r="AD47" s="1014"/>
      <c r="AE47" s="1013">
        <f ca="1">SUM(AF20,AF23,AF26)*'Setup - Facility Details'!$E63*'Setup - Facility Details'!$H63</f>
        <v>0</v>
      </c>
      <c r="AF47" s="1014"/>
      <c r="AG47" s="1013">
        <f ca="1">SUM(AH20,AH23,AH26)*'Setup - Facility Details'!$E64*'Setup - Facility Details'!$H64</f>
        <v>0</v>
      </c>
      <c r="AH47" s="1014"/>
      <c r="AI47" s="1013">
        <f ca="1">SUM(AJ20,AJ23,AJ26)*'Setup - Facility Details'!$E65*'Setup - Facility Details'!$H65</f>
        <v>0</v>
      </c>
      <c r="AJ47" s="1014"/>
      <c r="AK47" s="1013">
        <f ca="1">SUM(AL20,AL23,AL26)*'Setup - Facility Details'!$E66*'Setup - Facility Details'!$H66</f>
        <v>0</v>
      </c>
      <c r="AL47" s="1014"/>
      <c r="AM47" s="1013">
        <f ca="1">SUM(AN20,AN23,AN26)*'Setup - Facility Details'!$E67*'Setup - Facility Details'!$H67</f>
        <v>0</v>
      </c>
      <c r="AN47" s="1014"/>
      <c r="AO47" s="1013">
        <f ca="1">SUM(AP20,AP23,AP26)*'Setup - Facility Details'!$E68*'Setup - Facility Details'!$H68</f>
        <v>0</v>
      </c>
      <c r="AP47" s="1014"/>
      <c r="AQ47" s="1013">
        <f ca="1">SUM(AR20,AR23,AR26)*'Setup - Facility Details'!$E69*'Setup - Facility Details'!$H69</f>
        <v>0</v>
      </c>
      <c r="AR47" s="1014"/>
      <c r="AS47" s="1013">
        <f ca="1">SUM(AT20,AT23,AT26)*'Setup - Facility Details'!$E70*'Setup - Facility Details'!$H70</f>
        <v>0</v>
      </c>
      <c r="AT47" s="1014"/>
    </row>
    <row r="48" spans="1:46" x14ac:dyDescent="0.3">
      <c r="B48" s="1066" t="str">
        <f ca="1">'Translation Table'!H601</f>
        <v>Equipment Leaks (Contributions From Standby &amp; Pressurized Periods)</v>
      </c>
      <c r="C48" s="1067"/>
      <c r="D48" s="1067"/>
      <c r="E48" s="1067"/>
      <c r="F48" s="1068"/>
      <c r="G48" s="1015">
        <f ca="1">(SUM(H$13:H$19)+SUM(H$29:H$45))*'Setup - Facility Details'!$E51*'Setup - Facility Details'!$I51</f>
        <v>0</v>
      </c>
      <c r="H48" s="1016"/>
      <c r="I48" s="1015">
        <f ca="1">(SUM(J$13:J$19)+SUM(J$29:J$45))*'Setup - Facility Details'!$E52*'Setup - Facility Details'!$I52</f>
        <v>0</v>
      </c>
      <c r="J48" s="1016"/>
      <c r="K48" s="1015">
        <f ca="1">(SUM(L$13:L$19)+SUM(L$29:L$45))*'Setup - Facility Details'!$E53*'Setup - Facility Details'!$I53</f>
        <v>0</v>
      </c>
      <c r="L48" s="1016"/>
      <c r="M48" s="1015">
        <f ca="1">(SUM(N$13:N$19)+SUM(N$29:N$45))*'Setup - Facility Details'!$E54*'Setup - Facility Details'!$I54</f>
        <v>0</v>
      </c>
      <c r="N48" s="1016"/>
      <c r="O48" s="1015">
        <f ca="1">(SUM(P$13:P$19)+SUM(P$29:P$45))*'Setup - Facility Details'!$E55*'Setup - Facility Details'!$I55</f>
        <v>0</v>
      </c>
      <c r="P48" s="1016"/>
      <c r="Q48" s="1015">
        <f ca="1">(SUM(R$13:R$19)+SUM(R$29:R$45))*'Setup - Facility Details'!$E56*'Setup - Facility Details'!$I56</f>
        <v>0</v>
      </c>
      <c r="R48" s="1016"/>
      <c r="S48" s="1015">
        <f ca="1">(SUM(T$13:T$19)+SUM(T$29:T$45))*'Setup - Facility Details'!$E57*'Setup - Facility Details'!$I57</f>
        <v>0</v>
      </c>
      <c r="T48" s="1016"/>
      <c r="U48" s="1015">
        <f ca="1">(SUM(V$13:V$19)+SUM(V$29:V$45))*'Setup - Facility Details'!$E58*'Setup - Facility Details'!$I58</f>
        <v>0</v>
      </c>
      <c r="V48" s="1016"/>
      <c r="W48" s="1015">
        <f ca="1">(SUM(X$13:X$19)+SUM(X$29:X$45))*'Setup - Facility Details'!$E59*'Setup - Facility Details'!$I59</f>
        <v>0</v>
      </c>
      <c r="X48" s="1016"/>
      <c r="Y48" s="1015">
        <f ca="1">(SUM(Z$13:Z$19)+SUM(Z$29:Z$45))*'Setup - Facility Details'!$E60*'Setup - Facility Details'!$I60</f>
        <v>0</v>
      </c>
      <c r="Z48" s="1016"/>
      <c r="AA48" s="1015">
        <f ca="1">(SUM(AB$13:AB$19)+SUM(AB$29:AB$45))*'Setup - Facility Details'!$E61*'Setup - Facility Details'!$I61</f>
        <v>0</v>
      </c>
      <c r="AB48" s="1016"/>
      <c r="AC48" s="1015">
        <f ca="1">(SUM(AD$13:AD$19)+SUM(AD$29:AD$45))*'Setup - Facility Details'!$E62*'Setup - Facility Details'!$I62</f>
        <v>0</v>
      </c>
      <c r="AD48" s="1016"/>
      <c r="AE48" s="1015">
        <f ca="1">(SUM(AF$13:AF$19)+SUM(AF$29:AF$45))*'Setup - Facility Details'!$E63*'Setup - Facility Details'!$I63</f>
        <v>0</v>
      </c>
      <c r="AF48" s="1016"/>
      <c r="AG48" s="1015">
        <f ca="1">(SUM(AH$13:AH$19)+SUM(AH$29:AH$45))*'Setup - Facility Details'!$E64*'Setup - Facility Details'!$I64</f>
        <v>0</v>
      </c>
      <c r="AH48" s="1016"/>
      <c r="AI48" s="1015">
        <f ca="1">(SUM(AJ$13:AJ$19)+SUM(AJ$29:AJ$45))*'Setup - Facility Details'!$E65*'Setup - Facility Details'!$I65</f>
        <v>0</v>
      </c>
      <c r="AJ48" s="1016"/>
      <c r="AK48" s="1015">
        <f ca="1">(SUM(AL$13:AL$19)+SUM(AL$29:AL$45))*'Setup - Facility Details'!$E66*'Setup - Facility Details'!$I66</f>
        <v>0</v>
      </c>
      <c r="AL48" s="1016"/>
      <c r="AM48" s="1015">
        <f ca="1">(SUM(AN$13:AN$19)+SUM(AN$29:AN$45))*'Setup - Facility Details'!$E67*'Setup - Facility Details'!$I67</f>
        <v>0</v>
      </c>
      <c r="AN48" s="1016"/>
      <c r="AO48" s="1015">
        <f ca="1">(SUM(AP$13:AP$19)+SUM(AP$29:AP$45))*'Setup - Facility Details'!$E68*'Setup - Facility Details'!$I68</f>
        <v>0</v>
      </c>
      <c r="AP48" s="1016"/>
      <c r="AQ48" s="1015">
        <f ca="1">(SUM(AR$13:AR$19)+SUM(AR$29:AR$45))*'Setup - Facility Details'!$E69*'Setup - Facility Details'!$I69</f>
        <v>0</v>
      </c>
      <c r="AR48" s="1016"/>
      <c r="AS48" s="1015">
        <f ca="1">(SUM(AT$13:AT$19)+SUM(AT$29:AT$45))*'Setup - Facility Details'!$E70*'Setup - Facility Details'!$I70</f>
        <v>0</v>
      </c>
      <c r="AT48" s="1016"/>
    </row>
    <row r="49" spans="2:46" x14ac:dyDescent="0.3">
      <c r="B49" s="1069" t="str">
        <f ca="1">'Translation Table'!H602</f>
        <v>Compressor Seals (Contributions From Standby &amp; Pressurized Periods)</v>
      </c>
      <c r="C49" s="1070"/>
      <c r="D49" s="1070"/>
      <c r="E49" s="1070"/>
      <c r="F49" s="1071"/>
      <c r="G49" s="1013">
        <f ca="1">SUM(H21,H24,H27)*'Setup - Facility Details'!$E51*'Setup - Facility Details'!$I51</f>
        <v>0</v>
      </c>
      <c r="H49" s="1014"/>
      <c r="I49" s="1013">
        <f ca="1">SUM(J21,J24,J27)*'Setup - Facility Details'!$E52*'Setup - Facility Details'!$I52</f>
        <v>0</v>
      </c>
      <c r="J49" s="1014"/>
      <c r="K49" s="1013">
        <f ca="1">SUM(L21,L24,L27)*'Setup - Facility Details'!$E53*'Setup - Facility Details'!$I53</f>
        <v>0</v>
      </c>
      <c r="L49" s="1014"/>
      <c r="M49" s="1013">
        <f ca="1">SUM(N21,N24,N27)*'Setup - Facility Details'!$E54*'Setup - Facility Details'!$I54</f>
        <v>0</v>
      </c>
      <c r="N49" s="1014"/>
      <c r="O49" s="1013">
        <f ca="1">SUM(P21,P24,P27)*'Setup - Facility Details'!$E55*'Setup - Facility Details'!$I55</f>
        <v>0</v>
      </c>
      <c r="P49" s="1014"/>
      <c r="Q49" s="1013">
        <f ca="1">SUM(R21,R24,R27)*'Setup - Facility Details'!$E56*'Setup - Facility Details'!$I56</f>
        <v>0</v>
      </c>
      <c r="R49" s="1014"/>
      <c r="S49" s="1013">
        <f ca="1">SUM(T21,T24,T27)*'Setup - Facility Details'!$E57*'Setup - Facility Details'!$I57</f>
        <v>0</v>
      </c>
      <c r="T49" s="1014"/>
      <c r="U49" s="1013">
        <f ca="1">SUM(V21,V24,V27)*'Setup - Facility Details'!$E58*'Setup - Facility Details'!$I58</f>
        <v>0</v>
      </c>
      <c r="V49" s="1014"/>
      <c r="W49" s="1013">
        <f ca="1">SUM(X21,X24,X27)*'Setup - Facility Details'!$E59*'Setup - Facility Details'!$I59</f>
        <v>0</v>
      </c>
      <c r="X49" s="1014"/>
      <c r="Y49" s="1013">
        <f ca="1">SUM(Z21,Z24,Z27)*'Setup - Facility Details'!$E60*'Setup - Facility Details'!$I60</f>
        <v>0</v>
      </c>
      <c r="Z49" s="1014"/>
      <c r="AA49" s="1013">
        <f ca="1">SUM(AB21,AB24,AB27)*'Setup - Facility Details'!$E61*'Setup - Facility Details'!$I61</f>
        <v>0</v>
      </c>
      <c r="AB49" s="1014"/>
      <c r="AC49" s="1013">
        <f ca="1">SUM(AD21,AD24,AD27)*'Setup - Facility Details'!$E62*'Setup - Facility Details'!$I62</f>
        <v>0</v>
      </c>
      <c r="AD49" s="1014"/>
      <c r="AE49" s="1013">
        <f ca="1">SUM(AF21,AF24,AF27)*'Setup - Facility Details'!$E63*'Setup - Facility Details'!$I63</f>
        <v>0</v>
      </c>
      <c r="AF49" s="1014"/>
      <c r="AG49" s="1013">
        <f ca="1">SUM(AH21,AH24,AH27)*'Setup - Facility Details'!$E64*'Setup - Facility Details'!$I64</f>
        <v>0</v>
      </c>
      <c r="AH49" s="1014"/>
      <c r="AI49" s="1013">
        <f ca="1">SUM(AJ21,AJ24,AJ27)*'Setup - Facility Details'!$E65*'Setup - Facility Details'!$I65</f>
        <v>0</v>
      </c>
      <c r="AJ49" s="1014"/>
      <c r="AK49" s="1013">
        <f ca="1">SUM(AL21,AL24,AL27)*'Setup - Facility Details'!$E66*'Setup - Facility Details'!$I66</f>
        <v>0</v>
      </c>
      <c r="AL49" s="1014"/>
      <c r="AM49" s="1013">
        <f ca="1">SUM(AN21,AN24,AN27)*'Setup - Facility Details'!$E67*'Setup - Facility Details'!$I67</f>
        <v>0</v>
      </c>
      <c r="AN49" s="1014"/>
      <c r="AO49" s="1013">
        <f ca="1">SUM(AP21,AP24,AP27)*'Setup - Facility Details'!$E68*'Setup - Facility Details'!$I68</f>
        <v>0</v>
      </c>
      <c r="AP49" s="1014"/>
      <c r="AQ49" s="1013">
        <f ca="1">SUM(AR21,AR24,AR27)*'Setup - Facility Details'!$E69*'Setup - Facility Details'!$I69</f>
        <v>0</v>
      </c>
      <c r="AR49" s="1014"/>
      <c r="AS49" s="1013">
        <f ca="1">SUM(AT21,AT24,AT27)*'Setup - Facility Details'!$E70*'Setup - Facility Details'!$I70</f>
        <v>0</v>
      </c>
      <c r="AT49" s="1014"/>
    </row>
    <row r="50" spans="2:46" x14ac:dyDescent="0.3">
      <c r="B50" s="1066" t="str">
        <f ca="1">'Translation Table'!H603</f>
        <v>Equipment Leaks (Contributions From Depressurized Periods)</v>
      </c>
      <c r="C50" s="1067"/>
      <c r="D50" s="1067"/>
      <c r="E50" s="1067"/>
      <c r="F50" s="1068"/>
      <c r="G50" s="1015">
        <v>0</v>
      </c>
      <c r="H50" s="1016"/>
      <c r="I50" s="1015">
        <v>0</v>
      </c>
      <c r="J50" s="1016"/>
      <c r="K50" s="1015">
        <v>0</v>
      </c>
      <c r="L50" s="1016"/>
      <c r="M50" s="1015">
        <v>0</v>
      </c>
      <c r="N50" s="1016"/>
      <c r="O50" s="1015">
        <v>0</v>
      </c>
      <c r="P50" s="1016"/>
      <c r="Q50" s="1015">
        <v>0</v>
      </c>
      <c r="R50" s="1016"/>
      <c r="S50" s="1015">
        <v>0</v>
      </c>
      <c r="T50" s="1016"/>
      <c r="U50" s="1015">
        <v>0</v>
      </c>
      <c r="V50" s="1016"/>
      <c r="W50" s="1015">
        <v>0</v>
      </c>
      <c r="X50" s="1016"/>
      <c r="Y50" s="1015">
        <v>0</v>
      </c>
      <c r="Z50" s="1016"/>
      <c r="AA50" s="1015">
        <v>0</v>
      </c>
      <c r="AB50" s="1016"/>
      <c r="AC50" s="1015">
        <v>0</v>
      </c>
      <c r="AD50" s="1016"/>
      <c r="AE50" s="1015">
        <v>0</v>
      </c>
      <c r="AF50" s="1016"/>
      <c r="AG50" s="1015">
        <v>0</v>
      </c>
      <c r="AH50" s="1016"/>
      <c r="AI50" s="1015">
        <v>0</v>
      </c>
      <c r="AJ50" s="1016"/>
      <c r="AK50" s="1015">
        <v>0</v>
      </c>
      <c r="AL50" s="1016"/>
      <c r="AM50" s="1015">
        <v>0</v>
      </c>
      <c r="AN50" s="1016"/>
      <c r="AO50" s="1015">
        <v>0</v>
      </c>
      <c r="AP50" s="1016"/>
      <c r="AQ50" s="1015">
        <v>0</v>
      </c>
      <c r="AR50" s="1016"/>
      <c r="AS50" s="1015">
        <v>0</v>
      </c>
      <c r="AT50" s="1016"/>
    </row>
    <row r="51" spans="2:46" x14ac:dyDescent="0.3">
      <c r="B51" s="1069" t="str">
        <f ca="1">'Translation Table'!H604</f>
        <v>Compressor Seals (Contributions From Depressurized Periods)</v>
      </c>
      <c r="C51" s="1070"/>
      <c r="D51" s="1070"/>
      <c r="E51" s="1070"/>
      <c r="F51" s="1071"/>
      <c r="G51" s="1013">
        <f ca="1">SUM(H22,H25,H28)*'Setup - Facility Details'!$E51*IF(ISNUMBER('Setup - Facility Details'!$J51),'Setup - Facility Details'!$J51,0)</f>
        <v>0</v>
      </c>
      <c r="H51" s="1014"/>
      <c r="I51" s="1013">
        <f ca="1">SUM(J22,J25,J28)*'Setup - Facility Details'!$E52*IF(ISNUMBER('Setup - Facility Details'!$J52),'Setup - Facility Details'!$J52,0)</f>
        <v>0</v>
      </c>
      <c r="J51" s="1014"/>
      <c r="K51" s="1013">
        <f ca="1">SUM(L22,L25,L28)*'Setup - Facility Details'!$E53*IF(ISNUMBER('Setup - Facility Details'!$J53),'Setup - Facility Details'!$J53,0)</f>
        <v>0</v>
      </c>
      <c r="L51" s="1014"/>
      <c r="M51" s="1013">
        <f ca="1">SUM(N22,N25,N28)*'Setup - Facility Details'!$E54*IF(ISNUMBER('Setup - Facility Details'!$J54),'Setup - Facility Details'!$J54,0)</f>
        <v>0</v>
      </c>
      <c r="N51" s="1014"/>
      <c r="O51" s="1013">
        <f ca="1">SUM(P22,P25,P28)*'Setup - Facility Details'!$E55*IF(ISNUMBER('Setup - Facility Details'!$J55),'Setup - Facility Details'!$J55,0)</f>
        <v>0</v>
      </c>
      <c r="P51" s="1014"/>
      <c r="Q51" s="1013">
        <f ca="1">SUM(R22,R25,R28)*'Setup - Facility Details'!$E56*IF(ISNUMBER('Setup - Facility Details'!$J56),'Setup - Facility Details'!$J56,0)</f>
        <v>0</v>
      </c>
      <c r="R51" s="1014"/>
      <c r="S51" s="1013">
        <f ca="1">SUM(T22,T25,T28)*'Setup - Facility Details'!$E57*IF(ISNUMBER('Setup - Facility Details'!$J57),'Setup - Facility Details'!$J57,0)</f>
        <v>0</v>
      </c>
      <c r="T51" s="1014"/>
      <c r="U51" s="1013">
        <f ca="1">SUM(V22,V25,V28)*'Setup - Facility Details'!$E58*IF(ISNUMBER('Setup - Facility Details'!$J58),'Setup - Facility Details'!$J58,0)</f>
        <v>0</v>
      </c>
      <c r="V51" s="1014"/>
      <c r="W51" s="1013">
        <f ca="1">SUM(X22,X25,X28)*'Setup - Facility Details'!$E59*IF(ISNUMBER('Setup - Facility Details'!$J59),'Setup - Facility Details'!$J59,0)</f>
        <v>0</v>
      </c>
      <c r="X51" s="1014"/>
      <c r="Y51" s="1013">
        <f ca="1">SUM(Z22,Z25,Z28)*'Setup - Facility Details'!$E60*IF(ISNUMBER('Setup - Facility Details'!$J60),'Setup - Facility Details'!$J60,0)</f>
        <v>0</v>
      </c>
      <c r="Z51" s="1014"/>
      <c r="AA51" s="1013">
        <f ca="1">SUM(AB22,AB25,AB28)*'Setup - Facility Details'!$E61*IF(ISNUMBER('Setup - Facility Details'!$J61),'Setup - Facility Details'!$J61,0)</f>
        <v>0</v>
      </c>
      <c r="AB51" s="1014"/>
      <c r="AC51" s="1013">
        <f ca="1">SUM(AD22,AD25,AD28)*'Setup - Facility Details'!$E62*IF(ISNUMBER('Setup - Facility Details'!$J62),'Setup - Facility Details'!$J62,0)</f>
        <v>0</v>
      </c>
      <c r="AD51" s="1014"/>
      <c r="AE51" s="1013">
        <f ca="1">SUM(AF22,AF25,AF28)*'Setup - Facility Details'!$E63*IF(ISNUMBER('Setup - Facility Details'!$J63),'Setup - Facility Details'!$J63,0)</f>
        <v>0</v>
      </c>
      <c r="AF51" s="1014"/>
      <c r="AG51" s="1013">
        <f ca="1">SUM(AH22,AH25,AH28)*'Setup - Facility Details'!$E64*IF(ISNUMBER('Setup - Facility Details'!$J64),'Setup - Facility Details'!$J64,0)</f>
        <v>0</v>
      </c>
      <c r="AH51" s="1014"/>
      <c r="AI51" s="1013">
        <f ca="1">SUM(AJ22,AJ25,AJ28)*'Setup - Facility Details'!$E65*IF(ISNUMBER('Setup - Facility Details'!$J65),'Setup - Facility Details'!$J65,0)</f>
        <v>0</v>
      </c>
      <c r="AJ51" s="1014"/>
      <c r="AK51" s="1013">
        <f ca="1">SUM(AL22,AL25,AL28)*'Setup - Facility Details'!$E66*IF(ISNUMBER('Setup - Facility Details'!$J66),'Setup - Facility Details'!$J66,0)</f>
        <v>0</v>
      </c>
      <c r="AL51" s="1014"/>
      <c r="AM51" s="1013">
        <f ca="1">SUM(AN22,AN25,AN28)*'Setup - Facility Details'!$E67*IF(ISNUMBER('Setup - Facility Details'!$J67),'Setup - Facility Details'!$J67,0)</f>
        <v>0</v>
      </c>
      <c r="AN51" s="1014"/>
      <c r="AO51" s="1013">
        <f ca="1">SUM(AP22,AP25,AP28)*'Setup - Facility Details'!$E68*IF(ISNUMBER('Setup - Facility Details'!$J68),'Setup - Facility Details'!$J68,0)</f>
        <v>0</v>
      </c>
      <c r="AP51" s="1014"/>
      <c r="AQ51" s="1013">
        <f ca="1">SUM(AR22,AR25,AR28)*'Setup - Facility Details'!$E69*IF(ISNUMBER('Setup - Facility Details'!$J69),'Setup - Facility Details'!$J69,0)</f>
        <v>0</v>
      </c>
      <c r="AR51" s="1014"/>
      <c r="AS51" s="1013">
        <f ca="1">SUM(AT22,AT25,AT28)*'Setup - Facility Details'!$E70*IF(ISNUMBER('Setup - Facility Details'!$J70),'Setup - Facility Details'!$J70,0)</f>
        <v>0</v>
      </c>
      <c r="AT51" s="1014"/>
    </row>
    <row r="52" spans="2:46" s="1072" customFormat="1" x14ac:dyDescent="0.3"/>
    <row r="53" spans="2:46" x14ac:dyDescent="0.3">
      <c r="B53" s="1062" t="str">
        <f ca="1">'Translation Table'!H605</f>
        <v>Equipment Leaks: Total Emissions (Nm3 CH4/h)</v>
      </c>
      <c r="C53" s="1063"/>
      <c r="D53" s="1063"/>
      <c r="E53" s="1063"/>
      <c r="F53" s="1064"/>
      <c r="G53" s="1013">
        <f ca="1">G46+G48+G50</f>
        <v>0</v>
      </c>
      <c r="H53" s="1014"/>
      <c r="I53" s="1013">
        <f ca="1">I46+I48+I50</f>
        <v>0</v>
      </c>
      <c r="J53" s="1014"/>
      <c r="K53" s="1013">
        <f ca="1">K46+K48+K50</f>
        <v>0</v>
      </c>
      <c r="L53" s="1014"/>
      <c r="M53" s="1013">
        <f ca="1">M46+M48+M50</f>
        <v>0</v>
      </c>
      <c r="N53" s="1014"/>
      <c r="O53" s="1013">
        <f ca="1">O46+O48+O50</f>
        <v>0</v>
      </c>
      <c r="P53" s="1014"/>
      <c r="Q53" s="1013">
        <f ca="1">Q46+Q48+Q50</f>
        <v>0</v>
      </c>
      <c r="R53" s="1014"/>
      <c r="S53" s="1013">
        <f ca="1">S46+S48+S50</f>
        <v>0</v>
      </c>
      <c r="T53" s="1014"/>
      <c r="U53" s="1013">
        <f ca="1">U46+U48+U50</f>
        <v>0</v>
      </c>
      <c r="V53" s="1014"/>
      <c r="W53" s="1013">
        <f ca="1">W46+W48+W50</f>
        <v>0</v>
      </c>
      <c r="X53" s="1014"/>
      <c r="Y53" s="1013">
        <f ca="1">Y46+Y48+Y50</f>
        <v>0</v>
      </c>
      <c r="Z53" s="1014"/>
      <c r="AA53" s="1013">
        <f ca="1">AA46+AA48+AA50</f>
        <v>0</v>
      </c>
      <c r="AB53" s="1014"/>
      <c r="AC53" s="1013">
        <f ca="1">AC46+AC48+AC50</f>
        <v>0</v>
      </c>
      <c r="AD53" s="1014"/>
      <c r="AE53" s="1013">
        <f ca="1">AE46+AE48+AE50</f>
        <v>0</v>
      </c>
      <c r="AF53" s="1014"/>
      <c r="AG53" s="1013">
        <f ca="1">AG46+AG48+AG50</f>
        <v>0</v>
      </c>
      <c r="AH53" s="1014"/>
      <c r="AI53" s="1013">
        <f ca="1">AI46+AI48+AI50</f>
        <v>0</v>
      </c>
      <c r="AJ53" s="1014"/>
      <c r="AK53" s="1013">
        <f ca="1">AK46+AK48+AK50</f>
        <v>0</v>
      </c>
      <c r="AL53" s="1014"/>
      <c r="AM53" s="1013">
        <f ca="1">AM46+AM48+AM50</f>
        <v>0</v>
      </c>
      <c r="AN53" s="1014"/>
      <c r="AO53" s="1013">
        <f ca="1">AO46+AO48+AO50</f>
        <v>0</v>
      </c>
      <c r="AP53" s="1014"/>
      <c r="AQ53" s="1013">
        <f ca="1">AQ46+AQ48+AQ50</f>
        <v>0</v>
      </c>
      <c r="AR53" s="1014"/>
      <c r="AS53" s="1013">
        <f ca="1">AS46+AS48+AS50</f>
        <v>0</v>
      </c>
      <c r="AT53" s="1014"/>
    </row>
    <row r="54" spans="2:46" ht="14.5" x14ac:dyDescent="0.3">
      <c r="B54" s="1026" t="str">
        <f ca="1">'Translation Table'!H606</f>
        <v>Compressor Seals: Total Emissions (Nm3 CH4/h)</v>
      </c>
      <c r="C54" s="1027"/>
      <c r="D54" s="1027"/>
      <c r="E54" s="1027"/>
      <c r="F54" s="1028"/>
      <c r="G54" s="1015">
        <f ca="1">G47+G49+G51</f>
        <v>0</v>
      </c>
      <c r="H54" s="1022"/>
      <c r="I54" s="1015">
        <f ca="1">I47+I49+I51</f>
        <v>0</v>
      </c>
      <c r="J54" s="1022"/>
      <c r="K54" s="1015">
        <f ca="1">K47+K49+K51</f>
        <v>0</v>
      </c>
      <c r="L54" s="1022"/>
      <c r="M54" s="1015">
        <f ca="1">M47+M49+M51</f>
        <v>0</v>
      </c>
      <c r="N54" s="1022"/>
      <c r="O54" s="1015">
        <f ca="1">O47+O49+O51</f>
        <v>0</v>
      </c>
      <c r="P54" s="1022"/>
      <c r="Q54" s="1015">
        <f ca="1">Q47+Q49+Q51</f>
        <v>0</v>
      </c>
      <c r="R54" s="1022"/>
      <c r="S54" s="1015">
        <f ca="1">S47+S49+S51</f>
        <v>0</v>
      </c>
      <c r="T54" s="1022"/>
      <c r="U54" s="1015">
        <f ca="1">U47+U49+U51</f>
        <v>0</v>
      </c>
      <c r="V54" s="1022"/>
      <c r="W54" s="1015">
        <f ca="1">W47+W49+W51</f>
        <v>0</v>
      </c>
      <c r="X54" s="1022"/>
      <c r="Y54" s="1015">
        <f ca="1">Y47+Y49+Y51</f>
        <v>0</v>
      </c>
      <c r="Z54" s="1022"/>
      <c r="AA54" s="1015">
        <f ca="1">AA47+AA49+AA51</f>
        <v>0</v>
      </c>
      <c r="AB54" s="1022"/>
      <c r="AC54" s="1015">
        <f ca="1">AC47+AC49+AC51</f>
        <v>0</v>
      </c>
      <c r="AD54" s="1022"/>
      <c r="AE54" s="1015">
        <f ca="1">AE47+AE49+AE51</f>
        <v>0</v>
      </c>
      <c r="AF54" s="1022"/>
      <c r="AG54" s="1015">
        <f ca="1">AG47+AG49+AG51</f>
        <v>0</v>
      </c>
      <c r="AH54" s="1022"/>
      <c r="AI54" s="1015">
        <f ca="1">AI47+AI49+AI51</f>
        <v>0</v>
      </c>
      <c r="AJ54" s="1022"/>
      <c r="AK54" s="1015">
        <f ca="1">AK47+AK49+AK51</f>
        <v>0</v>
      </c>
      <c r="AL54" s="1022"/>
      <c r="AM54" s="1015">
        <f ca="1">AM47+AM49+AM51</f>
        <v>0</v>
      </c>
      <c r="AN54" s="1022"/>
      <c r="AO54" s="1015">
        <f ca="1">AO47+AO49+AO51</f>
        <v>0</v>
      </c>
      <c r="AP54" s="1022"/>
      <c r="AQ54" s="1015">
        <f ca="1">AQ47+AQ49+AQ51</f>
        <v>0</v>
      </c>
      <c r="AR54" s="1022"/>
      <c r="AS54" s="1015">
        <f ca="1">AS47+AS49+AS51</f>
        <v>0</v>
      </c>
      <c r="AT54" s="1022"/>
    </row>
    <row r="55" spans="2:46" hidden="1" x14ac:dyDescent="0.3">
      <c r="B55" s="534"/>
      <c r="C55" s="535"/>
      <c r="D55" s="36"/>
      <c r="E55" s="36"/>
      <c r="F55" s="36"/>
      <c r="G55" s="162">
        <f ca="1">IF(G20+G23+G26+G21&gt;0,1,0)</f>
        <v>0</v>
      </c>
      <c r="H55" s="162"/>
      <c r="I55" s="162">
        <f ca="1">IF(I20+I23+I26+I21&gt;0,1,0)</f>
        <v>0</v>
      </c>
      <c r="J55" s="162"/>
      <c r="K55" s="162">
        <f ca="1">IF(K20+K23+K26+K21&gt;0,1,0)</f>
        <v>0</v>
      </c>
      <c r="L55" s="162"/>
      <c r="M55" s="162">
        <f ca="1">IF(M20+M23+M26+M21&gt;0,1,0)</f>
        <v>0</v>
      </c>
      <c r="N55" s="162"/>
      <c r="O55" s="162">
        <f ca="1">IF(O20+O23+O26+O21&gt;0,1,0)</f>
        <v>0</v>
      </c>
      <c r="P55" s="162"/>
      <c r="Q55" s="162">
        <f ca="1">IF(Q20+Q23+Q26+Q21&gt;0,1,0)</f>
        <v>0</v>
      </c>
      <c r="R55" s="162"/>
      <c r="S55" s="162">
        <f ca="1">IF(S20+S23+S26+S21&gt;0,1,0)</f>
        <v>0</v>
      </c>
      <c r="T55" s="162"/>
      <c r="U55" s="162">
        <f ca="1">IF(U20+U23+U26+U21&gt;0,1,0)</f>
        <v>0</v>
      </c>
      <c r="V55" s="162"/>
      <c r="W55" s="162">
        <f ca="1">IF(W20+W23+W26+W21&gt;0,1,0)</f>
        <v>0</v>
      </c>
      <c r="X55" s="162"/>
      <c r="Y55" s="162">
        <f ca="1">IF(Y20+Y23+Y26+Y21&gt;0,1,0)</f>
        <v>0</v>
      </c>
      <c r="Z55" s="162"/>
      <c r="AA55" s="162">
        <f ca="1">IF(AA20+AA23+AA26+AA21&gt;0,1,0)</f>
        <v>0</v>
      </c>
      <c r="AB55" s="162"/>
      <c r="AC55" s="162">
        <f ca="1">IF(AC20+AC23+AC26+AC21&gt;0,1,0)</f>
        <v>0</v>
      </c>
      <c r="AD55" s="162"/>
      <c r="AE55" s="162">
        <f ca="1">IF(AE20+AE23+AE26+AE21&gt;0,1,0)</f>
        <v>0</v>
      </c>
      <c r="AF55" s="162"/>
      <c r="AG55" s="162">
        <f ca="1">IF(AG20+AG23+AG26+AG21&gt;0,1,0)</f>
        <v>0</v>
      </c>
      <c r="AH55" s="162"/>
      <c r="AI55" s="162">
        <f ca="1">IF(AI20+AI23+AI26+AI21&gt;0,1,0)</f>
        <v>0</v>
      </c>
      <c r="AJ55" s="162"/>
      <c r="AK55" s="162">
        <f ca="1">IF(AK20+AK23+AK26+AK21&gt;0,1,0)</f>
        <v>0</v>
      </c>
      <c r="AL55" s="162"/>
      <c r="AM55" s="162">
        <f ca="1">IF(AM20+AM23+AM26+AM21&gt;0,1,0)</f>
        <v>0</v>
      </c>
      <c r="AN55" s="162"/>
      <c r="AO55" s="162">
        <f ca="1">IF(AO20+AO23+AO26+AO21&gt;0,1,0)</f>
        <v>0</v>
      </c>
      <c r="AP55" s="162"/>
      <c r="AQ55" s="162">
        <f ca="1">IF(AQ20+AQ23+AQ26+AQ21&gt;0,1,0)</f>
        <v>0</v>
      </c>
      <c r="AR55" s="162"/>
      <c r="AS55" s="162">
        <f ca="1">IF(AS20+AS23+AS26+AS21&gt;0,1,0)</f>
        <v>0</v>
      </c>
      <c r="AT55" s="162"/>
    </row>
    <row r="56" spans="2:46" x14ac:dyDescent="0.3">
      <c r="B56" s="542"/>
      <c r="C56" s="535"/>
      <c r="D56" s="36"/>
      <c r="E56" s="36"/>
      <c r="F56" s="36"/>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row>
    <row r="57" spans="2:46" x14ac:dyDescent="0.3">
      <c r="B57" s="1044" t="str">
        <f ca="1">'Translation Table'!H607</f>
        <v>Equipment Leaks: Grand Total Emissions</v>
      </c>
      <c r="C57" s="207" t="str">
        <f ca="1">'Translation Table'!H618</f>
        <v>CH4</v>
      </c>
      <c r="D57" s="208" t="str">
        <f ca="1">'Translation Table'!H619</f>
        <v>CO2</v>
      </c>
      <c r="E57" s="208" t="str">
        <f ca="1">'Translation Table'!H620</f>
        <v>NMVOC</v>
      </c>
      <c r="F57" s="36"/>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row>
    <row r="58" spans="2:46" x14ac:dyDescent="0.3">
      <c r="B58" s="1045"/>
      <c r="C58" s="50">
        <f ca="1">SUM(C53:AT53)+'Setup - Facility Details'!I35</f>
        <v>0</v>
      </c>
      <c r="D58" s="167">
        <f ca="1">C58*ProcessGas_CO2/ProcessGas_CH4</f>
        <v>0</v>
      </c>
      <c r="E58" s="167">
        <f ca="1">C58*(1-ProcessGas_CH4-ProcessGas_CO2-ProcessGas_N2-ProcessGas_H2S)/ProcessGas_CH4</f>
        <v>0</v>
      </c>
      <c r="F58" s="52" t="str">
        <f ca="1">'Translation Table'!H621</f>
        <v>Nm3/h</v>
      </c>
      <c r="G58" s="256" t="b">
        <f ca="1">ISERROR(SUM(G13:G45))</f>
        <v>0</v>
      </c>
      <c r="I58" s="256" t="b">
        <f ca="1">ISERROR(SUM(I13:I45))</f>
        <v>0</v>
      </c>
      <c r="K58" s="256" t="b">
        <f ca="1">ISERROR(SUM(K13:K45))</f>
        <v>0</v>
      </c>
      <c r="M58" s="256" t="b">
        <f ca="1">ISERROR(SUM(M13:M45))</f>
        <v>0</v>
      </c>
      <c r="O58" s="256" t="b">
        <f ca="1">ISERROR(SUM(O13:O45))</f>
        <v>0</v>
      </c>
      <c r="Q58" s="256" t="b">
        <f ca="1">ISERROR(SUM(Q13:Q45))</f>
        <v>0</v>
      </c>
      <c r="S58" s="256" t="b">
        <f ca="1">ISERROR(SUM(S13:S45))</f>
        <v>0</v>
      </c>
      <c r="U58" s="256" t="b">
        <f ca="1">ISERROR(SUM(U13:U45))</f>
        <v>0</v>
      </c>
      <c r="W58" s="256" t="b">
        <f ca="1">ISERROR(SUM(W13:W45))</f>
        <v>0</v>
      </c>
      <c r="Y58" s="256" t="b">
        <f ca="1">ISERROR(SUM(Y13:Y45))</f>
        <v>0</v>
      </c>
      <c r="AA58" s="256" t="b">
        <f ca="1">ISERROR(SUM(AA13:AA45))</f>
        <v>0</v>
      </c>
      <c r="AC58" s="256" t="b">
        <f ca="1">ISERROR(SUM(AC13:AC45))</f>
        <v>0</v>
      </c>
      <c r="AE58" s="256" t="b">
        <f ca="1">ISERROR(SUM(AE13:AE45))</f>
        <v>0</v>
      </c>
      <c r="AG58" s="256" t="b">
        <f ca="1">ISERROR(SUM(AG13:AG45))</f>
        <v>0</v>
      </c>
      <c r="AI58" s="256" t="b">
        <f ca="1">ISERROR(SUM(AI13:AI45))</f>
        <v>0</v>
      </c>
      <c r="AK58" s="256" t="b">
        <f ca="1">ISERROR(SUM(AK13:AK45))</f>
        <v>0</v>
      </c>
      <c r="AM58" s="256" t="b">
        <f ca="1">ISERROR(SUM(AM13:AM45))</f>
        <v>0</v>
      </c>
      <c r="AO58" s="256" t="b">
        <f ca="1">ISERROR(SUM(AO13:AO45))</f>
        <v>0</v>
      </c>
      <c r="AQ58" s="256" t="b">
        <f ca="1">ISERROR(SUM(AQ13:AQ45))</f>
        <v>0</v>
      </c>
      <c r="AS58" s="256" t="b">
        <f ca="1">ISERROR(SUM(AS13:AS45))</f>
        <v>0</v>
      </c>
    </row>
    <row r="59" spans="2:46" x14ac:dyDescent="0.3">
      <c r="B59" s="1045"/>
      <c r="C59" s="318">
        <f ca="1">C58*24*365</f>
        <v>0</v>
      </c>
      <c r="D59" s="318">
        <f ca="1">D58*24*365</f>
        <v>0</v>
      </c>
      <c r="E59" s="318">
        <f ca="1">E58*24*365</f>
        <v>0</v>
      </c>
      <c r="F59" s="313" t="str">
        <f ca="1">'Translation Table'!H623</f>
        <v>Nm3/y</v>
      </c>
      <c r="G59" s="39" t="str">
        <f ca="1">'Translation Table'!H628</f>
        <v>Note:  "#N/A" in the component-count field indicates that the process-unit type is invalid (or undefined) for the specified industry sector.</v>
      </c>
    </row>
    <row r="60" spans="2:46" x14ac:dyDescent="0.3">
      <c r="B60" s="1046"/>
      <c r="C60" s="55">
        <f ca="1">C59*Constants!$E$5/1000</f>
        <v>0</v>
      </c>
      <c r="D60" s="168">
        <f ca="1">D59/Vstp*M_CO2/1000</f>
        <v>0</v>
      </c>
      <c r="E60" s="168">
        <f ca="1">E59/Vstp*M_NMVOC/1000</f>
        <v>0</v>
      </c>
      <c r="F60" s="52" t="str">
        <f ca="1">'Translation Table'!H624</f>
        <v>tonnes/y</v>
      </c>
    </row>
    <row r="61" spans="2:46" x14ac:dyDescent="0.3">
      <c r="B61" s="545" t="str">
        <f ca="1">'Translation Table'!H608</f>
        <v>Equipment Leaks: Measured Contribution</v>
      </c>
      <c r="C61" s="319" t="str">
        <f ca="1">IF(C58&gt;0,'Setup - Facility Details'!I35/C58,"    ---")</f>
        <v xml:space="preserve">    ---</v>
      </c>
      <c r="D61" s="36"/>
    </row>
    <row r="62" spans="2:46" x14ac:dyDescent="0.3">
      <c r="B62" s="537" t="str">
        <f ca="1">'Translation Table'!H609</f>
        <v>Equipment Leaks: Estimated Contribution</v>
      </c>
      <c r="C62" s="320" t="str">
        <f ca="1">IF(C58&gt;0,SUM(C53:AI53)/C58, "    ---")</f>
        <v xml:space="preserve">    ---</v>
      </c>
      <c r="D62" s="36"/>
    </row>
    <row r="63" spans="2:46" x14ac:dyDescent="0.3">
      <c r="B63" s="1029" t="str">
        <f ca="1">'Translation Table'!H610</f>
        <v>Compressor Seals: Grand Total Emissions</v>
      </c>
      <c r="C63" s="538" t="str">
        <f ca="1">'Translation Table'!H618</f>
        <v>CH4</v>
      </c>
      <c r="D63" s="539" t="str">
        <f ca="1">'Translation Table'!H619</f>
        <v>CO2</v>
      </c>
      <c r="E63" s="539" t="str">
        <f ca="1">'Translation Table'!H620</f>
        <v>NMVOC</v>
      </c>
      <c r="F63" s="36"/>
    </row>
    <row r="64" spans="2:46" x14ac:dyDescent="0.3">
      <c r="B64" s="1030"/>
      <c r="C64" s="50">
        <f ca="1">SUM(C54:AT54)+'Setup - Facility Details'!I36</f>
        <v>0</v>
      </c>
      <c r="D64" s="167">
        <f ca="1">C64*ProcessGas_CO2/ProcessGas_CH4</f>
        <v>0</v>
      </c>
      <c r="E64" s="167">
        <f ca="1">C64*(1-ProcessGas_CH4-ProcessGas_CO2-ProcessGas_N2-ProcessGas_H2S)/ProcessGas_CH4</f>
        <v>0</v>
      </c>
      <c r="F64" s="540" t="str">
        <f ca="1">'Translation Table'!H621</f>
        <v>Nm3/h</v>
      </c>
    </row>
    <row r="65" spans="1:46" x14ac:dyDescent="0.3">
      <c r="B65" s="1030"/>
      <c r="C65" s="318">
        <f ca="1">C64*24*365</f>
        <v>0</v>
      </c>
      <c r="D65" s="318">
        <f ca="1">D64*24*365</f>
        <v>0</v>
      </c>
      <c r="E65" s="318">
        <f ca="1">E64*24*365</f>
        <v>0</v>
      </c>
      <c r="F65" s="541" t="str">
        <f ca="1">'Translation Table'!H623</f>
        <v>Nm3/y</v>
      </c>
    </row>
    <row r="66" spans="1:46" x14ac:dyDescent="0.3">
      <c r="B66" s="1031"/>
      <c r="C66" s="55">
        <f ca="1">C65*Constants!$E$5/1000</f>
        <v>0</v>
      </c>
      <c r="D66" s="168">
        <f ca="1">D65/Vstp*M_CO2/1000</f>
        <v>0</v>
      </c>
      <c r="E66" s="168">
        <f ca="1">E65/Vstp*M_NMVOC/1000</f>
        <v>0</v>
      </c>
      <c r="F66" s="540" t="str">
        <f ca="1">'Translation Table'!H624</f>
        <v>tonnes/y</v>
      </c>
    </row>
    <row r="67" spans="1:46" x14ac:dyDescent="0.3">
      <c r="B67" s="537" t="s">
        <v>3240</v>
      </c>
      <c r="C67" s="319" t="str">
        <f ca="1">IF(C64&gt;0,'Setup - Facility Details'!I41/C64,"    ---")</f>
        <v xml:space="preserve">    ---</v>
      </c>
      <c r="D67" s="36"/>
    </row>
    <row r="68" spans="1:46" x14ac:dyDescent="0.3">
      <c r="B68" s="545" t="s">
        <v>3240</v>
      </c>
      <c r="C68" s="320" t="str">
        <f ca="1">IF(C64&gt;0,SUM(C54:AI54)/C64, "    ---")</f>
        <v xml:space="preserve">    ---</v>
      </c>
      <c r="D68" s="36"/>
    </row>
    <row r="69" spans="1:46" x14ac:dyDescent="0.3">
      <c r="B69" s="543"/>
      <c r="C69" s="544"/>
      <c r="D69" s="36"/>
    </row>
    <row r="70" spans="1:46" x14ac:dyDescent="0.3">
      <c r="H70" s="487"/>
      <c r="I70" s="487"/>
      <c r="J70" s="487"/>
      <c r="K70" s="487"/>
      <c r="L70" s="487"/>
      <c r="M70" s="487"/>
      <c r="N70" s="487"/>
      <c r="O70" s="487"/>
      <c r="P70" s="487"/>
      <c r="Q70" s="487"/>
      <c r="R70" s="487"/>
      <c r="S70" s="487"/>
      <c r="T70" s="487"/>
      <c r="U70" s="487"/>
      <c r="V70" s="487"/>
      <c r="W70" s="487"/>
      <c r="X70" s="487"/>
      <c r="Y70" s="487"/>
      <c r="Z70" s="487"/>
      <c r="AA70" s="487"/>
      <c r="AB70" s="487"/>
      <c r="AC70" s="487"/>
      <c r="AD70" s="487"/>
      <c r="AE70" s="487"/>
      <c r="AF70" s="487"/>
      <c r="AG70" s="487"/>
      <c r="AH70" s="487"/>
      <c r="AI70" s="487"/>
      <c r="AJ70" s="487"/>
      <c r="AK70" s="487"/>
    </row>
    <row r="71" spans="1:46" ht="22.5" x14ac:dyDescent="0.45">
      <c r="B71" s="1043" t="str">
        <f ca="1">'Translation Table'!H630</f>
        <v>Inventory of Pneumatic Controllers:</v>
      </c>
      <c r="C71" s="1043"/>
    </row>
    <row r="73" spans="1:46" s="43" customFormat="1" ht="15.5" x14ac:dyDescent="0.35">
      <c r="B73" s="1049" t="str">
        <f ca="1">'Translation Table'!H631</f>
        <v>Controller Type</v>
      </c>
      <c r="C73" s="1051" t="str">
        <f ca="1">'Translation Table'!H632</f>
        <v>Emission Factors (m3/d/controller)</v>
      </c>
      <c r="G73" s="984" t="str">
        <f ca="1">'Translation Table'!H633</f>
        <v>Emission Calculations</v>
      </c>
      <c r="H73" s="999"/>
      <c r="I73" s="999"/>
      <c r="J73" s="999"/>
      <c r="K73" s="198"/>
      <c r="L73" s="198"/>
      <c r="M73" s="198"/>
      <c r="N73" s="198"/>
      <c r="O73" s="198"/>
      <c r="P73" s="198"/>
      <c r="Q73" s="198"/>
      <c r="R73" s="198"/>
      <c r="S73" s="198"/>
      <c r="T73" s="198"/>
      <c r="U73" s="198"/>
      <c r="V73" s="198"/>
      <c r="W73" s="198"/>
      <c r="X73" s="198"/>
      <c r="Y73" s="198"/>
      <c r="Z73" s="198"/>
      <c r="AA73" s="198"/>
      <c r="AB73" s="198"/>
      <c r="AC73" s="198"/>
      <c r="AD73" s="198"/>
      <c r="AE73" s="198"/>
      <c r="AF73" s="198"/>
      <c r="AG73" s="198"/>
      <c r="AH73" s="198"/>
      <c r="AI73" s="198"/>
      <c r="AJ73" s="199"/>
      <c r="AK73" s="198"/>
      <c r="AL73" s="199"/>
      <c r="AM73" s="198"/>
      <c r="AN73" s="199"/>
      <c r="AO73" s="198"/>
      <c r="AP73" s="199"/>
      <c r="AQ73" s="198"/>
      <c r="AR73" s="199"/>
      <c r="AS73" s="198"/>
      <c r="AT73" s="199"/>
    </row>
    <row r="74" spans="1:46" s="43" customFormat="1" ht="15" customHeight="1" x14ac:dyDescent="0.35">
      <c r="B74" s="1049"/>
      <c r="C74" s="1051"/>
      <c r="G74" s="1002" t="str">
        <f ca="1">'Translation Table'!H638</f>
        <v>Category 1</v>
      </c>
      <c r="H74" s="1023"/>
      <c r="I74" s="1002" t="str">
        <f ca="1">'Translation Table'!H639</f>
        <v>Category 2</v>
      </c>
      <c r="J74" s="1023"/>
      <c r="K74" s="1002" t="str">
        <f ca="1">'Translation Table'!H640</f>
        <v>Category 3</v>
      </c>
      <c r="L74" s="1023"/>
      <c r="M74" s="1002" t="str">
        <f ca="1">'Translation Table'!H641</f>
        <v>Category 4</v>
      </c>
      <c r="N74" s="1023"/>
      <c r="O74" s="1002" t="str">
        <f ca="1">'Translation Table'!H642</f>
        <v>Category 5</v>
      </c>
      <c r="P74" s="1023"/>
      <c r="Q74" s="1002" t="str">
        <f ca="1">'Translation Table'!H643</f>
        <v>Category 6</v>
      </c>
      <c r="R74" s="1023"/>
      <c r="S74" s="1002" t="str">
        <f ca="1">'Translation Table'!H644</f>
        <v>Category 7</v>
      </c>
      <c r="T74" s="1023"/>
      <c r="U74" s="1002" t="str">
        <f ca="1">'Translation Table'!H645</f>
        <v>Category 8</v>
      </c>
      <c r="V74" s="1023"/>
      <c r="W74" s="1002" t="str">
        <f ca="1">'Translation Table'!H646</f>
        <v>Category 9</v>
      </c>
      <c r="X74" s="1023"/>
      <c r="Y74" s="1002" t="str">
        <f>'Translation Table'!I647</f>
        <v>Category 10</v>
      </c>
      <c r="Z74" s="1023"/>
      <c r="AA74" s="1002" t="str">
        <f ca="1">'Translation Table'!H648</f>
        <v>Category 11</v>
      </c>
      <c r="AB74" s="1023"/>
      <c r="AC74" s="1002" t="str">
        <f ca="1">'Translation Table'!H634</f>
        <v>Category 12</v>
      </c>
      <c r="AD74" s="1023"/>
      <c r="AE74" s="1002" t="str">
        <f ca="1">'Translation Table'!H635</f>
        <v>Category 13</v>
      </c>
      <c r="AF74" s="1023"/>
      <c r="AG74" s="1002" t="str">
        <f ca="1">'Translation Table'!H636</f>
        <v>Category 14</v>
      </c>
      <c r="AH74" s="1023"/>
      <c r="AI74" s="1002" t="str">
        <f ca="1">'Translation Table'!H637</f>
        <v>Category 15</v>
      </c>
      <c r="AJ74" s="1023"/>
      <c r="AK74" s="1002" t="str">
        <f ca="1">'Translation Table'!H488</f>
        <v>Category 16</v>
      </c>
      <c r="AL74" s="1023"/>
      <c r="AM74" s="1002" t="str">
        <f ca="1">'Translation Table'!H489</f>
        <v>Category 17</v>
      </c>
      <c r="AN74" s="1023"/>
      <c r="AO74" s="1002" t="str">
        <f ca="1">'Translation Table'!H490</f>
        <v>Category 18</v>
      </c>
      <c r="AP74" s="1023"/>
      <c r="AQ74" s="1002" t="str">
        <f ca="1">'Translation Table'!H491</f>
        <v>Category 19</v>
      </c>
      <c r="AR74" s="1023"/>
      <c r="AS74" s="1002" t="str">
        <f ca="1">'Translation Table'!H492</f>
        <v>Category 20</v>
      </c>
      <c r="AT74" s="1023"/>
    </row>
    <row r="75" spans="1:46" s="43" customFormat="1" ht="15.5" x14ac:dyDescent="0.35">
      <c r="B75" s="1049"/>
      <c r="C75" s="1051"/>
      <c r="G75" s="1018">
        <f ca="1">G10</f>
        <v>0</v>
      </c>
      <c r="H75" s="1019"/>
      <c r="I75" s="1018">
        <f ca="1">I10</f>
        <v>0</v>
      </c>
      <c r="J75" s="1019"/>
      <c r="K75" s="1018">
        <f ca="1">K10</f>
        <v>0</v>
      </c>
      <c r="L75" s="1019"/>
      <c r="M75" s="1018">
        <f ca="1">M10</f>
        <v>0</v>
      </c>
      <c r="N75" s="1019"/>
      <c r="O75" s="1018">
        <f ca="1">O10</f>
        <v>0</v>
      </c>
      <c r="P75" s="1019"/>
      <c r="Q75" s="1018">
        <f ca="1">Q10</f>
        <v>0</v>
      </c>
      <c r="R75" s="1019"/>
      <c r="S75" s="1018">
        <f ca="1">S10</f>
        <v>0</v>
      </c>
      <c r="T75" s="1019"/>
      <c r="U75" s="1018">
        <f ca="1">U10</f>
        <v>0</v>
      </c>
      <c r="V75" s="1019"/>
      <c r="W75" s="1018">
        <f ca="1">W10</f>
        <v>0</v>
      </c>
      <c r="X75" s="1019"/>
      <c r="Y75" s="1018">
        <f ca="1">Y10</f>
        <v>0</v>
      </c>
      <c r="Z75" s="1019"/>
      <c r="AA75" s="1018">
        <f ca="1">AA10</f>
        <v>0</v>
      </c>
      <c r="AB75" s="1019"/>
      <c r="AC75" s="1018">
        <f ca="1">AC10</f>
        <v>0</v>
      </c>
      <c r="AD75" s="1019"/>
      <c r="AE75" s="1018">
        <f ca="1">AE10</f>
        <v>0</v>
      </c>
      <c r="AF75" s="1019"/>
      <c r="AG75" s="1018">
        <f ca="1">AG10</f>
        <v>0</v>
      </c>
      <c r="AH75" s="1019"/>
      <c r="AI75" s="1018">
        <f ca="1">AI10</f>
        <v>0</v>
      </c>
      <c r="AJ75" s="1019"/>
      <c r="AK75" s="1018">
        <f ca="1">AK10</f>
        <v>0</v>
      </c>
      <c r="AL75" s="1019"/>
      <c r="AM75" s="1018">
        <f ca="1">AM10</f>
        <v>0</v>
      </c>
      <c r="AN75" s="1019"/>
      <c r="AO75" s="1018">
        <f ca="1">AO10</f>
        <v>0</v>
      </c>
      <c r="AP75" s="1019"/>
      <c r="AQ75" s="1018">
        <f ca="1">AQ10</f>
        <v>0</v>
      </c>
      <c r="AR75" s="1019"/>
      <c r="AS75" s="1018">
        <f ca="1">AS10</f>
        <v>0</v>
      </c>
      <c r="AT75" s="1019"/>
    </row>
    <row r="76" spans="1:46" s="43" customFormat="1" ht="15.5" x14ac:dyDescent="0.35">
      <c r="B76" s="1049"/>
      <c r="C76" s="1051"/>
      <c r="G76" s="1020"/>
      <c r="H76" s="1021"/>
      <c r="I76" s="1020"/>
      <c r="J76" s="1021"/>
      <c r="K76" s="1020"/>
      <c r="L76" s="1021"/>
      <c r="M76" s="1020"/>
      <c r="N76" s="1021"/>
      <c r="O76" s="1020"/>
      <c r="P76" s="1021"/>
      <c r="Q76" s="1020"/>
      <c r="R76" s="1021"/>
      <c r="S76" s="1020"/>
      <c r="T76" s="1021"/>
      <c r="U76" s="1020"/>
      <c r="V76" s="1021"/>
      <c r="W76" s="1020"/>
      <c r="X76" s="1021"/>
      <c r="Y76" s="1020"/>
      <c r="Z76" s="1021"/>
      <c r="AA76" s="1020"/>
      <c r="AB76" s="1021"/>
      <c r="AC76" s="1020"/>
      <c r="AD76" s="1021"/>
      <c r="AE76" s="1020"/>
      <c r="AF76" s="1021"/>
      <c r="AG76" s="1020"/>
      <c r="AH76" s="1021"/>
      <c r="AI76" s="1020"/>
      <c r="AJ76" s="1021"/>
      <c r="AK76" s="1020"/>
      <c r="AL76" s="1021"/>
      <c r="AM76" s="1020"/>
      <c r="AN76" s="1021"/>
      <c r="AO76" s="1020"/>
      <c r="AP76" s="1021"/>
      <c r="AQ76" s="1020"/>
      <c r="AR76" s="1021"/>
      <c r="AS76" s="1020"/>
      <c r="AT76" s="1021"/>
    </row>
    <row r="77" spans="1:46" s="43" customFormat="1" ht="15.5" x14ac:dyDescent="0.35">
      <c r="B77" s="1050"/>
      <c r="C77" s="1052"/>
      <c r="E77" s="60"/>
      <c r="G77" s="205" t="str">
        <f ca="1">'Translation Table'!H657</f>
        <v>Controller Count</v>
      </c>
      <c r="H77" s="205" t="str">
        <f ca="1">'Translation Table'!H658</f>
        <v>Emissions (m3/d)</v>
      </c>
      <c r="I77" s="205" t="str">
        <f ca="1">'Translation Table'!H659</f>
        <v>Controller Count</v>
      </c>
      <c r="J77" s="205" t="str">
        <f ca="1">'Translation Table'!H660</f>
        <v>Emissions (m3/d)</v>
      </c>
      <c r="K77" s="205" t="str">
        <f ca="1">'Translation Table'!H661</f>
        <v>Controller Count</v>
      </c>
      <c r="L77" s="205" t="str">
        <f ca="1">'Translation Table'!H662</f>
        <v>Emissions (m3/d)</v>
      </c>
      <c r="M77" s="205" t="str">
        <f ca="1">'Translation Table'!H663</f>
        <v>Controller Count</v>
      </c>
      <c r="N77" s="205" t="str">
        <f ca="1">'Translation Table'!H664</f>
        <v>Emissions (m3/d)</v>
      </c>
      <c r="O77" s="205" t="str">
        <f ca="1">'Translation Table'!H665</f>
        <v>Controller Count</v>
      </c>
      <c r="P77" s="205" t="str">
        <f ca="1">'Translation Table'!H666</f>
        <v>Emissions (m3/d)</v>
      </c>
      <c r="Q77" s="205" t="str">
        <f ca="1">'Translation Table'!H667</f>
        <v>Controller Count</v>
      </c>
      <c r="R77" s="205" t="str">
        <f ca="1">'Translation Table'!H668</f>
        <v>Emissions (m3/d)</v>
      </c>
      <c r="S77" s="205" t="str">
        <f ca="1">'Translation Table'!H669</f>
        <v>Controller Count</v>
      </c>
      <c r="T77" s="205" t="str">
        <f ca="1">'Translation Table'!H670</f>
        <v>Emissions (m3/d)</v>
      </c>
      <c r="U77" s="205" t="str">
        <f ca="1">'Translation Table'!H671</f>
        <v>Controller Count</v>
      </c>
      <c r="V77" s="205" t="str">
        <f ca="1">'Translation Table'!H672</f>
        <v>Emissions (m3/d)</v>
      </c>
      <c r="W77" s="205" t="str">
        <f ca="1">'Translation Table'!H673</f>
        <v>Controller Count</v>
      </c>
      <c r="X77" s="205" t="str">
        <f ca="1">'Translation Table'!H674</f>
        <v>Emissions (m3/d)</v>
      </c>
      <c r="Y77" s="205" t="str">
        <f ca="1">'Translation Table'!H675</f>
        <v>Controller Count</v>
      </c>
      <c r="Z77" s="205" t="str">
        <f ca="1">'Translation Table'!H676</f>
        <v>Emissions (m3/d)</v>
      </c>
      <c r="AA77" s="205" t="str">
        <f ca="1">'Translation Table'!H677</f>
        <v>Controller Count</v>
      </c>
      <c r="AB77" s="205" t="str">
        <f ca="1">'Translation Table'!H678</f>
        <v>Emissions (m3/d)</v>
      </c>
      <c r="AC77" s="205" t="str">
        <f ca="1">'Translation Table'!H649</f>
        <v>Controller Count</v>
      </c>
      <c r="AD77" s="205" t="str">
        <f ca="1">'Translation Table'!H650</f>
        <v>Emissions (m3/d)</v>
      </c>
      <c r="AE77" s="205" t="str">
        <f ca="1">'Translation Table'!H651</f>
        <v>Controller Count</v>
      </c>
      <c r="AF77" s="205" t="str">
        <f ca="1">'Translation Table'!H652</f>
        <v>Emissions (m3/d)</v>
      </c>
      <c r="AG77" s="205" t="str">
        <f ca="1">'Translation Table'!H653</f>
        <v>Controller Count</v>
      </c>
      <c r="AH77" s="205" t="str">
        <f ca="1">'Translation Table'!H654</f>
        <v>Emissions (m3/d)</v>
      </c>
      <c r="AI77" s="205" t="str">
        <f ca="1">'Translation Table'!H655</f>
        <v>Controller Count</v>
      </c>
      <c r="AJ77" s="205" t="str">
        <f ca="1">'Translation Table'!H656</f>
        <v>Emissions (m3/d)</v>
      </c>
      <c r="AK77" s="205" t="str">
        <f ca="1">'Translation Table'!H655</f>
        <v>Controller Count</v>
      </c>
      <c r="AL77" s="205" t="str">
        <f ca="1">'Translation Table'!H656</f>
        <v>Emissions (m3/d)</v>
      </c>
      <c r="AM77" s="205" t="str">
        <f ca="1">'Translation Table'!H655</f>
        <v>Controller Count</v>
      </c>
      <c r="AN77" s="205" t="str">
        <f ca="1">'Translation Table'!H656</f>
        <v>Emissions (m3/d)</v>
      </c>
      <c r="AO77" s="205" t="str">
        <f ca="1">'Translation Table'!H655</f>
        <v>Controller Count</v>
      </c>
      <c r="AP77" s="205" t="str">
        <f ca="1">'Translation Table'!H656</f>
        <v>Emissions (m3/d)</v>
      </c>
      <c r="AQ77" s="205" t="str">
        <f ca="1">'Translation Table'!H655</f>
        <v>Controller Count</v>
      </c>
      <c r="AR77" s="205" t="str">
        <f ca="1">'Translation Table'!H656</f>
        <v>Emissions (m3/d)</v>
      </c>
      <c r="AS77" s="205" t="str">
        <f ca="1">'Translation Table'!H655</f>
        <v>Controller Count</v>
      </c>
      <c r="AT77" s="205" t="str">
        <f ca="1">'Translation Table'!H656</f>
        <v>Emissions (m3/d)</v>
      </c>
    </row>
    <row r="78" spans="1:46" x14ac:dyDescent="0.3">
      <c r="A78" s="256">
        <f>20+$A$11</f>
        <v>21</v>
      </c>
      <c r="B78" s="452" t="str">
        <f ca="1">'Translation Table'!H679</f>
        <v>High-Bleed</v>
      </c>
      <c r="C78" s="488">
        <f ca="1">INDIRECT(ADDRESS(CHOOSE($D$4,'EFs - Other'!L$6,'EFs - Other'!L$7,'EFs - Other'!L$8,'EFs - Other'!L$9,'EFs - Other'!L$10,'EFs - Other'!L$11,'EFs - Other'!L$12,'EFs - Other'!L$13,'EFs - Other'!L$14)-1+MATCH(B78,INDIRECT(CHOOSE($D$4,'EFs - Other'!N$6,'EFs - Other'!N$7,'EFs - Other'!N$8,'EFs - Other'!N$9,'EFs - Other'!N$10,'EFs - Other'!N$11,'EFs - Other'!N$12,'EFs - Other'!N$13,'EFs - Other'!N$14)),0),3,,,"EFs - Other"))</f>
        <v>12.36880008</v>
      </c>
      <c r="G78" s="193">
        <f ca="1">IF($A78&gt;0,IF(G$6=0,0,INDIRECT(ADDRESS(G$6-1+CHOOSE($D$4,'Equipment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Details'!E51</f>
        <v>0</v>
      </c>
      <c r="H78" s="460">
        <f ca="1">IF('Setup - Facility Details'!$G$51=0,0,IF(H87&gt;0,CHOOSE(H87,$C$78,$C$79,$C$80,$C$81,$C$82),0))*IF('Setup - Facility Details'!$F$51=NaturalGas,1,0)*'Setup - Facility Details'!$E$51*IF(ISERROR(G78),0,G78)</f>
        <v>0</v>
      </c>
      <c r="I78" s="193">
        <f ca="1">IF($A78&gt;0,IF(I$6=0,0,INDIRECT(ADDRESS(I$6-1+CHOOSE($D$4,'Equipment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Details'!E52</f>
        <v>0</v>
      </c>
      <c r="J78" s="460">
        <f ca="1">IF('Setup - Facility Details'!$G$52=0,0,IF(J87&gt;0,CHOOSE(J87,$C$78,$C$79,$C$80,$C$81,$C$82),0))*IF('Setup - Facility Details'!$F$52=NaturalGas,1,0)*'Setup - Facility Details'!$E$52*IF(ISERROR(I78),0,I78)</f>
        <v>0</v>
      </c>
      <c r="K78" s="193">
        <f ca="1">IF($A78&gt;0,IF(K$6=0,0,INDIRECT(ADDRESS(K$6-1+CHOOSE($D$4,'Equipment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Details'!E53</f>
        <v>0</v>
      </c>
      <c r="L78" s="460">
        <f ca="1">IF('Setup - Facility Details'!$G$53=0,0,IF(L87&gt;0,CHOOSE(L87,$C$78,$C$79,$C$80,$C$81,$C$82),0))*IF('Setup - Facility Details'!$F$53=NaturalGas,1,0)*'Setup - Facility Details'!$E$53*IF(ISERROR(K78),0,K78)</f>
        <v>0</v>
      </c>
      <c r="M78" s="193">
        <f ca="1">IF($A78&gt;0,IF(M$6=0,0,INDIRECT(ADDRESS(M$6-1+CHOOSE($D$4,'Equipment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Details'!E54</f>
        <v>0</v>
      </c>
      <c r="N78" s="460">
        <f ca="1">IF('Setup - Facility Details'!$G$54=0,0,IF(N87&gt;0,CHOOSE(N87,$C$78,$C$79,$C$80,$C$81,$C$82),0))*IF('Setup - Facility Details'!$F$54=NaturalGas,1,0)*'Setup - Facility Details'!$E$54*IF(ISERROR(M78),0,M78)</f>
        <v>0</v>
      </c>
      <c r="O78" s="193">
        <f ca="1">IF($A78&gt;0,IF(O$6=0,0,INDIRECT(ADDRESS(O$6-1+CHOOSE($D$4,'Equipment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Details'!E55</f>
        <v>0</v>
      </c>
      <c r="P78" s="460">
        <f ca="1">IF('Setup - Facility Details'!$G$55=0,0,IF(P87&gt;0,CHOOSE(P87,$C$78,$C$79,$C$80,$C$81,$C$82),0))*IF('Setup - Facility Details'!$F$55=NaturalGas,1,0)*'Setup - Facility Details'!$E$55*IF(ISERROR(O78),0,O78)</f>
        <v>0</v>
      </c>
      <c r="Q78" s="193">
        <f ca="1">IF($A78&gt;0,IF(Q$6=0,0,INDIRECT(ADDRESS(Q$6-1+CHOOSE($D$4,'Equipment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Details'!E56</f>
        <v>0</v>
      </c>
      <c r="R78" s="460">
        <f ca="1">IF('Setup - Facility Details'!$G$56=0,0,IF(R87&gt;0,CHOOSE(R87,$C$78,$C$79,$C$80,$C$81,$C$82),0))*IF('Setup - Facility Details'!$F$56=NaturalGas,1,0)*'Setup - Facility Details'!$E$56*IF(ISERROR(Q78),0,Q78)</f>
        <v>0</v>
      </c>
      <c r="S78" s="193">
        <f ca="1">IF($A78&gt;0,IF(S$6=0,0,INDIRECT(ADDRESS(S$6-1+CHOOSE($D$4,'Equipment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Details'!E57</f>
        <v>0</v>
      </c>
      <c r="T78" s="460">
        <f ca="1">IF('Setup - Facility Details'!$G$57=0,0,IF(T87&gt;0,CHOOSE(T87,$C$78,$C$79,$C$80,$C$81,$C$82),0))*IF('Setup - Facility Details'!$F$57=NaturalGas,1,0)*'Setup - Facility Details'!$E$57*IF(ISERROR(S78),0,S78)</f>
        <v>0</v>
      </c>
      <c r="U78" s="193">
        <f ca="1">IF($A78&gt;0,IF(U$6=0,0,INDIRECT(ADDRESS(U$6-1+CHOOSE($D$4,'Equipment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Details'!E58</f>
        <v>0</v>
      </c>
      <c r="V78" s="460">
        <f ca="1">IF('Setup - Facility Details'!$G$58=0,0,IF(V87&gt;0,CHOOSE(V87,$C$78,$C$79,$C$80,$C$81,$C$82),0))*IF('Setup - Facility Details'!$F$58=NaturalGas,1,0)*'Setup - Facility Details'!$E$58*IF(ISERROR(U78),0,U78)</f>
        <v>0</v>
      </c>
      <c r="W78" s="193">
        <f ca="1">IF($A78&gt;0,IF(W$6=0,0,INDIRECT(ADDRESS(W$6-1+CHOOSE($D$4,'Equipment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Details'!E59</f>
        <v>0</v>
      </c>
      <c r="X78" s="460">
        <f ca="1">IF('Setup - Facility Details'!$G$59=0,0,IF(X87&gt;0,CHOOSE(X87,$C$78,$C$79,$C$80,$C$81,$C$82),0))*IF('Setup - Facility Details'!$F$59=NaturalGas,1,0)*'Setup - Facility Details'!$E$59*IF(ISERROR(W78),0,W78)</f>
        <v>0</v>
      </c>
      <c r="Y78" s="193">
        <f ca="1">IF($A78&gt;0,IF(Y$6=0,0,INDIRECT(ADDRESS(Y$6-1+CHOOSE($D$4,'Equipment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Details'!E60</f>
        <v>0</v>
      </c>
      <c r="Z78" s="460">
        <f ca="1">IF('Setup - Facility Details'!$G$60=0,0,IF(Z87&gt;0,CHOOSE(Z87,$C$78,$C$79,$C$80,$C$81,$C$82),0))*IF('Setup - Facility Details'!$F$60=NaturalGas,1,0)*'Setup - Facility Details'!$E$60*IF(ISERROR(Y78),0,Y78)</f>
        <v>0</v>
      </c>
      <c r="AA78" s="193">
        <f ca="1">IF($A78&gt;0,IF(AA$6=0,0,INDIRECT(ADDRESS(AA$6-1+CHOOSE($D$4,'Equipment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Details'!E61</f>
        <v>0</v>
      </c>
      <c r="AB78" s="460">
        <f ca="1">IF('Setup - Facility Details'!$G$61=0,0,IF(AB87&gt;0,CHOOSE(AB87,$C$78,$C$79,$C$80,$C$81,$C$82),0))*IF('Setup - Facility Details'!$F$61=NaturalGas,1,0)*'Setup - Facility Details'!$E$61*IF(ISERROR(AA78),0,AA78)</f>
        <v>0</v>
      </c>
      <c r="AC78" s="193">
        <f ca="1">IF($A78&gt;0,IF(AC$6=0,0,INDIRECT(ADDRESS(AC$6-1+CHOOSE($D$4,'Equipment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Details'!E62</f>
        <v>0</v>
      </c>
      <c r="AD78" s="460">
        <f ca="1">IF('Setup - Facility Details'!$G$62=0,0,IF(AD87&gt;0,CHOOSE(AD87,$C$78,$C$79,$C$80,$C$81,$C$82),0))*IF('Setup - Facility Details'!$F$62=NaturalGas,1,0)*'Setup - Facility Details'!$E$62*IF(ISERROR(AC78),0,AC78)</f>
        <v>0</v>
      </c>
      <c r="AE78" s="193">
        <f ca="1">IF($A78&gt;0,IF(AE$6=0,0,INDIRECT(ADDRESS(AE$6-1+CHOOSE($D$4,'Equipment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Details'!E63</f>
        <v>0</v>
      </c>
      <c r="AF78" s="460">
        <f ca="1">IF('Setup - Facility Details'!$G$63=0,0,IF(AF87&gt;0,CHOOSE(AF87,$C$78,$C$79,$C$80,$C$81,$C$82),0))*IF('Setup - Facility Details'!$F$63=NaturalGas,1,0)*'Setup - Facility Details'!$E$63*IF(ISERROR(AE78),0,AE78)</f>
        <v>0</v>
      </c>
      <c r="AG78" s="193">
        <f ca="1">IF($A78&gt;0,IF(AG$6=0,0,INDIRECT(ADDRESS(AG$6-1+CHOOSE($D$4,'Equipment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Details'!E64</f>
        <v>0</v>
      </c>
      <c r="AH78" s="460">
        <f ca="1">IF('Setup - Facility Details'!$G$64=0,0,IF(AH87&gt;0,CHOOSE(AH87,$C$78,$C$79,$C$80,$C$81,$C$82),0))*IF('Setup - Facility Details'!$F$64=NaturalGas,1,0)*'Setup - Facility Details'!$E$64*IF(ISERROR(AG78),0,AG78)</f>
        <v>0</v>
      </c>
      <c r="AI78" s="193">
        <f ca="1">IF($A78&gt;0,IF(AI$6=0,0,INDIRECT(ADDRESS(AI$6-1+CHOOSE($D$4,'Equipment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Details'!E65</f>
        <v>0</v>
      </c>
      <c r="AJ78" s="460">
        <f ca="1">IF('Setup - Facility Details'!$G$65=0,0,IF(AJ87&gt;0,CHOOSE(AJ87,$C$78,$C$79,$C$80,$C$81,$C$82),0))*IF('Setup - Facility Details'!$F$65=NaturalGas,1,0)*'Setup - Facility Details'!$E$65*IF(ISERROR(AI78),0,AI78)</f>
        <v>0</v>
      </c>
      <c r="AK78" s="193">
        <f ca="1">IF($A78&gt;0,IF(AK$6=0,0,INDIRECT(ADDRESS(AK$6-1+CHOOSE($D$4,'Equipment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Details'!E66</f>
        <v>0</v>
      </c>
      <c r="AL78" s="460">
        <f ca="1">IF('Setup - Facility Details'!$G$66=0,0,IF(AL87&gt;0,CHOOSE(AL87,$C$78,$C$79,$C$80,$C$81,$C$82),0))*IF('Setup - Facility Details'!$F$66=NaturalGas,1,0)*'Setup - Facility Details'!$E$66*IF(ISERROR(AK78),0,AK78)</f>
        <v>0</v>
      </c>
      <c r="AM78" s="193">
        <f ca="1">IF($A78&gt;0,IF(AM$6=0,0,INDIRECT(ADDRESS(AM$6-1+CHOOSE($D$4,'Equipment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Details'!E67</f>
        <v>0</v>
      </c>
      <c r="AN78" s="460">
        <f ca="1">IF('Setup - Facility Details'!$G$67=0,0,IF(AN87&gt;0,CHOOSE(AN87,$C$78,$C$79,$C$80,$C$81,$C$82),0))*IF('Setup - Facility Details'!$F$67=NaturalGas,1,0)*'Setup - Facility Details'!$E$67*IF(ISERROR(AM78),0,AM78)</f>
        <v>0</v>
      </c>
      <c r="AO78" s="193">
        <f ca="1">IF($A78&gt;0,IF(AO$6=0,0,INDIRECT(ADDRESS(AO$6-1+CHOOSE($D$4,'Equipment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Details'!E68</f>
        <v>0</v>
      </c>
      <c r="AP78" s="460">
        <f ca="1">IF('Setup - Facility Details'!$G$68=0,0,IF(AP87&gt;0,CHOOSE(AP87,$C$78,$C$79,$C$80,$C$81,$C$82),0))*IF('Setup - Facility Details'!$F$68=NaturalGas,1,0)*'Setup - Facility Details'!$E$68*IF(ISERROR(AO78),0,AO78)</f>
        <v>0</v>
      </c>
      <c r="AQ78" s="193">
        <f ca="1">IF($A78&gt;0,IF(AQ$6=0,0,INDIRECT(ADDRESS(AQ$6-1+CHOOSE($D$4,'Equipment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Details'!E69</f>
        <v>0</v>
      </c>
      <c r="AR78" s="460">
        <f ca="1">IF('Setup - Facility Details'!$G$69=0,0,IF(AR87&gt;0,CHOOSE(AR87,$C$78,$C$79,$C$80,$C$81,$C$82),0))*IF('Setup - Facility Details'!$F$69=NaturalGas,1,0)*'Setup - Facility Details'!$E$69*IF(ISERROR(AQ78),0,AQ78)</f>
        <v>0</v>
      </c>
      <c r="AS78" s="193">
        <f ca="1">IF($A78&gt;0,IF(AS$6=0,0,INDIRECT(ADDRESS(AS$6-1+CHOOSE($D$4,'Equipment Schedules'!$D$678,'Equipment Schedules'!$D$679,'Equipment Schedules'!$D$680,'Equipment Schedules'!$D$681,'Equipment Schedules'!$D$682,'Equipment Schedules'!$D$683,'Equipment Schedules'!$D$684,'Equipment Schedules'!$D$685,'Equipment Schedules'!$D$686),'Calculations - Fugitives'!$A78+1,,,"Equipment Schedules"))),0)*'Setup - Facility Details'!E70</f>
        <v>0</v>
      </c>
      <c r="AT78" s="460">
        <f ca="1">IF('Setup - Facility Details'!$G$70=0,0,IF(AT87&gt;0,CHOOSE(AT87,$C$78,$C$79,$C$80,$C$81,$C$82),0))*IF('Setup - Facility Details'!$F$70=NaturalGas,1,0)*'Setup - Facility Details'!$E$70*IF(ISERROR(AS78),0,AS78)</f>
        <v>0</v>
      </c>
    </row>
    <row r="79" spans="1:46" x14ac:dyDescent="0.3">
      <c r="B79" s="193" t="str">
        <f ca="1">'Translation Table'!H680</f>
        <v>Intermittent Bleed</v>
      </c>
      <c r="C79" s="489">
        <f ca="1">INDIRECT(ADDRESS(CHOOSE($D$4,'EFs - Other'!L$6,'EFs - Other'!L$7,'EFs - Other'!L$8,'EFs - Other'!L$9,'EFs - Other'!L$10,'EFs - Other'!L$11,'EFs - Other'!L$12,'EFs - Other'!L$13,'EFs - Other'!L$14)-1+MATCH(B79,INDIRECT(CHOOSE($D$4,'EFs - Other'!N$6,'EFs - Other'!N$7,'EFs - Other'!N$8,'EFs - Other'!N$9,'EFs - Other'!N$10,'EFs - Other'!N$11,'EFs - Other'!N$12,'EFs - Other'!N$13,'EFs - Other'!N$14)),0),3,,,"EFs - Other"))</f>
        <v>1.5970703400000001</v>
      </c>
      <c r="D79" s="490"/>
      <c r="E79" s="490"/>
    </row>
    <row r="80" spans="1:46" x14ac:dyDescent="0.3">
      <c r="B80" s="452" t="str">
        <f ca="1">'Translation Table'!H681</f>
        <v>Low-Bleed</v>
      </c>
      <c r="C80" s="488">
        <f ca="1">INDIRECT(ADDRESS(CHOOSE($D$4,'EFs - Other'!L$6,'EFs - Other'!L$7,'EFs - Other'!L$8,'EFs - Other'!L$9,'EFs - Other'!L$10,'EFs - Other'!L$11,'EFs - Other'!L$12,'EFs - Other'!L$13,'EFs - Other'!L$14)-1+MATCH(B80,INDIRECT(CHOOSE($D$4,'EFs - Other'!N$6,'EFs - Other'!N$7,'EFs - Other'!N$8,'EFs - Other'!N$9,'EFs - Other'!N$10,'EFs - Other'!N$11,'EFs - Other'!N$12,'EFs - Other'!N$13,'EFs - Other'!N$14)),0),3,,,"EFs - Other"))</f>
        <v>0.93105802800000004</v>
      </c>
      <c r="D80" s="490"/>
      <c r="E80" s="490"/>
      <c r="G80" s="193" t="str">
        <f ca="1">'Translation Table'!H684</f>
        <v>Total Emissions (m3 CH4/d):</v>
      </c>
      <c r="H80" s="193">
        <f ca="1">H78*IF('Setup - Facility Details'!$F51=NaturalGas,'Setup - Facility Details'!$E$80,0)*'Setup - Facility Details'!$H51</f>
        <v>0</v>
      </c>
      <c r="I80" s="1032">
        <f ca="1">J78*IF('Setup - Facility Details'!$F52=NaturalGas,'Setup - Facility Details'!$E$80,0)*'Setup - Facility Details'!$H52</f>
        <v>0</v>
      </c>
      <c r="J80" s="1025"/>
      <c r="K80" s="1032">
        <f ca="1">L78*IF('Setup - Facility Details'!$F53=NaturalGas,'Setup - Facility Details'!$E$80,0)*'Setup - Facility Details'!$H53</f>
        <v>0</v>
      </c>
      <c r="L80" s="1025"/>
      <c r="M80" s="1032">
        <f ca="1">N78*IF('Setup - Facility Details'!$F54=NaturalGas,'Setup - Facility Details'!$E$80,0)*'Setup - Facility Details'!$H54</f>
        <v>0</v>
      </c>
      <c r="N80" s="1025"/>
      <c r="O80" s="1032">
        <f ca="1">P78*IF('Setup - Facility Details'!$F55=NaturalGas,'Setup - Facility Details'!$E$80,0)*'Setup - Facility Details'!$H55</f>
        <v>0</v>
      </c>
      <c r="P80" s="1025"/>
      <c r="Q80" s="1032">
        <f ca="1">R78*IF('Setup - Facility Details'!$F56=NaturalGas,'Setup - Facility Details'!$E$80,0)*'Setup - Facility Details'!$H56</f>
        <v>0</v>
      </c>
      <c r="R80" s="1025"/>
      <c r="S80" s="1032">
        <f ca="1">T78*IF('Setup - Facility Details'!$F57=NaturalGas,'Setup - Facility Details'!$E$80,0)*'Setup - Facility Details'!$H57</f>
        <v>0</v>
      </c>
      <c r="T80" s="1025"/>
      <c r="U80" s="1032">
        <f ca="1">V78*IF('Setup - Facility Details'!$F58=NaturalGas,'Setup - Facility Details'!$E$80,0)*'Setup - Facility Details'!$H58</f>
        <v>0</v>
      </c>
      <c r="V80" s="1025"/>
      <c r="W80" s="1032">
        <f ca="1">X78*IF('Setup - Facility Details'!$F59=NaturalGas,'Setup - Facility Details'!$E$80,0)*'Setup - Facility Details'!$H59</f>
        <v>0</v>
      </c>
      <c r="X80" s="1025"/>
      <c r="Y80" s="1032">
        <f ca="1">Z78*IF('Setup - Facility Details'!$F60=NaturalGas,'Setup - Facility Details'!$E$80,0)*'Setup - Facility Details'!$H60</f>
        <v>0</v>
      </c>
      <c r="Z80" s="1025"/>
      <c r="AA80" s="1032">
        <f ca="1">AB78*IF('Setup - Facility Details'!$F61=NaturalGas,'Setup - Facility Details'!$E$80,0)*'Setup - Facility Details'!$H61</f>
        <v>0</v>
      </c>
      <c r="AB80" s="1025"/>
      <c r="AC80" s="1032">
        <f ca="1">AD78*IF('Setup - Facility Details'!$F62=NaturalGas,'Setup - Facility Details'!$E$80,0)*'Setup - Facility Details'!$H62</f>
        <v>0</v>
      </c>
      <c r="AD80" s="1025"/>
      <c r="AE80" s="1032">
        <f ca="1">AF78*IF('Setup - Facility Details'!$F63=NaturalGas,'Setup - Facility Details'!$E$80,0)*'Setup - Facility Details'!$H63</f>
        <v>0</v>
      </c>
      <c r="AF80" s="1025"/>
      <c r="AG80" s="1032">
        <f ca="1">AH78*IF('Setup - Facility Details'!$F64=NaturalGas,'Setup - Facility Details'!$E$80,0)*'Setup - Facility Details'!$H64</f>
        <v>0</v>
      </c>
      <c r="AH80" s="1025"/>
      <c r="AI80" s="1032">
        <f ca="1">AJ78*IF('Setup - Facility Details'!$F65=NaturalGas,'Setup - Facility Details'!$E$80,0)*'Setup - Facility Details'!$H65</f>
        <v>0</v>
      </c>
      <c r="AJ80" s="1025"/>
      <c r="AK80" s="1032">
        <f ca="1">AL78*IF('Setup - Facility Details'!$F66=NaturalGas,'Setup - Facility Details'!$E$80,0)*'Setup - Facility Details'!$H66</f>
        <v>0</v>
      </c>
      <c r="AL80" s="1025"/>
      <c r="AM80" s="1032">
        <f ca="1">AN78*IF('Setup - Facility Details'!$F67=NaturalGas,'Setup - Facility Details'!$E$80,0)*'Setup - Facility Details'!$H67</f>
        <v>0</v>
      </c>
      <c r="AN80" s="1025"/>
      <c r="AO80" s="1032">
        <f ca="1">AP78*IF('Setup - Facility Details'!$F68=NaturalGas,'Setup - Facility Details'!$E$80,0)*'Setup - Facility Details'!$H68</f>
        <v>0</v>
      </c>
      <c r="AP80" s="1025"/>
      <c r="AQ80" s="1032">
        <f ca="1">AR78*IF('Setup - Facility Details'!$F69=NaturalGas,'Setup - Facility Details'!$E$80,0)*'Setup - Facility Details'!$H69</f>
        <v>0</v>
      </c>
      <c r="AR80" s="1025"/>
      <c r="AS80" s="1032">
        <f ca="1">AT78*IF('Setup - Facility Details'!$F70=NaturalGas,'Setup - Facility Details'!$E$80,0)*'Setup - Facility Details'!$H70</f>
        <v>0</v>
      </c>
      <c r="AT80" s="1025"/>
    </row>
    <row r="81" spans="2:46" x14ac:dyDescent="0.3">
      <c r="B81" s="193" t="str">
        <f ca="1">'Translation Table'!H682</f>
        <v>No-Bleed</v>
      </c>
      <c r="C81" s="489">
        <f ca="1">INDIRECT(ADDRESS(CHOOSE($D$4,'EFs - Other'!L$6,'EFs - Other'!L$7,'EFs - Other'!L$8,'EFs - Other'!L$9,'EFs - Other'!L$10,'EFs - Other'!L$11,'EFs - Other'!L$12,'EFs - Other'!L$13,'EFs - Other'!L$14)-1+MATCH(B81,INDIRECT(CHOOSE($D$4,'EFs - Other'!N$6,'EFs - Other'!N$7,'EFs - Other'!N$8,'EFs - Other'!N$9,'EFs - Other'!N$10,'EFs - Other'!N$11,'EFs - Other'!N$12,'EFs - Other'!N$13,'EFs - Other'!N$14)),0),3,,,"EFs - Other"))</f>
        <v>0</v>
      </c>
      <c r="D81" s="490"/>
      <c r="E81" s="490"/>
      <c r="G81" s="1040" t="str">
        <f ca="1">'Translation Table'!H685</f>
        <v>Grand Total:</v>
      </c>
      <c r="H81" s="207" t="str">
        <f ca="1">'Translation Table'!H618</f>
        <v>CH4</v>
      </c>
      <c r="I81" s="208" t="str">
        <f ca="1">'Translation Table'!H619</f>
        <v>CO2</v>
      </c>
      <c r="J81" s="208" t="str">
        <f ca="1">'Translation Table'!H620</f>
        <v>NMVOC</v>
      </c>
      <c r="N81" s="448"/>
      <c r="O81" s="448"/>
      <c r="P81" s="448"/>
      <c r="Q81" s="448"/>
      <c r="R81" s="448"/>
      <c r="S81" s="448"/>
      <c r="T81" s="448"/>
      <c r="U81" s="448"/>
      <c r="V81" s="448"/>
      <c r="W81" s="448"/>
      <c r="X81" s="448"/>
      <c r="Y81" s="448"/>
      <c r="Z81" s="448"/>
      <c r="AA81" s="448"/>
      <c r="AB81" s="448"/>
      <c r="AC81" s="448"/>
      <c r="AD81" s="448"/>
      <c r="AE81" s="448"/>
      <c r="AF81" s="448"/>
      <c r="AG81" s="448"/>
      <c r="AH81" s="448"/>
      <c r="AI81" s="448"/>
      <c r="AJ81" s="448"/>
      <c r="AK81" s="448"/>
      <c r="AL81" s="448"/>
      <c r="AM81" s="448"/>
      <c r="AN81" s="448"/>
      <c r="AO81" s="448"/>
      <c r="AP81" s="448"/>
      <c r="AQ81" s="448"/>
      <c r="AR81" s="448"/>
      <c r="AS81" s="448"/>
      <c r="AT81" s="448"/>
    </row>
    <row r="82" spans="2:46" x14ac:dyDescent="0.3">
      <c r="B82" s="452" t="str">
        <f ca="1">'Translation Table'!H683</f>
        <v>Not Applicable</v>
      </c>
      <c r="C82" s="488">
        <f ca="1">INDIRECT(ADDRESS(CHOOSE($D$4,'EFs - Other'!L$6,'EFs - Other'!L$7,'EFs - Other'!L$8,'EFs - Other'!L$9,'EFs - Other'!L$10,'EFs - Other'!L$11,'EFs - Other'!L$12,'EFs - Other'!L$13,'EFs - Other'!L$14)-1+MATCH(B82,INDIRECT(CHOOSE($D$4,'EFs - Other'!N$6,'EFs - Other'!N$7,'EFs - Other'!N$8,'EFs - Other'!N$9,'EFs - Other'!N$10,'EFs - Other'!N$11,'EFs - Other'!N$12,'EFs - Other'!N$13,'EFs - Other'!N$14)),0),3,,,"EFs - Other"))</f>
        <v>0</v>
      </c>
      <c r="D82" s="490"/>
      <c r="E82" s="490"/>
      <c r="G82" s="1038"/>
      <c r="H82" s="55">
        <f>IF(ISBLANK('Setup - Facility Details'!I42),SUM(H80:AT80),'Setup - Facility Details'!I42*24)</f>
        <v>0</v>
      </c>
      <c r="I82" s="55">
        <f>H82*InstrumentNG_CO2/InstrumentNG_CH4</f>
        <v>0</v>
      </c>
      <c r="J82" s="55">
        <f>H82*(1-InstrumentNG_CH4-InstrumentNG_CO2-InstrumentNG_N2-InstrumentNG_H2S)/InstrumentNG_CH4</f>
        <v>0</v>
      </c>
      <c r="K82" s="52" t="str">
        <f ca="1">'Translation Table'!H622</f>
        <v>Nm3/d</v>
      </c>
    </row>
    <row r="83" spans="2:46" x14ac:dyDescent="0.3">
      <c r="D83" s="490"/>
      <c r="E83" s="490"/>
      <c r="G83" s="1038"/>
      <c r="H83" s="55">
        <f>H82*365</f>
        <v>0</v>
      </c>
      <c r="I83" s="55">
        <f>I82*365</f>
        <v>0</v>
      </c>
      <c r="J83" s="55">
        <f>J82*365</f>
        <v>0</v>
      </c>
      <c r="K83" s="52" t="str">
        <f ca="1">'Translation Table'!H623</f>
        <v>Nm3/y</v>
      </c>
    </row>
    <row r="84" spans="2:46" x14ac:dyDescent="0.3">
      <c r="G84" s="1039"/>
      <c r="H84" s="55">
        <f>H83*Constants!$E$5/1000</f>
        <v>0</v>
      </c>
      <c r="I84" s="55">
        <f>I83/Vstp*M_CO2/1000</f>
        <v>0</v>
      </c>
      <c r="J84" s="55">
        <f>J83/Vstp*M_NMVOC/1000</f>
        <v>0</v>
      </c>
      <c r="K84" s="52" t="str">
        <f ca="1">'Translation Table'!H624</f>
        <v>tonnes/y</v>
      </c>
    </row>
    <row r="85" spans="2:46" hidden="1" x14ac:dyDescent="0.3">
      <c r="F85" s="47"/>
      <c r="G85" s="47" t="s">
        <v>1186</v>
      </c>
      <c r="H85" s="53" t="e">
        <f ca="1">MATCH('Setup - Facility Details'!$G$51,'Translation Table'!$H$679:$H$683,0)</f>
        <v>#N/A</v>
      </c>
      <c r="I85" s="47"/>
      <c r="J85" s="53" t="e">
        <f ca="1">MATCH('Setup - Facility Details'!$G$52,'Translation Table'!$H$679:$H$683,0)</f>
        <v>#N/A</v>
      </c>
      <c r="K85" s="47"/>
      <c r="L85" s="53" t="e">
        <f ca="1">MATCH('Setup - Facility Details'!$G$53,'Translation Table'!$H$679:$H$683,0)</f>
        <v>#N/A</v>
      </c>
      <c r="M85" s="47"/>
      <c r="N85" s="53" t="e">
        <f ca="1">MATCH('Setup - Facility Details'!$G$54,'Translation Table'!$H$679:$H$683,0)</f>
        <v>#N/A</v>
      </c>
      <c r="O85" s="47"/>
      <c r="P85" s="53" t="e">
        <f ca="1">MATCH('Setup - Facility Details'!$G$55,'Translation Table'!$H$679:$H$683,0)</f>
        <v>#N/A</v>
      </c>
      <c r="Q85" s="47"/>
      <c r="R85" s="53" t="e">
        <f ca="1">MATCH('Setup - Facility Details'!$G$56,'Translation Table'!$H$679:$H$683,0)</f>
        <v>#N/A</v>
      </c>
      <c r="S85" s="47"/>
      <c r="T85" s="53" t="e">
        <f ca="1">MATCH('Setup - Facility Details'!$G$57,'Translation Table'!$H$679:$H$683,0)</f>
        <v>#N/A</v>
      </c>
      <c r="U85" s="47"/>
      <c r="V85" s="53" t="e">
        <f ca="1">MATCH('Setup - Facility Details'!$G$58,'Translation Table'!$H$679:$H$683,0)</f>
        <v>#N/A</v>
      </c>
      <c r="W85" s="47"/>
      <c r="X85" s="53" t="e">
        <f ca="1">MATCH('Setup - Facility Details'!$G$59,'Translation Table'!$H$679:$H$683,0)</f>
        <v>#N/A</v>
      </c>
      <c r="Y85" s="47"/>
      <c r="Z85" s="53" t="e">
        <f ca="1">MATCH('Setup - Facility Details'!$G$60,'Translation Table'!$H$679:$H$683,0)</f>
        <v>#N/A</v>
      </c>
      <c r="AA85" s="47"/>
      <c r="AB85" s="53" t="e">
        <f ca="1">MATCH('Setup - Facility Details'!$G$61,'Translation Table'!$H$679:$H$683,0)</f>
        <v>#N/A</v>
      </c>
      <c r="AC85" s="47"/>
      <c r="AD85" s="53" t="e">
        <f ca="1">MATCH('Setup - Facility Details'!$G$62,'Translation Table'!$H$679:$H$683,0)</f>
        <v>#N/A</v>
      </c>
      <c r="AE85" s="47"/>
      <c r="AF85" s="53" t="e">
        <f ca="1">MATCH('Setup - Facility Details'!$G$63,'Translation Table'!$H$679:$H$683,0)</f>
        <v>#N/A</v>
      </c>
      <c r="AG85" s="47"/>
      <c r="AH85" s="53" t="e">
        <f ca="1">MATCH('Setup - Facility Details'!$G$64,'Translation Table'!$H$679:$H$683,0)</f>
        <v>#N/A</v>
      </c>
      <c r="AI85" s="47"/>
      <c r="AJ85" s="53" t="e">
        <f ca="1">MATCH('Setup - Facility Details'!$G$65,'Translation Table'!$H$679:$H$683,0)</f>
        <v>#N/A</v>
      </c>
      <c r="AK85" s="47"/>
      <c r="AL85" s="53" t="e">
        <f ca="1">MATCH('Setup - Facility Details'!$G$66,'Translation Table'!$H$679:$H$683,0)</f>
        <v>#N/A</v>
      </c>
      <c r="AM85" s="47"/>
      <c r="AN85" s="53" t="e">
        <f ca="1">MATCH('Setup - Facility Details'!$G$67,'Translation Table'!$H$679:$H$683,0)</f>
        <v>#N/A</v>
      </c>
      <c r="AO85" s="47"/>
      <c r="AP85" s="53" t="e">
        <f ca="1">MATCH('Setup - Facility Details'!$G$68,'Translation Table'!$H$679:$H$683,0)</f>
        <v>#N/A</v>
      </c>
      <c r="AQ85" s="47"/>
      <c r="AR85" s="53" t="e">
        <f ca="1">MATCH('Setup - Facility Details'!$G$69,'Translation Table'!$H$679:$H$683,0)</f>
        <v>#N/A</v>
      </c>
      <c r="AS85" s="47"/>
      <c r="AT85" s="53" t="e">
        <f ca="1">MATCH('Setup - Facility Details'!$G$70,'Translation Table'!$H$679:$H$683,0)</f>
        <v>#N/A</v>
      </c>
    </row>
    <row r="86" spans="2:46" hidden="1" x14ac:dyDescent="0.3">
      <c r="F86" s="47"/>
      <c r="G86" s="47" t="s">
        <v>1187</v>
      </c>
      <c r="H86" s="53" t="e">
        <f>MATCH('Setup - Facility Details'!$G$51,'Translation Table'!$J$679:$J$683)</f>
        <v>#N/A</v>
      </c>
      <c r="I86" s="47"/>
      <c r="J86" s="53" t="e">
        <f>MATCH('Setup - Facility Details'!$G$52,'Translation Table'!$J$679:$J$683)</f>
        <v>#N/A</v>
      </c>
      <c r="K86" s="47"/>
      <c r="L86" s="53" t="e">
        <f>MATCH('Setup - Facility Details'!$G$53,'Translation Table'!$J$679:$J$683)</f>
        <v>#N/A</v>
      </c>
      <c r="M86" s="47"/>
      <c r="N86" s="53" t="e">
        <f>MATCH('Setup - Facility Details'!$G$54,'Translation Table'!$J$679:$J$683)</f>
        <v>#N/A</v>
      </c>
      <c r="O86" s="47"/>
      <c r="P86" s="53" t="e">
        <f>MATCH('Setup - Facility Details'!$G$55,'Translation Table'!$J$679:$J$683)</f>
        <v>#N/A</v>
      </c>
      <c r="Q86" s="47"/>
      <c r="R86" s="53" t="e">
        <f>MATCH('Setup - Facility Details'!$G$56,'Translation Table'!$J$679:$J$683)</f>
        <v>#N/A</v>
      </c>
      <c r="S86" s="47"/>
      <c r="T86" s="53" t="e">
        <f>MATCH('Setup - Facility Details'!$G$57,'Translation Table'!$J$679:$J$683)</f>
        <v>#N/A</v>
      </c>
      <c r="U86" s="47"/>
      <c r="V86" s="53" t="e">
        <f>MATCH('Setup - Facility Details'!$G$58,'Translation Table'!$J$679:$J$683)</f>
        <v>#N/A</v>
      </c>
      <c r="W86" s="47"/>
      <c r="X86" s="53" t="e">
        <f>MATCH('Setup - Facility Details'!$G$59,'Translation Table'!$J$679:$J$683)</f>
        <v>#N/A</v>
      </c>
      <c r="Y86" s="47"/>
      <c r="Z86" s="53" t="e">
        <f>MATCH('Setup - Facility Details'!$G$60,'Translation Table'!$J$679:$J$683)</f>
        <v>#N/A</v>
      </c>
      <c r="AA86" s="47"/>
      <c r="AB86" s="53" t="e">
        <f>MATCH('Setup - Facility Details'!$G$61,'Translation Table'!$J$679:$J$683)</f>
        <v>#N/A</v>
      </c>
      <c r="AC86" s="47"/>
      <c r="AD86" s="53" t="e">
        <f>MATCH('Setup - Facility Details'!$G$62,'Translation Table'!$J$679:$J$683)</f>
        <v>#N/A</v>
      </c>
      <c r="AE86" s="47"/>
      <c r="AF86" s="53" t="e">
        <f>MATCH('Setup - Facility Details'!$G$63,'Translation Table'!$J$679:$J$683)</f>
        <v>#N/A</v>
      </c>
      <c r="AG86" s="47"/>
      <c r="AH86" s="53" t="e">
        <f>MATCH('Setup - Facility Details'!$G$64,'Translation Table'!$J$679:$J$683)</f>
        <v>#N/A</v>
      </c>
      <c r="AI86" s="47"/>
      <c r="AJ86" s="53" t="e">
        <f>MATCH('Setup - Facility Details'!$G$65,'Translation Table'!$J$679:$J$683)</f>
        <v>#N/A</v>
      </c>
      <c r="AK86" s="47"/>
      <c r="AL86" s="53" t="e">
        <f>MATCH('Setup - Facility Details'!$G$66,'Translation Table'!$J$679:$J$683)</f>
        <v>#N/A</v>
      </c>
      <c r="AM86" s="47"/>
      <c r="AN86" s="53" t="e">
        <f>MATCH('Setup - Facility Details'!$G$67,'Translation Table'!$J$679:$J$683)</f>
        <v>#N/A</v>
      </c>
      <c r="AO86" s="47"/>
      <c r="AP86" s="53" t="e">
        <f>MATCH('Setup - Facility Details'!$G$68,'Translation Table'!$J$679:$J$683)</f>
        <v>#N/A</v>
      </c>
      <c r="AQ86" s="47"/>
      <c r="AR86" s="53" t="e">
        <f>MATCH('Setup - Facility Details'!$G$69,'Translation Table'!$J$679:$J$683)</f>
        <v>#N/A</v>
      </c>
      <c r="AS86" s="47"/>
      <c r="AT86" s="53" t="e">
        <f>MATCH('Setup - Facility Details'!$G$70,'Translation Table'!$J$679:$J$683)</f>
        <v>#N/A</v>
      </c>
    </row>
    <row r="87" spans="2:46" hidden="1" x14ac:dyDescent="0.3">
      <c r="F87" s="47"/>
      <c r="G87" s="47"/>
      <c r="H87" s="47">
        <f ca="1">IF(ISERROR(H85),IF(ISERROR(H86),0,H86),H85)</f>
        <v>0</v>
      </c>
      <c r="I87" s="47"/>
      <c r="J87" s="47">
        <f ca="1">IF(ISERROR(J85),IF(ISERROR(J86),0,J86),J85)</f>
        <v>0</v>
      </c>
      <c r="K87" s="47"/>
      <c r="L87" s="47">
        <f ca="1">IF(ISERROR(L85),IF(ISERROR(L86),0,L86),L85)</f>
        <v>0</v>
      </c>
      <c r="M87" s="47"/>
      <c r="N87" s="47">
        <f ca="1">IF(ISERROR(N85),IF(ISERROR(N86),0,N86),N85)</f>
        <v>0</v>
      </c>
      <c r="O87" s="47"/>
      <c r="P87" s="47">
        <f ca="1">IF(ISERROR(P85),IF(ISERROR(P86),0,P86),P85)</f>
        <v>0</v>
      </c>
      <c r="Q87" s="47"/>
      <c r="R87" s="47">
        <f ca="1">IF(ISERROR(R85),IF(ISERROR(R86),0,R86),R85)</f>
        <v>0</v>
      </c>
      <c r="S87" s="47"/>
      <c r="T87" s="47">
        <f ca="1">IF(ISERROR(T85),IF(ISERROR(T86),0,T86),T85)</f>
        <v>0</v>
      </c>
      <c r="U87" s="47"/>
      <c r="V87" s="47">
        <f ca="1">IF(ISERROR(V85),IF(ISERROR(V86),0,V86),V85)</f>
        <v>0</v>
      </c>
      <c r="W87" s="47"/>
      <c r="X87" s="47">
        <f ca="1">IF(ISERROR(X85),IF(ISERROR(X86),0,X86),X85)</f>
        <v>0</v>
      </c>
      <c r="Y87" s="47"/>
      <c r="Z87" s="47">
        <f ca="1">IF(ISERROR(Z85),IF(ISERROR(Z86),0,Z86),Z85)</f>
        <v>0</v>
      </c>
      <c r="AA87" s="47"/>
      <c r="AB87" s="47">
        <f ca="1">IF(ISERROR(AB85),IF(ISERROR(AB86),0,AB86),AB85)</f>
        <v>0</v>
      </c>
      <c r="AC87" s="47"/>
      <c r="AD87" s="47">
        <f ca="1">IF(ISERROR(AD85),IF(ISERROR(AD86),0,AD86),AD85)</f>
        <v>0</v>
      </c>
      <c r="AE87" s="47"/>
      <c r="AF87" s="47">
        <f ca="1">IF(ISERROR(AF85),IF(ISERROR(AF86),0,AF86),AF85)</f>
        <v>0</v>
      </c>
      <c r="AG87" s="47"/>
      <c r="AH87" s="47">
        <f ca="1">IF(ISERROR(AH85),IF(ISERROR(AH86),0,AH86),AH85)</f>
        <v>0</v>
      </c>
      <c r="AI87" s="47"/>
      <c r="AJ87" s="47">
        <f ca="1">IF(ISERROR(AJ85),IF(ISERROR(AJ86),0,AJ86),AJ85)</f>
        <v>0</v>
      </c>
      <c r="AK87" s="47"/>
      <c r="AL87" s="47">
        <f ca="1">IF(ISERROR(AL85),IF(ISERROR(AL86),0,AL86),AL85)</f>
        <v>0</v>
      </c>
      <c r="AM87" s="47"/>
      <c r="AN87" s="47">
        <f ca="1">IF(ISERROR(AN85),IF(ISERROR(AN86),0,AN86),AN85)</f>
        <v>0</v>
      </c>
      <c r="AO87" s="47"/>
      <c r="AP87" s="47">
        <f ca="1">IF(ISERROR(AP85),IF(ISERROR(AP86),0,AP86),AP85)</f>
        <v>0</v>
      </c>
      <c r="AQ87" s="47"/>
      <c r="AR87" s="47">
        <f ca="1">IF(ISERROR(AR85),IF(ISERROR(AR86),0,AR86),AR85)</f>
        <v>0</v>
      </c>
      <c r="AS87" s="47"/>
      <c r="AT87" s="47">
        <f ca="1">IF(ISERROR(AT85),IF(ISERROR(AT86),0,AT86),AT85)</f>
        <v>0</v>
      </c>
    </row>
    <row r="88" spans="2:46" x14ac:dyDescent="0.3">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row>
    <row r="89" spans="2:46" ht="22.5" x14ac:dyDescent="0.45">
      <c r="B89" s="1043" t="str">
        <f ca="1">'Translation Table'!H689</f>
        <v>Inventory of Pneumatic Chemical Injection Pumps:</v>
      </c>
      <c r="C89" s="1043"/>
      <c r="H89" s="491"/>
    </row>
    <row r="91" spans="2:46" ht="15.5" x14ac:dyDescent="0.35">
      <c r="B91" s="993" t="str">
        <f ca="1">'Translation Table'!H690</f>
        <v>Type</v>
      </c>
      <c r="C91" s="201" t="str">
        <f ca="1">'Translation Table'!H691</f>
        <v>Count</v>
      </c>
      <c r="D91" s="201" t="str">
        <f ca="1">'Translation Table'!H692</f>
        <v>Emission Factor</v>
      </c>
      <c r="E91" s="201" t="str">
        <f ca="1">'Translation Table'!H693</f>
        <v>CH4</v>
      </c>
      <c r="F91" s="201" t="str">
        <f ca="1">'Translation Table'!H694</f>
        <v>OT</v>
      </c>
      <c r="G91" s="201" t="str">
        <f ca="1">'Translation Table'!H695</f>
        <v>Emissions</v>
      </c>
      <c r="H91" s="491"/>
    </row>
    <row r="92" spans="2:46" ht="15.5" x14ac:dyDescent="0.35">
      <c r="B92" s="994"/>
      <c r="C92" s="201"/>
      <c r="D92" s="201" t="str">
        <f ca="1">'Translation Table'!H696</f>
        <v>(Nm3/d/pump)</v>
      </c>
      <c r="E92" s="201" t="str">
        <f ca="1">'Translation Table'!H697</f>
        <v>Content (mol%)</v>
      </c>
      <c r="F92" s="201" t="str">
        <f ca="1">'Translation Table'!H698</f>
        <v>(%)</v>
      </c>
      <c r="G92" s="201" t="str">
        <f>'Translation Table'!I699</f>
        <v>(Nm3 CH4/d)</v>
      </c>
      <c r="H92" s="491"/>
    </row>
    <row r="93" spans="2:46" x14ac:dyDescent="0.3">
      <c r="B93" s="130" t="str">
        <f ca="1">'Translation Table'!H700</f>
        <v>Chemical Injection Pump: Pneumatic (Diaphragm Type)</v>
      </c>
      <c r="C93" s="452">
        <f ca="1">IF(ISERROR(VLOOKUP(B93,TblProcessUnitInventory,3,FALSE)),0,VLOOKUP(B93,TblProcessUnitInventory,3,FALSE))</f>
        <v>0</v>
      </c>
      <c r="D93" s="492" cm="1">
        <f t="array" aca="1" ref="D93" ca="1">INDIRECT("'EFs - Other'!C" &amp; MATCH(C4,'EFs - Other'!A62:A88,0)+ROW(StartPCIP))</f>
        <v>32.169091522842642</v>
      </c>
      <c r="E93" s="493">
        <f ca="1">IF(C93&gt;0,IF(VLOOKUP(B93,TblProcessUnitInventory,4,FALSE)=NaturalGas,InstrumentNG_CH4,0),0)</f>
        <v>0</v>
      </c>
      <c r="F93" s="493">
        <f ca="1">IF(C93&gt;0,VLOOKUP(B93,TblProcessUnitInventory,6,FALSE),0)</f>
        <v>0</v>
      </c>
      <c r="G93" s="494">
        <f ca="1">C93*D93*E93*F93</f>
        <v>0</v>
      </c>
      <c r="H93" s="491"/>
    </row>
    <row r="94" spans="2:46" x14ac:dyDescent="0.3">
      <c r="B94" s="54" t="str">
        <f ca="1">'Translation Table'!H701</f>
        <v>Chemical Injection Pump: Pneumatic (Piston Type)</v>
      </c>
      <c r="C94" s="193">
        <f ca="1">IF(ISERROR(VLOOKUP(B94,TblProcessUnitInventory,3,FALSE)),0,VLOOKUP(B94,TblProcessUnitInventory,3,FALSE))</f>
        <v>0</v>
      </c>
      <c r="D94" s="394" cm="1">
        <f t="array" aca="1" ref="D94" ca="1">INDIRECT("'EFs - Other'!C" &amp; MATCH(C4,'EFs - Other'!A62:A88,0)+ROW(StartPCIP)+1)</f>
        <v>18.025040558375636</v>
      </c>
      <c r="E94" s="495">
        <f ca="1">IF(C94&gt;0,IF(VLOOKUP(B94,TblProcessUnitInventory,4,FALSE)=NaturalGas,InstrumentNG_CH4,0),0)</f>
        <v>0</v>
      </c>
      <c r="F94" s="496">
        <f ca="1">IF(C94&gt;0,VLOOKUP(B94,TblProcessUnitInventory,6,FALSE),0)</f>
        <v>0</v>
      </c>
      <c r="G94" s="497">
        <f ca="1">C94*D94*E94*F94</f>
        <v>0</v>
      </c>
      <c r="H94" s="491"/>
    </row>
    <row r="95" spans="2:46" x14ac:dyDescent="0.3">
      <c r="B95" s="130" t="str">
        <f ca="1">'Translation Table'!H702</f>
        <v>Chemical Injection Pump: Pneumatic (Unknown Type)</v>
      </c>
      <c r="C95" s="452">
        <f ca="1">IF(ISERROR(VLOOKUP(B95,TblProcessUnitInventory,3,FALSE)),0,VLOOKUP(B95,TblProcessUnitInventory,3,FALSE))</f>
        <v>0</v>
      </c>
      <c r="D95" s="492" cm="1">
        <f t="array" aca="1" ref="D95" ca="1">INDIRECT("'EFs - Other'!C" &amp; MATCH(C4,'EFs - Other'!A62:A88,0)+ROW(StartPCIP)+2)</f>
        <v>29.668009340101523</v>
      </c>
      <c r="E95" s="493">
        <f ca="1">IF(C95&gt;0,IF(VLOOKUP(B95,TblProcessUnitInventory,4,FALSE)=NaturalGas,InstrumentNG_CH4,0),0)</f>
        <v>0</v>
      </c>
      <c r="F95" s="493">
        <f ca="1">IF(C95&gt;0,VLOOKUP(B95,TblProcessUnitInventory,6,FALSE),0)</f>
        <v>0</v>
      </c>
      <c r="G95" s="498">
        <f ca="1">C95*D95*E95*F95</f>
        <v>0</v>
      </c>
      <c r="H95" s="491"/>
    </row>
    <row r="96" spans="2:46" x14ac:dyDescent="0.3">
      <c r="B96" s="160"/>
      <c r="D96" s="396"/>
      <c r="E96" s="499"/>
      <c r="F96" s="1037" t="str">
        <f ca="1">'Translation Table'!H703</f>
        <v>Grand Total:</v>
      </c>
      <c r="G96" s="207" t="str">
        <f ca="1">'Translation Table'!H618</f>
        <v>CH4</v>
      </c>
      <c r="H96" s="208" t="str">
        <f ca="1">'Translation Table'!H619</f>
        <v>CO2</v>
      </c>
      <c r="I96" s="208" t="str">
        <f ca="1">'Translation Table'!H620</f>
        <v>NMVOC</v>
      </c>
    </row>
    <row r="97" spans="1:43" x14ac:dyDescent="0.3">
      <c r="F97" s="1038"/>
      <c r="G97" s="51">
        <f ca="1">IF('Setup - Facility Details'!I43&gt;0,'Setup - Facility Details'!I43*24,SUM(G93:G95))</f>
        <v>0</v>
      </c>
      <c r="H97" s="55">
        <f ca="1">G97*InstrumentNG_CO2/InstrumentNG_CH4</f>
        <v>0</v>
      </c>
      <c r="I97" s="55">
        <f ca="1">G97*(1-InstrumentNG_CH4-InstrumentNG_CO2-InstrumentNG_N2-InstrumentNG_H2S)/InstrumentNG_CH4</f>
        <v>0</v>
      </c>
      <c r="J97" s="52" t="str">
        <f ca="1">'Translation Table'!H622</f>
        <v>Nm3/d</v>
      </c>
    </row>
    <row r="98" spans="1:43" x14ac:dyDescent="0.3">
      <c r="F98" s="1038"/>
      <c r="G98" s="318">
        <f ca="1">G97*365</f>
        <v>0</v>
      </c>
      <c r="H98" s="318">
        <f ca="1">H97*365</f>
        <v>0</v>
      </c>
      <c r="I98" s="318">
        <f ca="1">I97*365</f>
        <v>0</v>
      </c>
      <c r="J98" s="313" t="str">
        <f ca="1">'Translation Table'!H623</f>
        <v>Nm3/y</v>
      </c>
    </row>
    <row r="99" spans="1:43" x14ac:dyDescent="0.3">
      <c r="F99" s="1039"/>
      <c r="G99" s="51">
        <f ca="1">G98*Constants!$E$5/1000</f>
        <v>0</v>
      </c>
      <c r="H99" s="55">
        <f ca="1">H98/Vstp*M_CO2/1000</f>
        <v>0</v>
      </c>
      <c r="I99" s="55">
        <f ca="1">I98/Vstp*M_NMVOC/1000</f>
        <v>0</v>
      </c>
      <c r="J99" s="52" t="str">
        <f ca="1">'Translation Table'!H624</f>
        <v>tonnes/y</v>
      </c>
    </row>
    <row r="100" spans="1:43" x14ac:dyDescent="0.3">
      <c r="H100" s="491"/>
    </row>
    <row r="101" spans="1:43" x14ac:dyDescent="0.3">
      <c r="H101" s="491"/>
    </row>
    <row r="104" spans="1:43" ht="23.15" customHeight="1" x14ac:dyDescent="0.45">
      <c r="B104" s="44" t="str">
        <f ca="1">'Translation Table'!H707</f>
        <v>Inventory of Pressure Vessels:</v>
      </c>
      <c r="D104" s="984" t="str">
        <f ca="1">'Translation Table'!H708</f>
        <v>Emission Calculations</v>
      </c>
      <c r="E104" s="985"/>
      <c r="F104" s="985"/>
      <c r="G104" s="985"/>
      <c r="H104" s="198"/>
      <c r="I104" s="198"/>
      <c r="J104" s="198"/>
      <c r="K104" s="198"/>
      <c r="L104" s="198"/>
      <c r="M104" s="198"/>
      <c r="N104" s="198"/>
      <c r="O104" s="198"/>
      <c r="P104" s="198"/>
      <c r="Q104" s="198"/>
      <c r="R104" s="198"/>
      <c r="S104" s="198"/>
      <c r="T104" s="198"/>
      <c r="U104" s="198"/>
      <c r="V104" s="198"/>
      <c r="W104" s="198"/>
      <c r="X104" s="198"/>
      <c r="Y104" s="198"/>
      <c r="Z104" s="198"/>
      <c r="AA104" s="198"/>
      <c r="AB104" s="198"/>
      <c r="AC104" s="198"/>
      <c r="AD104" s="198"/>
      <c r="AE104" s="198"/>
      <c r="AF104" s="198"/>
      <c r="AG104" s="199"/>
      <c r="AH104" s="198"/>
      <c r="AI104" s="199"/>
      <c r="AJ104" s="198"/>
      <c r="AK104" s="199"/>
      <c r="AL104" s="198"/>
      <c r="AM104" s="199"/>
      <c r="AN104" s="198"/>
      <c r="AO104" s="199"/>
      <c r="AP104" s="198"/>
      <c r="AQ104" s="199"/>
    </row>
    <row r="105" spans="1:43" ht="15.5" x14ac:dyDescent="0.3">
      <c r="D105" s="1002" t="str">
        <f ca="1">'Translation Table'!H712</f>
        <v>Category 1</v>
      </c>
      <c r="E105" s="1023"/>
      <c r="F105" s="1002" t="str">
        <f ca="1">'Translation Table'!H713</f>
        <v>Category 2</v>
      </c>
      <c r="G105" s="1047"/>
      <c r="H105" s="1002" t="str">
        <f ca="1">'Translation Table'!H714</f>
        <v>Category 3</v>
      </c>
      <c r="I105" s="1023"/>
      <c r="J105" s="1002" t="str">
        <f ca="1">'Translation Table'!H715</f>
        <v>Category 4</v>
      </c>
      <c r="K105" s="1023"/>
      <c r="L105" s="1002" t="str">
        <f ca="1">'Translation Table'!H716</f>
        <v>Category 5</v>
      </c>
      <c r="M105" s="1023"/>
      <c r="N105" s="1002" t="str">
        <f ca="1">'Translation Table'!H717</f>
        <v>Category 6</v>
      </c>
      <c r="O105" s="1023"/>
      <c r="P105" s="1002" t="str">
        <f ca="1">'Translation Table'!H718</f>
        <v>Category 7</v>
      </c>
      <c r="Q105" s="1023"/>
      <c r="R105" s="1002" t="str">
        <f ca="1">'Translation Table'!H719</f>
        <v>Category 8</v>
      </c>
      <c r="S105" s="1023"/>
      <c r="T105" s="1002" t="str">
        <f ca="1">'Translation Table'!H720</f>
        <v>Category 9</v>
      </c>
      <c r="U105" s="1023"/>
      <c r="V105" s="1002" t="str">
        <f ca="1">'Translation Table'!H721</f>
        <v>Category 10</v>
      </c>
      <c r="W105" s="1023"/>
      <c r="X105" s="1002" t="str">
        <f ca="1">'Translation Table'!H722</f>
        <v>Category 11</v>
      </c>
      <c r="Y105" s="1023"/>
      <c r="Z105" s="1002" t="str">
        <f ca="1">'Translation Table'!H723</f>
        <v>Category 12</v>
      </c>
      <c r="AA105" s="1023"/>
      <c r="AB105" s="1002" t="str">
        <f ca="1">'Translation Table'!H709</f>
        <v>Category 13</v>
      </c>
      <c r="AC105" s="1023"/>
      <c r="AD105" s="1002" t="str">
        <f ca="1">'Translation Table'!H710</f>
        <v>Category 14</v>
      </c>
      <c r="AE105" s="1023"/>
      <c r="AF105" s="1002" t="str">
        <f ca="1">'Translation Table'!H711</f>
        <v>Category 15</v>
      </c>
      <c r="AG105" s="1023"/>
      <c r="AH105" s="1002" t="str">
        <f ca="1">'Translation Table'!H488</f>
        <v>Category 16</v>
      </c>
      <c r="AI105" s="1023"/>
      <c r="AJ105" s="1002" t="str">
        <f ca="1">'Translation Table'!H489</f>
        <v>Category 17</v>
      </c>
      <c r="AK105" s="1023"/>
      <c r="AL105" s="1002" t="str">
        <f ca="1">'Translation Table'!H490</f>
        <v>Category 18</v>
      </c>
      <c r="AM105" s="1023"/>
      <c r="AN105" s="1002" t="str">
        <f ca="1">'Translation Table'!H491</f>
        <v>Category 19</v>
      </c>
      <c r="AO105" s="1023"/>
      <c r="AP105" s="1002" t="str">
        <f ca="1">'Translation Table'!H492</f>
        <v>Category 20</v>
      </c>
      <c r="AQ105" s="1023"/>
    </row>
    <row r="106" spans="1:43" ht="16.5" customHeight="1" x14ac:dyDescent="0.35">
      <c r="B106" s="201" t="str">
        <f ca="1">'Translation Table'!H724</f>
        <v>Emission Factor</v>
      </c>
      <c r="D106" s="1018">
        <f ca="1">G10</f>
        <v>0</v>
      </c>
      <c r="E106" s="1019"/>
      <c r="F106" s="1018">
        <f ca="1">I10</f>
        <v>0</v>
      </c>
      <c r="G106" s="1041"/>
      <c r="H106" s="1018">
        <f ca="1">K10</f>
        <v>0</v>
      </c>
      <c r="I106" s="1019"/>
      <c r="J106" s="1018">
        <f ca="1">M10</f>
        <v>0</v>
      </c>
      <c r="K106" s="1019"/>
      <c r="L106" s="1018">
        <f ca="1">O10</f>
        <v>0</v>
      </c>
      <c r="M106" s="1019"/>
      <c r="N106" s="1018">
        <f ca="1">Q10</f>
        <v>0</v>
      </c>
      <c r="O106" s="1019"/>
      <c r="P106" s="1018">
        <f ca="1">S10</f>
        <v>0</v>
      </c>
      <c r="Q106" s="1019"/>
      <c r="R106" s="1018">
        <f ca="1">U10</f>
        <v>0</v>
      </c>
      <c r="S106" s="1019"/>
      <c r="T106" s="1018">
        <f ca="1">W10</f>
        <v>0</v>
      </c>
      <c r="U106" s="1019"/>
      <c r="V106" s="1018">
        <f ca="1">Y10</f>
        <v>0</v>
      </c>
      <c r="W106" s="1019"/>
      <c r="X106" s="1018">
        <f ca="1">AA10</f>
        <v>0</v>
      </c>
      <c r="Y106" s="1019"/>
      <c r="Z106" s="1018">
        <f ca="1">AC10</f>
        <v>0</v>
      </c>
      <c r="AA106" s="1019"/>
      <c r="AB106" s="1018">
        <f ca="1">AE10</f>
        <v>0</v>
      </c>
      <c r="AC106" s="1019"/>
      <c r="AD106" s="1018">
        <f ca="1">AG10</f>
        <v>0</v>
      </c>
      <c r="AE106" s="1019"/>
      <c r="AF106" s="1018">
        <f ca="1">AI10</f>
        <v>0</v>
      </c>
      <c r="AG106" s="1019"/>
      <c r="AH106" s="1018">
        <f ca="1">AK10</f>
        <v>0</v>
      </c>
      <c r="AI106" s="1019"/>
      <c r="AJ106" s="1018">
        <f ca="1">AM10</f>
        <v>0</v>
      </c>
      <c r="AK106" s="1019"/>
      <c r="AL106" s="1018">
        <f ca="1">AO10</f>
        <v>0</v>
      </c>
      <c r="AM106" s="1019"/>
      <c r="AN106" s="1018">
        <f ca="1">AQ10</f>
        <v>0</v>
      </c>
      <c r="AO106" s="1019"/>
      <c r="AP106" s="1018">
        <f ca="1">AS10</f>
        <v>0</v>
      </c>
      <c r="AQ106" s="1019"/>
    </row>
    <row r="107" spans="1:43" x14ac:dyDescent="0.3">
      <c r="B107" s="993" t="str">
        <f ca="1">'Translation Table'!H725</f>
        <v>(Nm3/y/vessel)</v>
      </c>
      <c r="D107" s="1020"/>
      <c r="E107" s="1021"/>
      <c r="F107" s="1036"/>
      <c r="G107" s="1042"/>
      <c r="H107" s="1020"/>
      <c r="I107" s="1021"/>
      <c r="J107" s="1020"/>
      <c r="K107" s="1021"/>
      <c r="L107" s="1020"/>
      <c r="M107" s="1021"/>
      <c r="N107" s="1020"/>
      <c r="O107" s="1021"/>
      <c r="P107" s="1020"/>
      <c r="Q107" s="1021"/>
      <c r="R107" s="1020"/>
      <c r="S107" s="1021"/>
      <c r="T107" s="1020"/>
      <c r="U107" s="1021"/>
      <c r="V107" s="1020"/>
      <c r="W107" s="1021"/>
      <c r="X107" s="1020"/>
      <c r="Y107" s="1021"/>
      <c r="Z107" s="1020"/>
      <c r="AA107" s="1021"/>
      <c r="AB107" s="1020"/>
      <c r="AC107" s="1021"/>
      <c r="AD107" s="1020"/>
      <c r="AE107" s="1021"/>
      <c r="AF107" s="1020"/>
      <c r="AG107" s="1021"/>
      <c r="AH107" s="1020"/>
      <c r="AI107" s="1021"/>
      <c r="AJ107" s="1020"/>
      <c r="AK107" s="1021"/>
      <c r="AL107" s="1020"/>
      <c r="AM107" s="1021"/>
      <c r="AN107" s="1020"/>
      <c r="AO107" s="1021"/>
      <c r="AP107" s="1020"/>
      <c r="AQ107" s="1021"/>
    </row>
    <row r="108" spans="1:43" ht="33" customHeight="1" x14ac:dyDescent="0.3">
      <c r="B108" s="989"/>
      <c r="D108" s="205" t="str">
        <f ca="1">'Translation Table'!H733</f>
        <v>Vessel Count</v>
      </c>
      <c r="E108" s="205" t="str">
        <f ca="1">'Translation Table'!H734</f>
        <v>Emissions (Nm3 CH4/y)</v>
      </c>
      <c r="F108" s="205" t="str">
        <f ca="1">'Translation Table'!H735</f>
        <v>Vessel Count</v>
      </c>
      <c r="G108" s="205" t="str">
        <f ca="1">'Translation Table'!H736</f>
        <v>Emissions (Nm3 CH4/y)</v>
      </c>
      <c r="H108" s="205" t="str">
        <f ca="1">'Translation Table'!H737</f>
        <v>Vessel Count</v>
      </c>
      <c r="I108" s="205" t="str">
        <f ca="1">'Translation Table'!H738</f>
        <v>Emissions (Nm3 CH4/y)</v>
      </c>
      <c r="J108" s="205" t="str">
        <f ca="1">'Translation Table'!H739</f>
        <v>Vessel Count</v>
      </c>
      <c r="K108" s="205" t="str">
        <f ca="1">'Translation Table'!H740</f>
        <v>Emissions (Nm3 CH4/y)</v>
      </c>
      <c r="L108" s="205" t="str">
        <f ca="1">'Translation Table'!H741</f>
        <v>Vessel Count</v>
      </c>
      <c r="M108" s="205" t="str">
        <f ca="1">'Translation Table'!H742</f>
        <v>Emissions (Nm3 CH4/y)</v>
      </c>
      <c r="N108" s="205" t="str">
        <f ca="1">'Translation Table'!H743</f>
        <v>Vessel Count</v>
      </c>
      <c r="O108" s="205" t="str">
        <f ca="1">'Translation Table'!H744</f>
        <v>Emissions (Nm3 CH4/y)</v>
      </c>
      <c r="P108" s="205" t="str">
        <f ca="1">'Translation Table'!H745</f>
        <v>Vessel Count</v>
      </c>
      <c r="Q108" s="205" t="str">
        <f ca="1">'Translation Table'!H746</f>
        <v>Emissions (Nm3 CH4/y)</v>
      </c>
      <c r="R108" s="205" t="str">
        <f ca="1">'Translation Table'!H747</f>
        <v>Vessel Count</v>
      </c>
      <c r="S108" s="205" t="str">
        <f ca="1">'Translation Table'!H748</f>
        <v>Emissions (Nm3 CH4/y)</v>
      </c>
      <c r="T108" s="205" t="str">
        <f ca="1">'Translation Table'!H749</f>
        <v>Vessel Count</v>
      </c>
      <c r="U108" s="205" t="str">
        <f ca="1">'Translation Table'!H750</f>
        <v>Emissions (Nm3 CH4/y)</v>
      </c>
      <c r="V108" s="205" t="str">
        <f ca="1">'Translation Table'!H751</f>
        <v>Vessel Count</v>
      </c>
      <c r="W108" s="205" t="str">
        <f ca="1">'Translation Table'!H752</f>
        <v>Emissions (Nm3 CH4/y)</v>
      </c>
      <c r="X108" s="205" t="str">
        <f ca="1">'Translation Table'!H753</f>
        <v>Vessel Count</v>
      </c>
      <c r="Y108" s="205" t="str">
        <f ca="1">'Translation Table'!H754</f>
        <v>Emissions (Nm3 CH4/y)</v>
      </c>
      <c r="Z108" s="205" t="str">
        <f ca="1">'Translation Table'!H755</f>
        <v>Vessel Count</v>
      </c>
      <c r="AA108" s="205" t="str">
        <f ca="1">'Translation Table'!H726</f>
        <v>Emissions (Nm3 CH4/y)</v>
      </c>
      <c r="AB108" s="205" t="str">
        <f ca="1">'Translation Table'!H727</f>
        <v>Vessel Count</v>
      </c>
      <c r="AC108" s="205" t="str">
        <f ca="1">'Translation Table'!H728</f>
        <v>Emissions (Nm3 CH4/y)</v>
      </c>
      <c r="AD108" s="205" t="str">
        <f ca="1">'Translation Table'!H729</f>
        <v>Vessel Count</v>
      </c>
      <c r="AE108" s="205" t="str">
        <f ca="1">'Translation Table'!H730</f>
        <v>Emissions (Nm3 CH4/y)</v>
      </c>
      <c r="AF108" s="205" t="str">
        <f ca="1">'Translation Table'!H731</f>
        <v>Vessel Count</v>
      </c>
      <c r="AG108" s="205" t="str">
        <f ca="1">'Translation Table'!H732</f>
        <v>Emissions (Nm3 CH4/y)</v>
      </c>
      <c r="AH108" s="205" t="str">
        <f ca="1">'Translation Table'!H731</f>
        <v>Vessel Count</v>
      </c>
      <c r="AI108" s="205" t="str">
        <f ca="1">'Translation Table'!H732</f>
        <v>Emissions (Nm3 CH4/y)</v>
      </c>
      <c r="AJ108" s="205" t="str">
        <f ca="1">'Translation Table'!H731</f>
        <v>Vessel Count</v>
      </c>
      <c r="AK108" s="205" t="str">
        <f ca="1">'Translation Table'!H732</f>
        <v>Emissions (Nm3 CH4/y)</v>
      </c>
      <c r="AL108" s="205" t="str">
        <f ca="1">'Translation Table'!H731</f>
        <v>Vessel Count</v>
      </c>
      <c r="AM108" s="205" t="str">
        <f ca="1">'Translation Table'!H732</f>
        <v>Emissions (Nm3 CH4/y)</v>
      </c>
      <c r="AN108" s="205" t="str">
        <f ca="1">'Translation Table'!H731</f>
        <v>Vessel Count</v>
      </c>
      <c r="AO108" s="205" t="str">
        <f ca="1">'Translation Table'!H732</f>
        <v>Emissions (Nm3 CH4/y)</v>
      </c>
      <c r="AP108" s="205" t="str">
        <f ca="1">'Translation Table'!H731</f>
        <v>Vessel Count</v>
      </c>
      <c r="AQ108" s="205" t="str">
        <f ca="1">'Translation Table'!H732</f>
        <v>Emissions (Nm3 CH4/y)</v>
      </c>
    </row>
    <row r="109" spans="1:43" x14ac:dyDescent="0.3">
      <c r="A109" s="256">
        <f>24+$A$11</f>
        <v>25</v>
      </c>
      <c r="B109" s="193" cm="1">
        <f t="array" aca="1" ref="B109" ca="1">INDIRECT("'EFs - Other'!C" &amp; MATCH(C4,'EFs - Other'!A227:A294,0)+ROW(StartIMA))</f>
        <v>2.8029369289340105</v>
      </c>
      <c r="D109" s="193">
        <f ca="1">IF($A109&gt;0,IF(G$6=0,0,INDIRECT(ADDRESS(G$6-1+CHOOSE($D$4,'Equipment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Details'!$E51</f>
        <v>0</v>
      </c>
      <c r="E109" s="489">
        <f ca="1">D109*$B$109*'Setup - Facility Details'!$E$51</f>
        <v>0</v>
      </c>
      <c r="F109" s="193">
        <f ca="1">IF($A109&gt;0,IF(I$6=0,0,INDIRECT(ADDRESS(I$6-1+CHOOSE($D$4,'Equipment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Details'!$E52</f>
        <v>0</v>
      </c>
      <c r="G109" s="489">
        <f ca="1">F109*$B$109*'Setup - Facility Details'!$E$52</f>
        <v>0</v>
      </c>
      <c r="H109" s="193">
        <f ca="1">IF($A109&gt;0,IF(K$6=0,0,INDIRECT(ADDRESS(K$6-1+CHOOSE($D$4,'Equipment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Details'!$E53</f>
        <v>0</v>
      </c>
      <c r="I109" s="489">
        <f ca="1">H109*$B$109*'Setup - Facility Details'!$E$53</f>
        <v>0</v>
      </c>
      <c r="J109" s="193">
        <f ca="1">IF($A109&gt;0,IF(M$6=0,0,INDIRECT(ADDRESS(M$6-1+CHOOSE($D$4,'Equipment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Details'!$E54</f>
        <v>0</v>
      </c>
      <c r="K109" s="489">
        <f ca="1">J109*$B$109*'Setup - Facility Details'!$E$54</f>
        <v>0</v>
      </c>
      <c r="L109" s="193">
        <f ca="1">IF($A109&gt;0,IF(O$6=0,0,INDIRECT(ADDRESS(O$6-1+CHOOSE($D$4,'Equipment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Details'!$E55</f>
        <v>0</v>
      </c>
      <c r="M109" s="489">
        <f ca="1">L109*$B$109*'Setup - Facility Details'!$E$55</f>
        <v>0</v>
      </c>
      <c r="N109" s="193">
        <f ca="1">IF($A109&gt;0,IF(Q$6=0,0,INDIRECT(ADDRESS(Q$6-1+CHOOSE($D$4,'Equipment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Details'!$E56</f>
        <v>0</v>
      </c>
      <c r="O109" s="489">
        <f ca="1">N109*$B$109*'Setup - Facility Details'!$E$56</f>
        <v>0</v>
      </c>
      <c r="P109" s="193">
        <f ca="1">IF($A109&gt;0,IF(S$6=0,0,INDIRECT(ADDRESS(S$6-1+CHOOSE($D$4,'Equipment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Details'!$E57</f>
        <v>0</v>
      </c>
      <c r="Q109" s="489">
        <f ca="1">P109*$B$109*'Setup - Facility Details'!$E$57</f>
        <v>0</v>
      </c>
      <c r="R109" s="193">
        <f ca="1">IF($A109&gt;0,IF(U$6=0,0,INDIRECT(ADDRESS(U$6-1+CHOOSE($D$4,'Equipment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Details'!$E58</f>
        <v>0</v>
      </c>
      <c r="S109" s="489">
        <f ca="1">R109*$B$109*'Setup - Facility Details'!$E$58</f>
        <v>0</v>
      </c>
      <c r="T109" s="193">
        <f ca="1">IF($A109&gt;0,IF(W$6=0,0,INDIRECT(ADDRESS(W$6-1+CHOOSE($D$4,'Equipment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Details'!$E59</f>
        <v>0</v>
      </c>
      <c r="U109" s="489">
        <f ca="1">T109*$B$109*'Setup - Facility Details'!$E$59</f>
        <v>0</v>
      </c>
      <c r="V109" s="193">
        <f ca="1">IF($A109&gt;0,IF(Y$6=0,0,INDIRECT(ADDRESS(Y$6-1+CHOOSE($D$4,'Equipment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Details'!$E60</f>
        <v>0</v>
      </c>
      <c r="W109" s="489">
        <f ca="1">V109*$B$109*'Setup - Facility Details'!$E$60</f>
        <v>0</v>
      </c>
      <c r="X109" s="193">
        <f ca="1">IF($A109&gt;0,IF(AA$6=0,0,INDIRECT(ADDRESS(AA$6-1+CHOOSE($D$4,'Equipment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Details'!$E61</f>
        <v>0</v>
      </c>
      <c r="Y109" s="489">
        <f ca="1">X109*$B$109*'Setup - Facility Details'!$E$61</f>
        <v>0</v>
      </c>
      <c r="Z109" s="193">
        <f ca="1">IF($A109&gt;0,IF(AC$6=0,0,INDIRECT(ADDRESS(AC$6-1+CHOOSE($D$4,'Equipment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Details'!$E62</f>
        <v>0</v>
      </c>
      <c r="AA109" s="489">
        <f ca="1">Z109*$B$109*'Setup - Facility Details'!$E$62</f>
        <v>0</v>
      </c>
      <c r="AB109" s="193">
        <f ca="1">IF($A109&gt;0,IF(AE$6=0,0,INDIRECT(ADDRESS(AE$6-1+CHOOSE($D$4,'Equipment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Details'!$E63</f>
        <v>0</v>
      </c>
      <c r="AC109" s="489">
        <f ca="1">AB109*$B$109*'Setup - Facility Details'!$E$63</f>
        <v>0</v>
      </c>
      <c r="AD109" s="193">
        <f ca="1">IF($A109&gt;0,IF(AG$6=0,0,INDIRECT(ADDRESS(AG$6-1+CHOOSE($D$4,'Equipment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Details'!$E64</f>
        <v>0</v>
      </c>
      <c r="AE109" s="489">
        <f ca="1">AD109*$B$109*'Setup - Facility Details'!$E$64</f>
        <v>0</v>
      </c>
      <c r="AF109" s="193">
        <f ca="1">IF($A109&gt;0,IF(AI$6=0,0,INDIRECT(ADDRESS(AI$6-1+CHOOSE($D$4,'Equipment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Details'!$E65</f>
        <v>0</v>
      </c>
      <c r="AG109" s="489">
        <f ca="1">AF109*$B$109*'Setup - Facility Details'!$E$65</f>
        <v>0</v>
      </c>
      <c r="AH109" s="193">
        <f ca="1">IF($A109&gt;0,IF(AK$6=0,0,INDIRECT(ADDRESS(AK$6-1+CHOOSE($D$4,'Equipment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Details'!$E66</f>
        <v>0</v>
      </c>
      <c r="AI109" s="489">
        <f ca="1">AH109*$B$109*'Setup - Facility Details'!$E$66</f>
        <v>0</v>
      </c>
      <c r="AJ109" s="193">
        <f ca="1">IF($A109&gt;0,IF(AM$6=0,0,INDIRECT(ADDRESS(AM$6-1+CHOOSE($D$4,'Equipment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Details'!$E67</f>
        <v>0</v>
      </c>
      <c r="AK109" s="489">
        <f ca="1">AJ109*$B$109*'Setup - Facility Details'!$E$67</f>
        <v>0</v>
      </c>
      <c r="AL109" s="193">
        <f ca="1">IF($A109&gt;0,IF(AO$6=0,0,INDIRECT(ADDRESS(AO$6-1+CHOOSE($D$4,'Equipment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Details'!$E68</f>
        <v>0</v>
      </c>
      <c r="AM109" s="489">
        <f ca="1">AL109*$B$109*'Setup - Facility Details'!$E$68</f>
        <v>0</v>
      </c>
      <c r="AN109" s="193">
        <f ca="1">IF($A109&gt;0,IF(AQ$6=0,0,INDIRECT(ADDRESS(AQ$6-1+CHOOSE($D$4,'Equipment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Details'!$E69</f>
        <v>0</v>
      </c>
      <c r="AO109" s="489">
        <f ca="1">AN109*$B$109*'Setup - Facility Details'!$E$69</f>
        <v>0</v>
      </c>
      <c r="AP109" s="193">
        <f ca="1">IF($A109&gt;0,IF(AS$6=0,0,INDIRECT(ADDRESS(AS$6-1+CHOOSE($D$4,'Equipment Schedules'!$D$678,'Equipment Schedules'!$D$679,'Equipment Schedules'!$D$680,'Equipment Schedules'!$D$681,'Equipment Schedules'!$D$682,'Equipment Schedules'!$D$683,'Equipment Schedules'!$D$684,'Equipment Schedules'!$D$685,'Equipment Schedules'!$D$686),'Calculations - Fugitives'!$A109+1,,,"Equipment Schedules"))),0)*'Setup - Facility Details'!$E70</f>
        <v>0</v>
      </c>
      <c r="AQ109" s="489">
        <f ca="1">AP109*$B$109*'Setup - Facility Details'!$E$70</f>
        <v>0</v>
      </c>
    </row>
    <row r="110" spans="1:43" x14ac:dyDescent="0.3">
      <c r="B110" s="39" t="str">
        <f ca="1">'Translation Table'!H756</f>
        <v>Note: EF for production sector used for all sectors.</v>
      </c>
      <c r="D110" s="193" t="str">
        <f ca="1">'Translation Table'!H757</f>
        <v>Totals (Nm3 CH4/y):</v>
      </c>
      <c r="E110" s="489">
        <f ca="1">E109</f>
        <v>0</v>
      </c>
      <c r="F110" s="1024">
        <f ca="1">G109</f>
        <v>0</v>
      </c>
      <c r="G110" s="1053"/>
      <c r="H110" s="1024">
        <f ca="1">I109</f>
        <v>0</v>
      </c>
      <c r="I110" s="1025"/>
      <c r="J110" s="1024">
        <f ca="1">K109</f>
        <v>0</v>
      </c>
      <c r="K110" s="1025"/>
      <c r="L110" s="1024">
        <f ca="1">M109</f>
        <v>0</v>
      </c>
      <c r="M110" s="1025"/>
      <c r="N110" s="1024">
        <f ca="1">O109</f>
        <v>0</v>
      </c>
      <c r="O110" s="1025"/>
      <c r="P110" s="1024">
        <f ca="1">Q109</f>
        <v>0</v>
      </c>
      <c r="Q110" s="1025"/>
      <c r="R110" s="1024">
        <f ca="1">S109</f>
        <v>0</v>
      </c>
      <c r="S110" s="1025"/>
      <c r="T110" s="1024">
        <f ca="1">U109</f>
        <v>0</v>
      </c>
      <c r="U110" s="1025"/>
      <c r="V110" s="1024">
        <f ca="1">W109</f>
        <v>0</v>
      </c>
      <c r="W110" s="1025"/>
      <c r="X110" s="1024">
        <f ca="1">Y109</f>
        <v>0</v>
      </c>
      <c r="Y110" s="1025"/>
      <c r="Z110" s="1024">
        <f ca="1">AA109</f>
        <v>0</v>
      </c>
      <c r="AA110" s="1025"/>
      <c r="AB110" s="1024">
        <f ca="1">AC109</f>
        <v>0</v>
      </c>
      <c r="AC110" s="1025"/>
      <c r="AD110" s="1024">
        <f ca="1">AE109</f>
        <v>0</v>
      </c>
      <c r="AE110" s="1025"/>
      <c r="AF110" s="1024">
        <f ca="1">AG109</f>
        <v>0</v>
      </c>
      <c r="AG110" s="1025"/>
      <c r="AH110" s="1024">
        <f ca="1">AI109</f>
        <v>0</v>
      </c>
      <c r="AI110" s="1025"/>
      <c r="AJ110" s="1024">
        <f ca="1">AK109</f>
        <v>0</v>
      </c>
      <c r="AK110" s="1025"/>
      <c r="AL110" s="1024">
        <f ca="1">AM109</f>
        <v>0</v>
      </c>
      <c r="AM110" s="1025"/>
      <c r="AN110" s="1024">
        <f ca="1">AO109</f>
        <v>0</v>
      </c>
      <c r="AO110" s="1025"/>
      <c r="AP110" s="1024">
        <f ca="1">AQ109</f>
        <v>0</v>
      </c>
      <c r="AQ110" s="1025"/>
    </row>
    <row r="111" spans="1:43" x14ac:dyDescent="0.3">
      <c r="B111" s="39"/>
      <c r="D111" s="1040" t="str">
        <f ca="1">'Translation Table'!H758</f>
        <v>Grand Total:</v>
      </c>
      <c r="E111" s="207" t="str">
        <f ca="1">'Translation Table'!H618</f>
        <v>CH4</v>
      </c>
      <c r="F111" s="208" t="str">
        <f ca="1">'Translation Table'!H619</f>
        <v>CO2</v>
      </c>
      <c r="G111" s="208" t="str">
        <f ca="1">'Translation Table'!H620</f>
        <v>NMVOC</v>
      </c>
      <c r="H111" s="500"/>
      <c r="I111" s="448"/>
      <c r="J111" s="500"/>
      <c r="K111" s="448"/>
      <c r="L111" s="500"/>
      <c r="M111" s="448"/>
      <c r="N111" s="500"/>
      <c r="O111" s="448"/>
      <c r="P111" s="500"/>
      <c r="Q111" s="448"/>
      <c r="R111" s="500"/>
      <c r="S111" s="448"/>
      <c r="T111" s="500"/>
      <c r="U111" s="448"/>
      <c r="V111" s="500"/>
      <c r="W111" s="448"/>
      <c r="X111" s="500"/>
      <c r="Y111" s="448"/>
      <c r="Z111" s="500"/>
      <c r="AA111" s="448"/>
      <c r="AB111" s="500"/>
      <c r="AC111" s="448"/>
      <c r="AD111" s="500"/>
      <c r="AE111" s="448"/>
      <c r="AF111" s="500"/>
      <c r="AG111" s="448"/>
      <c r="AH111" s="500"/>
      <c r="AI111" s="448"/>
      <c r="AJ111" s="500"/>
      <c r="AK111" s="448"/>
      <c r="AL111" s="500"/>
      <c r="AM111" s="448"/>
      <c r="AN111" s="500"/>
      <c r="AO111" s="448"/>
      <c r="AP111" s="500"/>
      <c r="AQ111" s="448"/>
    </row>
    <row r="112" spans="1:43" x14ac:dyDescent="0.3">
      <c r="D112" s="1038"/>
      <c r="E112" s="161">
        <f ca="1">SUM(E110:AQ110)/365</f>
        <v>0</v>
      </c>
      <c r="F112" s="55">
        <f ca="1">E112*ProcessGas_CO2/ProcessGas_CH4</f>
        <v>0</v>
      </c>
      <c r="G112" s="55">
        <f ca="1">E112*(1-ProcessGas_CH4-ProcessGas_CO2-ProcessGas_N2-ProcessGas_H2S)/ProcessGas_CH4</f>
        <v>0</v>
      </c>
      <c r="H112" s="52" t="str">
        <f ca="1">'Translation Table'!H622</f>
        <v>Nm3/d</v>
      </c>
    </row>
    <row r="113" spans="1:10" x14ac:dyDescent="0.3">
      <c r="D113" s="1038"/>
      <c r="E113" s="290">
        <f ca="1">E112*365</f>
        <v>0</v>
      </c>
      <c r="F113" s="318">
        <f ca="1">F112*365</f>
        <v>0</v>
      </c>
      <c r="G113" s="318">
        <f ca="1">G112*365</f>
        <v>0</v>
      </c>
      <c r="H113" s="313" t="str">
        <f ca="1">'Translation Table'!H623</f>
        <v>Nm3/y</v>
      </c>
    </row>
    <row r="114" spans="1:10" x14ac:dyDescent="0.3">
      <c r="D114" s="1039"/>
      <c r="E114" s="55">
        <f ca="1">E113*Constants!$E$5/1000</f>
        <v>0</v>
      </c>
      <c r="F114" s="55">
        <f ca="1">F113/Vstp*M_CO2/1000</f>
        <v>0</v>
      </c>
      <c r="G114" s="55">
        <f ca="1">G113/Vstp*M_NMVOC/1000</f>
        <v>0</v>
      </c>
      <c r="H114" s="52" t="str">
        <f ca="1">'Translation Table'!H624</f>
        <v>tonnes/y</v>
      </c>
    </row>
    <row r="116" spans="1:10" ht="22.5" x14ac:dyDescent="0.45">
      <c r="B116" s="1043" t="str">
        <f ca="1">'Translation Table'!H763</f>
        <v>Inventory of Compressors (Emissions from Compressor Starts)</v>
      </c>
      <c r="C116" s="1043"/>
    </row>
    <row r="117" spans="1:10" ht="17.25" customHeight="1" x14ac:dyDescent="0.45">
      <c r="B117" s="37"/>
    </row>
    <row r="118" spans="1:10" ht="15.5" x14ac:dyDescent="0.35">
      <c r="A118" s="601"/>
      <c r="B118" s="196" t="str">
        <f ca="1">'Translation Table'!H764</f>
        <v>Type</v>
      </c>
      <c r="C118" s="196" t="str">
        <f ca="1">'Translation Table'!H765</f>
        <v>Count</v>
      </c>
      <c r="D118" s="196" t="str">
        <f ca="1">'Translation Table'!H766</f>
        <v>Emission Factor</v>
      </c>
      <c r="E118" s="196" t="str">
        <f>'Translation Table'!I767</f>
        <v>Emissions</v>
      </c>
    </row>
    <row r="119" spans="1:10" ht="15.5" x14ac:dyDescent="0.35">
      <c r="A119" s="601"/>
      <c r="B119" s="196"/>
      <c r="C119" s="196"/>
      <c r="D119" s="196" t="str">
        <f ca="1">'Translation Table'!H768</f>
        <v>(Nm3/y/compressor)</v>
      </c>
      <c r="E119" s="196" t="str">
        <f ca="1">'Translation Table'!H769</f>
        <v>(Nm3/y)</v>
      </c>
      <c r="F119" s="56"/>
      <c r="G119" s="56"/>
      <c r="I119" s="501"/>
      <c r="J119" s="502"/>
    </row>
    <row r="120" spans="1:10" x14ac:dyDescent="0.3">
      <c r="B120" s="130" t="str">
        <f ca="1">'Translation Table'!H1731</f>
        <v>Chemical Injection Pump: Pneumatic (Unknown Type)</v>
      </c>
      <c r="C120" s="452">
        <f ca="1">IF(ISERROR(VLOOKUP(B120,TblProcessUnitInventory,3,FALSE)),0,VLOOKUP(B120,TblProcessUnitInventory,3,FALSE))</f>
        <v>0</v>
      </c>
      <c r="D120" s="494" cm="1">
        <f t="array" aca="1" ref="D120" ca="1">INDIRECT("'EFs - Other'!C" &amp; MATCH(C4,'EFs - Other'!A227:A294,0)+ROW(StartIMA)+1)</f>
        <v>303.39995501269038</v>
      </c>
      <c r="E120" s="494">
        <f ca="1">C120*D120</f>
        <v>0</v>
      </c>
      <c r="F120" s="503"/>
      <c r="G120" s="503"/>
    </row>
    <row r="121" spans="1:10" x14ac:dyDescent="0.3">
      <c r="B121" s="54" t="str">
        <f ca="1">'Translation Table'!H1732</f>
        <v>Compressor: Centrifugal: (Stages: 1) (Seals: Wet) (Driver: Electric Motor)</v>
      </c>
      <c r="C121" s="193">
        <f ca="1">IF(ISERROR(VLOOKUP(B121,TblProcessUnitInventory,3,FALSE)),0,VLOOKUP(B121,TblProcessUnitInventory,3,FALSE))</f>
        <v>0</v>
      </c>
      <c r="D121" s="497" cm="1">
        <f t="array" aca="1" ref="D121" ca="1">INDIRECT("'EFs - Other'!C" &amp; MATCH(C4,'EFs - Other'!A227:A294,0)+ROW(StartIMA)+1)</f>
        <v>303.39995501269038</v>
      </c>
      <c r="E121" s="497">
        <f ca="1">C121*D121</f>
        <v>0</v>
      </c>
      <c r="F121" s="503"/>
      <c r="G121" s="503"/>
    </row>
    <row r="122" spans="1:10" x14ac:dyDescent="0.3">
      <c r="B122" s="130" t="str">
        <f ca="1">'Translation Table'!H1733</f>
        <v>Compressor: Centrifugal: (Stages: 1) (Seals: Wet) (Driver: Gas Turbine)</v>
      </c>
      <c r="C122" s="452">
        <f ca="1">IF(ISERROR(VLOOKUP(B122,TblProcessUnitInventory,3,FALSE)),0,VLOOKUP(B122,TblProcessUnitInventory,3,FALSE))</f>
        <v>0</v>
      </c>
      <c r="D122" s="494" cm="1">
        <f t="array" aca="1" ref="D122" ca="1">INDIRECT("'EFs - Other'!C" &amp; MATCH(C4,'EFs - Other'!A227:A294,0)+ROW(StartIMA)+1)</f>
        <v>303.39995501269038</v>
      </c>
      <c r="E122" s="494">
        <f ca="1">C122*D122</f>
        <v>0</v>
      </c>
      <c r="F122" s="503"/>
      <c r="G122" s="503"/>
    </row>
    <row r="123" spans="1:10" x14ac:dyDescent="0.3">
      <c r="B123" s="54" t="str">
        <f ca="1">'Translation Table'!H1734</f>
        <v>Compressor: Centrifugal: (Stages: 2) (Seals: Wet) (Driver: Electric Motor)</v>
      </c>
      <c r="C123" s="193">
        <f ca="1">IF(ISERROR(VLOOKUP(B123,TblProcessUnitInventory,3,FALSE)),0,VLOOKUP(B123,TblProcessUnitInventory,3,FALSE))</f>
        <v>0</v>
      </c>
      <c r="D123" s="497" cm="1">
        <f t="array" aca="1" ref="D123" ca="1">INDIRECT("'EFs - Other'!C" &amp; MATCH(C4,'EFs - Other'!A227:A294,0)+ROW(StartIMA)+1)</f>
        <v>303.39995501269038</v>
      </c>
      <c r="E123" s="504">
        <f ca="1">C123*D123</f>
        <v>0</v>
      </c>
      <c r="F123" s="503"/>
      <c r="G123" s="503"/>
    </row>
    <row r="124" spans="1:10" x14ac:dyDescent="0.3">
      <c r="B124" s="160"/>
      <c r="D124" s="1017" t="str">
        <f ca="1">'Translation Table'!H770</f>
        <v>Total:</v>
      </c>
      <c r="E124" s="209">
        <f ca="1">SUM(E120:E123)</f>
        <v>0</v>
      </c>
      <c r="F124" s="503"/>
      <c r="G124" s="503"/>
    </row>
    <row r="125" spans="1:10" x14ac:dyDescent="0.3">
      <c r="D125" s="1017"/>
      <c r="E125" s="210" t="str">
        <f ca="1">'Translation Table'!H618</f>
        <v>CH4</v>
      </c>
      <c r="F125" s="211" t="str">
        <f ca="1">'Translation Table'!H619</f>
        <v>CO2</v>
      </c>
      <c r="G125" s="211" t="str">
        <f ca="1">'Translation Table'!H620</f>
        <v>NMVOC</v>
      </c>
    </row>
    <row r="126" spans="1:10" x14ac:dyDescent="0.3">
      <c r="D126" s="1017"/>
      <c r="E126" s="51">
        <f ca="1">E124*FuelGas_CH4/365</f>
        <v>0</v>
      </c>
      <c r="F126" s="55">
        <f ca="1">E126*ProcessGas_CO2/ProcessGas_CH4</f>
        <v>0</v>
      </c>
      <c r="G126" s="55">
        <f ca="1">E126*(1-ProcessGas_CH4-ProcessGas_CO2-ProcessGas_N2-ProcessGas_H2S)/ProcessGas_CH4</f>
        <v>0</v>
      </c>
      <c r="H126" s="52" t="str">
        <f ca="1">'Translation Table'!H622</f>
        <v>Nm3/d</v>
      </c>
    </row>
    <row r="127" spans="1:10" x14ac:dyDescent="0.3">
      <c r="D127" s="1017"/>
      <c r="E127" s="318">
        <f ca="1">E126*365</f>
        <v>0</v>
      </c>
      <c r="F127" s="318">
        <f ca="1">F126*365</f>
        <v>0</v>
      </c>
      <c r="G127" s="318">
        <f ca="1">G126*365</f>
        <v>0</v>
      </c>
      <c r="H127" s="313" t="str">
        <f ca="1">'Translation Table'!H623</f>
        <v>Nm3/y</v>
      </c>
    </row>
    <row r="128" spans="1:10" x14ac:dyDescent="0.3">
      <c r="D128" s="1017"/>
      <c r="E128" s="51">
        <f ca="1">E127*Constants!$E$5/1000</f>
        <v>0</v>
      </c>
      <c r="F128" s="55">
        <f ca="1">F127/Vstp*M_CO2/1000</f>
        <v>0</v>
      </c>
      <c r="G128" s="55">
        <f ca="1">G127/Vstp*M_NMVOC/1000</f>
        <v>0</v>
      </c>
      <c r="H128" s="52" t="str">
        <f ca="1">'Translation Table'!H624</f>
        <v>tonnes/y</v>
      </c>
    </row>
    <row r="129" spans="2:12" x14ac:dyDescent="0.3">
      <c r="E129" s="491"/>
    </row>
    <row r="130" spans="2:12" ht="22.5" x14ac:dyDescent="0.45">
      <c r="B130" s="1043" t="str">
        <f ca="1">'Translation Table'!H775</f>
        <v>Inventory of Dehydrators:</v>
      </c>
      <c r="C130" s="1043"/>
    </row>
    <row r="131" spans="2:12" ht="16.5" customHeight="1" x14ac:dyDescent="0.45">
      <c r="B131" s="61"/>
      <c r="C131" s="61"/>
    </row>
    <row r="132" spans="2:12" ht="15.5" x14ac:dyDescent="0.3">
      <c r="B132" s="196" t="str">
        <f ca="1">'Translation Table'!H776</f>
        <v>Type</v>
      </c>
      <c r="C132" s="196" t="str">
        <f ca="1">'Translation Table'!H777</f>
        <v>Count</v>
      </c>
      <c r="D132" s="196" t="str">
        <f ca="1">'Translation Table'!H778</f>
        <v>Emission Factor</v>
      </c>
      <c r="E132" s="196" t="str">
        <f ca="1">'Translation Table'!H779</f>
        <v>Activity</v>
      </c>
      <c r="F132" s="197" t="str">
        <f ca="1">'Translation Table'!H780</f>
        <v>CH4 Content</v>
      </c>
      <c r="G132" s="196" t="str">
        <f ca="1">'Translation Table'!H781</f>
        <v>Emissions</v>
      </c>
    </row>
    <row r="133" spans="2:12" ht="31" x14ac:dyDescent="0.35">
      <c r="B133" s="196"/>
      <c r="C133" s="196"/>
      <c r="D133" s="201" t="str">
        <f ca="1">'Translation Table'!H782</f>
        <v>Nm3 CH4/E+06 Nm3 gas processed</v>
      </c>
      <c r="E133" s="204" t="str">
        <f ca="1">'Translation Table'!H783</f>
        <v>(E+06 m3 gas processed/d)</v>
      </c>
      <c r="F133" s="206" t="str">
        <f ca="1">'Translation Table'!H784</f>
        <v>(mol%)</v>
      </c>
      <c r="G133" s="201" t="str">
        <f ca="1">'Translation Table'!H785</f>
        <v>(Nm3/d)</v>
      </c>
      <c r="I133" s="58"/>
      <c r="J133" s="59"/>
      <c r="K133" s="47"/>
      <c r="L133" s="47"/>
    </row>
    <row r="134" spans="2:12" x14ac:dyDescent="0.3">
      <c r="B134" s="130" t="str">
        <f ca="1">'Translation Table'!H791</f>
        <v>Dehydration: Glycol (With Gas-assisted Pump)</v>
      </c>
      <c r="C134" s="452">
        <f ca="1">IF(ISERROR(VLOOKUP(B134,TblProcessUnitInventory,3,FALSE)),0,VLOOKUP(B134,TblProcessUnitInventory,3,FALSE))</f>
        <v>0</v>
      </c>
      <c r="D134" s="494" cm="1">
        <f t="array" aca="1" ref="D134" ca="1">INDIRECT("'EFs - Other'!C" &amp; MATCH(C4,'EFs - Other'!A98:A115,0)+ROW(StartD))</f>
        <v>204.7811059907834</v>
      </c>
      <c r="E134" s="193">
        <f ca="1">IF(C134&gt;0,'Setup - Facility Details'!$D$17*_xlfn.XLOOKUP('Setup - Facility Details'!$E$17,'Lookup Tables'!$B$206:$B$217,'Lookup Tables'!$F$206:$F$217,,0,1)*E3m3_per_d_to_E6_m3_per_d,0)</f>
        <v>0</v>
      </c>
      <c r="F134" s="493">
        <f>'Setup - Facility Details'!E$74</f>
        <v>0.87</v>
      </c>
      <c r="G134" s="494">
        <f ca="1">D134*E134*F134</f>
        <v>0</v>
      </c>
    </row>
    <row r="135" spans="2:12" x14ac:dyDescent="0.3">
      <c r="B135" s="54" t="str">
        <f ca="1">'Translation Table'!H792</f>
        <v>Dehydration: Glycol (Without Gas-assisted Pump)</v>
      </c>
      <c r="C135" s="193">
        <f ca="1">IF(ISERROR(VLOOKUP(B135,TblProcessUnitInventory,3,FALSE)),0,VLOOKUP(B135,TblProcessUnitInventory,3,FALSE))</f>
        <v>0</v>
      </c>
      <c r="D135" s="497" cm="1">
        <f t="array" aca="1" ref="D135" ca="1">INDIRECT("'EFs - Other'!C" &amp; MATCH(C4,'EFs - Other'!A98:A115,0)+ROW(StartD)+1)</f>
        <v>140.03456221198155</v>
      </c>
      <c r="E135" s="193">
        <f ca="1">IF(C135&gt;0,'Setup - Facility Details'!$D$17*_xlfn.XLOOKUP('Setup - Facility Details'!$E$17,'Lookup Tables'!$B$206:$B$217,'Lookup Tables'!$F$206:$F$217,,0,1)*E3m3_per_d_to_E6_m3_per_d,0)</f>
        <v>0</v>
      </c>
      <c r="F135" s="505">
        <f>'Setup - Facility Details'!E$74</f>
        <v>0.87</v>
      </c>
      <c r="G135" s="497">
        <f ca="1">D135*E135*F135</f>
        <v>0</v>
      </c>
    </row>
    <row r="136" spans="2:12" x14ac:dyDescent="0.3">
      <c r="B136" s="160"/>
      <c r="D136" s="503"/>
      <c r="F136" s="1037" t="str">
        <f ca="1">'Translation Table'!H850</f>
        <v>Total</v>
      </c>
      <c r="G136" s="212" t="str">
        <f ca="1">'Translation Table'!H618</f>
        <v>CH4</v>
      </c>
      <c r="H136" s="211" t="str">
        <f ca="1">'Translation Table'!H619</f>
        <v>CO2</v>
      </c>
      <c r="I136" s="211" t="str">
        <f ca="1">'Translation Table'!H620</f>
        <v>NMVOC</v>
      </c>
    </row>
    <row r="137" spans="2:12" x14ac:dyDescent="0.3">
      <c r="E137" s="491"/>
      <c r="F137" s="1038"/>
      <c r="G137" s="51">
        <f>IF(ISBLANK('Setup - Facility Details'!I40),SUM(G134:G135),'Setup - Facility Details'!I40*24)</f>
        <v>0</v>
      </c>
      <c r="H137" s="55">
        <f>G137*ProcessGas_CO2/ProcessGas_CH4</f>
        <v>0</v>
      </c>
      <c r="I137" s="55">
        <f>G137*(1-ProcessGas_CH4-ProcessGas_CO2-ProcessGas_N2-ProcessGas_H2S)/ProcessGas_CH4</f>
        <v>0</v>
      </c>
      <c r="J137" s="52" t="str">
        <f ca="1">'Translation Table'!H622</f>
        <v>Nm3/d</v>
      </c>
    </row>
    <row r="138" spans="2:12" x14ac:dyDescent="0.3">
      <c r="E138" s="491"/>
      <c r="F138" s="1038"/>
      <c r="G138" s="318">
        <f>G137*365</f>
        <v>0</v>
      </c>
      <c r="H138" s="318">
        <f>H137*365</f>
        <v>0</v>
      </c>
      <c r="I138" s="318">
        <f>I137*365</f>
        <v>0</v>
      </c>
      <c r="J138" s="313" t="str">
        <f ca="1">'Translation Table'!H623</f>
        <v>Nm3/y</v>
      </c>
    </row>
    <row r="139" spans="2:12" x14ac:dyDescent="0.3">
      <c r="E139" s="491"/>
      <c r="F139" s="1039"/>
      <c r="G139" s="51">
        <f>G138*density_CH4/1000</f>
        <v>0</v>
      </c>
      <c r="H139" s="55">
        <f>H138/Vstp*M_CO2/1000</f>
        <v>0</v>
      </c>
      <c r="I139" s="55">
        <f>I138/Vstp*M_NMVOC/1000</f>
        <v>0</v>
      </c>
      <c r="J139" s="52" t="str">
        <f ca="1">'Translation Table'!H624</f>
        <v>tonnes/y</v>
      </c>
    </row>
    <row r="140" spans="2:12" x14ac:dyDescent="0.3">
      <c r="E140" s="491"/>
    </row>
    <row r="142" spans="2:12" ht="22.5" x14ac:dyDescent="0.45">
      <c r="B142" s="1043" t="str">
        <f ca="1">'Translation Table'!H793</f>
        <v>Inventory of Gas Sweetening Units:</v>
      </c>
      <c r="C142" s="1043"/>
    </row>
    <row r="143" spans="2:12" ht="17.25" customHeight="1" x14ac:dyDescent="0.45">
      <c r="B143" s="37"/>
    </row>
    <row r="144" spans="2:12" ht="15.5" x14ac:dyDescent="0.3">
      <c r="B144" s="196" t="str">
        <f ca="1">'Translation Table'!H794</f>
        <v>Type</v>
      </c>
      <c r="C144" s="196" t="str">
        <f ca="1">'Translation Table'!H795</f>
        <v>Count</v>
      </c>
      <c r="D144" s="196" t="str">
        <f ca="1">'Translation Table'!H796</f>
        <v>Emission Factor</v>
      </c>
      <c r="E144" s="196" t="str">
        <f ca="1">'Translation Table'!H797</f>
        <v>Activity</v>
      </c>
      <c r="F144" s="984" t="str">
        <f ca="1">'Translation Table'!H798</f>
        <v>Emissions</v>
      </c>
      <c r="G144" s="985"/>
      <c r="H144" s="1057"/>
      <c r="I144" s="1057"/>
      <c r="J144" s="1057"/>
      <c r="K144" s="1058"/>
    </row>
    <row r="145" spans="2:12" ht="31" x14ac:dyDescent="0.35">
      <c r="B145" s="203"/>
      <c r="C145" s="203"/>
      <c r="D145" s="206" t="str">
        <f ca="1">'Translation Table'!H799</f>
        <v>Nm3 CH4/106 Nm3 gas processed</v>
      </c>
      <c r="E145" s="206" t="str">
        <f ca="1">'Translation Table'!H800</f>
        <v>(E+06 Nm3 gas processed/d)</v>
      </c>
      <c r="F145" s="201" t="str">
        <f ca="1">'Translation Table'!H802</f>
        <v>(Nm3 CH4/y)</v>
      </c>
      <c r="G145" s="201" t="str">
        <f ca="1">'Translation Table'!H803</f>
        <v>(tonnes CH4/y)</v>
      </c>
      <c r="H145" s="201" t="str">
        <f ca="1">'Translation Table'!H804</f>
        <v>(Nm3 CO2/y)</v>
      </c>
      <c r="I145" s="201" t="str">
        <f ca="1">'Translation Table'!H806</f>
        <v>(tonnes CO2/y)</v>
      </c>
      <c r="J145" s="201" t="str">
        <f ca="1">'Translation Table'!H807</f>
        <v>(Nm3 NMVOC/y)</v>
      </c>
      <c r="K145" s="201" t="str">
        <f ca="1">'Translation Table'!H809</f>
        <v>(tonnes NMVOC/y)</v>
      </c>
      <c r="L145" s="47"/>
    </row>
    <row r="146" spans="2:12" x14ac:dyDescent="0.3">
      <c r="B146" s="130" t="str">
        <f ca="1">'Translation Table'!H1797</f>
        <v>Sulphur Recovery: Claus</v>
      </c>
      <c r="C146" s="452">
        <f t="shared" ref="C146:C157" ca="1" si="0">IF(ISERROR(VLOOKUP(B146,TblProcessUnitInventory,3,FALSE)),0,VLOOKUP(B146,TblProcessUnitInventory,3,FALSE))</f>
        <v>0</v>
      </c>
      <c r="D146" s="506" t="s">
        <v>124</v>
      </c>
      <c r="E146" s="506" t="s">
        <v>124</v>
      </c>
      <c r="F146" s="506">
        <f t="shared" ref="F146:F157" si="1">IF(ISNUMBER(E146),D146*E146*365,0)</f>
        <v>0</v>
      </c>
      <c r="G146" s="506" t="s">
        <v>124</v>
      </c>
      <c r="H146" s="506" t="s">
        <v>124</v>
      </c>
      <c r="I146" s="506" t="s">
        <v>124</v>
      </c>
      <c r="J146" s="506" t="s">
        <v>124</v>
      </c>
      <c r="K146" s="506" t="s">
        <v>124</v>
      </c>
    </row>
    <row r="147" spans="2:12" x14ac:dyDescent="0.3">
      <c r="B147" s="54" t="str">
        <f ca="1">'Translation Table'!H1798</f>
        <v>Sulphur Recovery: MCRC (Sub-dewpoint)</v>
      </c>
      <c r="C147" s="193">
        <f t="shared" ca="1" si="0"/>
        <v>0</v>
      </c>
      <c r="D147" s="321" t="s">
        <v>124</v>
      </c>
      <c r="E147" s="321" t="s">
        <v>124</v>
      </c>
      <c r="F147" s="321">
        <f t="shared" si="1"/>
        <v>0</v>
      </c>
      <c r="G147" s="321" t="s">
        <v>124</v>
      </c>
      <c r="H147" s="321" t="s">
        <v>124</v>
      </c>
      <c r="I147" s="321" t="s">
        <v>124</v>
      </c>
      <c r="J147" s="321" t="s">
        <v>124</v>
      </c>
      <c r="K147" s="321" t="s">
        <v>124</v>
      </c>
    </row>
    <row r="148" spans="2:12" x14ac:dyDescent="0.3">
      <c r="B148" s="130" t="str">
        <f ca="1">'Translation Table'!H1799</f>
        <v>Sweetening: (Physical Solvent)</v>
      </c>
      <c r="C148" s="452">
        <f t="shared" ca="1" si="0"/>
        <v>0</v>
      </c>
      <c r="D148" s="506" t="s">
        <v>124</v>
      </c>
      <c r="E148" s="506" t="s">
        <v>124</v>
      </c>
      <c r="F148" s="506">
        <f t="shared" si="1"/>
        <v>0</v>
      </c>
      <c r="G148" s="506" t="s">
        <v>124</v>
      </c>
      <c r="H148" s="506" t="s">
        <v>124</v>
      </c>
      <c r="I148" s="506" t="s">
        <v>124</v>
      </c>
      <c r="J148" s="506" t="s">
        <v>124</v>
      </c>
      <c r="K148" s="506" t="s">
        <v>124</v>
      </c>
    </row>
    <row r="149" spans="2:12" x14ac:dyDescent="0.3">
      <c r="B149" s="54" t="str">
        <f ca="1">'Translation Table'!H1800</f>
        <v>Sweetening: Chemsweet</v>
      </c>
      <c r="C149" s="193">
        <f t="shared" ca="1" si="0"/>
        <v>0</v>
      </c>
      <c r="D149" s="321" t="s">
        <v>124</v>
      </c>
      <c r="E149" s="321" t="s">
        <v>124</v>
      </c>
      <c r="F149" s="321">
        <f t="shared" si="1"/>
        <v>0</v>
      </c>
      <c r="G149" s="321" t="s">
        <v>124</v>
      </c>
      <c r="H149" s="321" t="s">
        <v>124</v>
      </c>
      <c r="I149" s="321" t="s">
        <v>124</v>
      </c>
      <c r="J149" s="321" t="s">
        <v>124</v>
      </c>
      <c r="K149" s="321" t="s">
        <v>124</v>
      </c>
    </row>
    <row r="150" spans="2:12" x14ac:dyDescent="0.3">
      <c r="B150" s="130" t="str">
        <f ca="1">'Translation Table'!H1801</f>
        <v>Sweetening: DEA (Diethanolamine)</v>
      </c>
      <c r="C150" s="452">
        <f t="shared" ca="1" si="0"/>
        <v>0</v>
      </c>
      <c r="D150" s="506" t="s">
        <v>124</v>
      </c>
      <c r="E150" s="506" t="s">
        <v>124</v>
      </c>
      <c r="F150" s="506">
        <f t="shared" si="1"/>
        <v>0</v>
      </c>
      <c r="G150" s="506" t="s">
        <v>124</v>
      </c>
      <c r="H150" s="506" t="s">
        <v>124</v>
      </c>
      <c r="I150" s="506" t="s">
        <v>124</v>
      </c>
      <c r="J150" s="506" t="s">
        <v>124</v>
      </c>
      <c r="K150" s="506" t="s">
        <v>124</v>
      </c>
    </row>
    <row r="151" spans="2:12" x14ac:dyDescent="0.3">
      <c r="B151" s="54" t="str">
        <f ca="1">'Translation Table'!H1802</f>
        <v>Sweetening: DGA (Diglycolamine)</v>
      </c>
      <c r="C151" s="193">
        <f t="shared" ca="1" si="0"/>
        <v>0</v>
      </c>
      <c r="D151" s="321" t="s">
        <v>124</v>
      </c>
      <c r="E151" s="321" t="s">
        <v>124</v>
      </c>
      <c r="F151" s="321">
        <f t="shared" si="1"/>
        <v>0</v>
      </c>
      <c r="G151" s="321" t="s">
        <v>124</v>
      </c>
      <c r="H151" s="321" t="s">
        <v>124</v>
      </c>
      <c r="I151" s="321" t="s">
        <v>124</v>
      </c>
      <c r="J151" s="321" t="s">
        <v>124</v>
      </c>
      <c r="K151" s="321" t="s">
        <v>124</v>
      </c>
    </row>
    <row r="152" spans="2:12" x14ac:dyDescent="0.3">
      <c r="B152" s="130" t="str">
        <f ca="1">'Translation Table'!H1803</f>
        <v>Sweetening: Generic</v>
      </c>
      <c r="C152" s="452">
        <f t="shared" ca="1" si="0"/>
        <v>0</v>
      </c>
      <c r="D152" s="506" t="s">
        <v>124</v>
      </c>
      <c r="E152" s="506" t="s">
        <v>124</v>
      </c>
      <c r="F152" s="506">
        <f t="shared" si="1"/>
        <v>0</v>
      </c>
      <c r="G152" s="506" t="s">
        <v>124</v>
      </c>
      <c r="H152" s="506" t="s">
        <v>124</v>
      </c>
      <c r="I152" s="506" t="s">
        <v>124</v>
      </c>
      <c r="J152" s="506" t="s">
        <v>124</v>
      </c>
      <c r="K152" s="506" t="s">
        <v>124</v>
      </c>
    </row>
    <row r="153" spans="2:12" x14ac:dyDescent="0.3">
      <c r="B153" s="54" t="str">
        <f ca="1">'Translation Table'!H1804</f>
        <v>Sweetening: Iron Sponge</v>
      </c>
      <c r="C153" s="193">
        <f t="shared" ca="1" si="0"/>
        <v>0</v>
      </c>
      <c r="D153" s="321" t="s">
        <v>124</v>
      </c>
      <c r="E153" s="321" t="s">
        <v>124</v>
      </c>
      <c r="F153" s="321">
        <f t="shared" si="1"/>
        <v>0</v>
      </c>
      <c r="G153" s="321" t="s">
        <v>124</v>
      </c>
      <c r="H153" s="321" t="s">
        <v>124</v>
      </c>
      <c r="I153" s="321" t="s">
        <v>124</v>
      </c>
      <c r="J153" s="321" t="s">
        <v>124</v>
      </c>
      <c r="K153" s="321" t="s">
        <v>124</v>
      </c>
    </row>
    <row r="154" spans="2:12" x14ac:dyDescent="0.3">
      <c r="B154" s="130" t="str">
        <f ca="1">'Translation Table'!H1805</f>
        <v>Sweetening: LoCat</v>
      </c>
      <c r="C154" s="452">
        <f t="shared" ca="1" si="0"/>
        <v>0</v>
      </c>
      <c r="D154" s="506" t="s">
        <v>124</v>
      </c>
      <c r="E154" s="506" t="s">
        <v>124</v>
      </c>
      <c r="F154" s="506">
        <f t="shared" si="1"/>
        <v>0</v>
      </c>
      <c r="G154" s="506" t="s">
        <v>124</v>
      </c>
      <c r="H154" s="506" t="s">
        <v>124</v>
      </c>
      <c r="I154" s="506" t="s">
        <v>124</v>
      </c>
      <c r="J154" s="506" t="s">
        <v>124</v>
      </c>
      <c r="K154" s="506" t="s">
        <v>124</v>
      </c>
    </row>
    <row r="155" spans="2:12" x14ac:dyDescent="0.3">
      <c r="B155" s="54" t="str">
        <f ca="1">'Translation Table'!H1806</f>
        <v>Sweetening: MDEA (Monodiethanolamine)</v>
      </c>
      <c r="C155" s="193">
        <f t="shared" ca="1" si="0"/>
        <v>0</v>
      </c>
      <c r="D155" s="321" t="s">
        <v>124</v>
      </c>
      <c r="E155" s="321" t="s">
        <v>124</v>
      </c>
      <c r="F155" s="321">
        <f t="shared" si="1"/>
        <v>0</v>
      </c>
      <c r="G155" s="321" t="s">
        <v>124</v>
      </c>
      <c r="H155" s="321" t="s">
        <v>124</v>
      </c>
      <c r="I155" s="321" t="s">
        <v>124</v>
      </c>
      <c r="J155" s="321" t="s">
        <v>124</v>
      </c>
      <c r="K155" s="321" t="s">
        <v>124</v>
      </c>
    </row>
    <row r="156" spans="2:12" x14ac:dyDescent="0.3">
      <c r="B156" s="130" t="str">
        <f ca="1">'Translation Table'!H1807</f>
        <v>Sweetening: MEA (Monoethanolamine)</v>
      </c>
      <c r="C156" s="452">
        <f t="shared" ca="1" si="0"/>
        <v>0</v>
      </c>
      <c r="D156" s="506" t="s">
        <v>124</v>
      </c>
      <c r="E156" s="506" t="s">
        <v>124</v>
      </c>
      <c r="F156" s="506">
        <f t="shared" si="1"/>
        <v>0</v>
      </c>
      <c r="G156" s="506" t="s">
        <v>124</v>
      </c>
      <c r="H156" s="506" t="s">
        <v>124</v>
      </c>
      <c r="I156" s="506" t="s">
        <v>124</v>
      </c>
      <c r="J156" s="506" t="s">
        <v>124</v>
      </c>
      <c r="K156" s="506" t="s">
        <v>124</v>
      </c>
    </row>
    <row r="157" spans="2:12" x14ac:dyDescent="0.3">
      <c r="B157" s="54" t="str">
        <f ca="1">'Translation Table'!H1808</f>
        <v>Sweetening: Selexol</v>
      </c>
      <c r="C157" s="193">
        <f t="shared" ca="1" si="0"/>
        <v>0</v>
      </c>
      <c r="D157" s="321" t="s">
        <v>124</v>
      </c>
      <c r="E157" s="321" t="s">
        <v>124</v>
      </c>
      <c r="F157" s="321">
        <f t="shared" si="1"/>
        <v>0</v>
      </c>
      <c r="G157" s="321" t="s">
        <v>124</v>
      </c>
      <c r="H157" s="321" t="s">
        <v>124</v>
      </c>
      <c r="I157" s="321" t="s">
        <v>124</v>
      </c>
      <c r="J157" s="321" t="s">
        <v>124</v>
      </c>
      <c r="K157" s="321" t="s">
        <v>124</v>
      </c>
    </row>
    <row r="158" spans="2:12" x14ac:dyDescent="0.3">
      <c r="B158" s="213" t="str">
        <f ca="1">'Translation Table'!H822</f>
        <v>Total:</v>
      </c>
      <c r="C158" s="313">
        <f ca="1">SUM(C146:C157)</f>
        <v>0</v>
      </c>
      <c r="D158" s="314">
        <f>'EFs - Other'!C$123</f>
        <v>965</v>
      </c>
      <c r="E158" s="290">
        <f ca="1">IF(C158&gt;0,'Setup - Facility Details'!$D$17*_xlfn.XLOOKUP('Setup - Facility Details'!$E$17,'Lookup Tables'!$B$206:$B$217,'Lookup Tables'!$F$206:$F$217,,0,1)*E3m3_per_d_to_E6_m3_per_d,0)</f>
        <v>0</v>
      </c>
      <c r="F158" s="312">
        <f>IF(ISBLANK('Setup - Facility Details'!I41),IF(E158&gt;0,D158*E158*365,0),'Setup - Facility Details'!I41*24*365)</f>
        <v>0</v>
      </c>
      <c r="G158" s="215">
        <f>F158/Vstp*M_CH4/1000</f>
        <v>0</v>
      </c>
      <c r="H158" s="215">
        <f>F158*VentedAcidGas_CO2/VentedAcidGas_CH4</f>
        <v>0</v>
      </c>
      <c r="I158" s="215">
        <f>H158/Vstp*M_CO2/1000</f>
        <v>0</v>
      </c>
      <c r="J158" s="215">
        <f>F158*(1-VentedAcidGas_CH4-VentedAcidGas_CO2-VentedAcidGas_N2-VentedAcidGas_H2S)/VentedAcidGas_CH4</f>
        <v>0</v>
      </c>
      <c r="K158" s="215">
        <f>J158/Vstp*M_NMVOC/1000</f>
        <v>0</v>
      </c>
    </row>
    <row r="161" spans="2:11" ht="22.5" x14ac:dyDescent="0.45">
      <c r="B161" s="1048" t="str">
        <f ca="1">'Translation Table'!H824</f>
        <v>Storage Losses</v>
      </c>
      <c r="C161" s="1048"/>
      <c r="D161" s="507"/>
      <c r="E161" s="507"/>
      <c r="F161" s="507"/>
      <c r="G161" s="507"/>
      <c r="H161" s="507"/>
      <c r="I161" s="507"/>
      <c r="J161" s="507"/>
      <c r="K161" s="507"/>
    </row>
    <row r="162" spans="2:11" ht="18" customHeight="1" x14ac:dyDescent="0.45">
      <c r="B162" s="280"/>
      <c r="C162" s="507"/>
      <c r="D162" s="507"/>
      <c r="E162" s="507"/>
      <c r="F162" s="507"/>
      <c r="G162" s="507"/>
      <c r="H162" s="507"/>
      <c r="I162" s="507"/>
      <c r="J162" s="507"/>
      <c r="K162" s="507"/>
    </row>
    <row r="163" spans="2:11" ht="15.5" x14ac:dyDescent="0.3">
      <c r="B163" s="282" t="str">
        <f ca="1">'Translation Table'!H825</f>
        <v>Type</v>
      </c>
      <c r="C163" s="1054" t="str">
        <f ca="1">'Translation Table'!H832</f>
        <v>Emissions</v>
      </c>
      <c r="D163" s="1055"/>
      <c r="E163" s="1055"/>
      <c r="F163" s="1055"/>
      <c r="G163" s="1055"/>
      <c r="H163" s="1055"/>
      <c r="I163" s="1056"/>
    </row>
    <row r="164" spans="2:11" ht="15.5" x14ac:dyDescent="0.35">
      <c r="B164" s="284"/>
      <c r="C164" s="285" t="s">
        <v>3103</v>
      </c>
      <c r="D164" s="283" t="str">
        <f ca="1">'Translation Table'!H835</f>
        <v>(Nm3 CH4/d)</v>
      </c>
      <c r="E164" s="283" t="str">
        <f ca="1">'Translation Table'!H836</f>
        <v>(tonnes CH4/y)</v>
      </c>
      <c r="F164" s="283" t="str">
        <f ca="1">'Translation Table'!H805</f>
        <v>(Nm3 CO2/d)</v>
      </c>
      <c r="G164" s="283" t="str">
        <f ca="1">'Translation Table'!H806</f>
        <v>(tonnes CO2/y)</v>
      </c>
      <c r="H164" s="283" t="str">
        <f ca="1">'Translation Table'!H808</f>
        <v>(Nm3 NMVOC/d)</v>
      </c>
      <c r="I164" s="283" t="str">
        <f ca="1">'Translation Table'!H809</f>
        <v>(tonnes NMVOC/y)</v>
      </c>
      <c r="J164" s="47"/>
    </row>
    <row r="165" spans="2:11" ht="15" customHeight="1" x14ac:dyDescent="0.3">
      <c r="B165" s="130" t="str">
        <f ca="1">'Translation Table'!H826</f>
        <v>Flashing Losses (Oil Production Tanks)</v>
      </c>
      <c r="C165" s="459">
        <f ca="1">'Setup - Flashing Losses'!N16</f>
        <v>0</v>
      </c>
      <c r="D165" s="488">
        <f ca="1">C165*Vapor_CH4</f>
        <v>0</v>
      </c>
      <c r="E165" s="488">
        <f ca="1">D165*365/Vstp*M_CH4/1000</f>
        <v>0</v>
      </c>
      <c r="F165" s="488">
        <f ca="1">D165*Vapor_CO2/Vapor_CH4</f>
        <v>0</v>
      </c>
      <c r="G165" s="488">
        <f ca="1">F165*365/Vstp*M_CO2/1000</f>
        <v>0</v>
      </c>
      <c r="H165" s="488">
        <f ca="1">D165*(1-Vapor_CH4-Vapor_CO2-Vapor_N2-Vapor_H2S)/Vapor_CH4</f>
        <v>0</v>
      </c>
      <c r="I165" s="488">
        <f ca="1">H165*365/Vstp*M_NMVOC/1000</f>
        <v>0</v>
      </c>
    </row>
    <row r="166" spans="2:11" ht="15" customHeight="1" x14ac:dyDescent="0.3">
      <c r="B166" s="54" t="str">
        <f ca="1">'Translation Table'!H827</f>
        <v>Flashing Losses (Produced Water Tanks)</v>
      </c>
      <c r="C166" s="508">
        <f ca="1">'Setup - Flashing Losses'!N26</f>
        <v>0</v>
      </c>
      <c r="D166" s="509">
        <f ca="1">C166*Vapor_CH4</f>
        <v>0</v>
      </c>
      <c r="E166" s="509">
        <f ca="1">D166*365/Vstp*M_CH4/1000</f>
        <v>0</v>
      </c>
      <c r="F166" s="509">
        <f ca="1">D166*Vapor_CO2/Vapor_CH4</f>
        <v>0</v>
      </c>
      <c r="G166" s="509">
        <f ca="1">F166*365/Vstp*M_CO2/1000</f>
        <v>0</v>
      </c>
      <c r="H166" s="509">
        <f ca="1">D166*(1-Vapor_CH4-Vapor_CO2-Vapor_N2-Vapor_H2S)/Vapor_CH4</f>
        <v>0</v>
      </c>
      <c r="I166" s="509">
        <f ca="1">H166*365/Vstp*M_NMVOC/1000</f>
        <v>0</v>
      </c>
    </row>
    <row r="167" spans="2:11" ht="15" customHeight="1" x14ac:dyDescent="0.3">
      <c r="B167" s="130" t="str">
        <f ca="1">'Translation Table'!H828</f>
        <v>Non-Flashing Losses from Storage Tanks (Measured)</v>
      </c>
      <c r="C167" s="459">
        <f>IF('Setup - Facility Details'!C45&gt;0,'Setup - Facility Details'!C45/_xlfn.XLOOKUP('Setup - Facility Details'!D45,'Lookup Tables'!$B$227:$B$235,'Lookup Tables'!$F$227:$F$235,,0,1)*E3m3_per_d_to_m3_per_d,0)</f>
        <v>0</v>
      </c>
      <c r="D167" s="488">
        <f>IF('Setup - Facility Details'!D45=Natural_Gas,Vapor_CH4,IF('Setup - Facility Details'!C45=Methane,1))*C167</f>
        <v>0</v>
      </c>
      <c r="E167" s="488">
        <f>D167*365/Vstp*M_CH4/1000</f>
        <v>0</v>
      </c>
      <c r="F167" s="488">
        <f>D167*Vapor_CO2/Vapor_CH4</f>
        <v>0</v>
      </c>
      <c r="G167" s="488">
        <f>F167*365/Vstp*M_CO2/1000</f>
        <v>0</v>
      </c>
      <c r="H167" s="488">
        <f>D167*(1-Vapor_CH4-Vapor_CO2-Vapor_N2-Vapor_H2S)/Vapor_CH4</f>
        <v>0</v>
      </c>
      <c r="I167" s="488">
        <f>H167*365/Vstp*M_NMVOC/1000</f>
        <v>0</v>
      </c>
    </row>
    <row r="168" spans="2:11" x14ac:dyDescent="0.3">
      <c r="B168" s="281" t="str">
        <f ca="1">'Translation Table'!H822</f>
        <v>Total:</v>
      </c>
      <c r="C168" s="281">
        <f t="shared" ref="C168:I168" ca="1" si="2">SUM(C165:C167)</f>
        <v>0</v>
      </c>
      <c r="D168" s="281">
        <f t="shared" ca="1" si="2"/>
        <v>0</v>
      </c>
      <c r="E168" s="281">
        <f t="shared" ca="1" si="2"/>
        <v>0</v>
      </c>
      <c r="F168" s="281">
        <f t="shared" ca="1" si="2"/>
        <v>0</v>
      </c>
      <c r="G168" s="281">
        <f t="shared" ca="1" si="2"/>
        <v>0</v>
      </c>
      <c r="H168" s="281">
        <f t="shared" ca="1" si="2"/>
        <v>0</v>
      </c>
      <c r="I168" s="281">
        <f t="shared" ca="1" si="2"/>
        <v>0</v>
      </c>
    </row>
    <row r="169" spans="2:11" ht="20" x14ac:dyDescent="0.4">
      <c r="C169" s="277"/>
    </row>
    <row r="171" spans="2:11" ht="22.5" x14ac:dyDescent="0.45">
      <c r="B171" s="1043" t="str">
        <f ca="1">'Translation Table'!H843</f>
        <v>Inventory of Mishaps:</v>
      </c>
      <c r="C171" s="1043"/>
    </row>
    <row r="173" spans="2:11" ht="15.5" x14ac:dyDescent="0.3">
      <c r="B173" s="196" t="str">
        <f ca="1">'Translation Table'!H844</f>
        <v>Emission Factor</v>
      </c>
      <c r="C173" s="196" t="str">
        <f ca="1">'Translation Table'!H845</f>
        <v>Activity</v>
      </c>
      <c r="D173" s="196" t="str">
        <f ca="1">'Translation Table'!H846</f>
        <v>Emissions</v>
      </c>
    </row>
    <row r="174" spans="2:11" ht="15.5" x14ac:dyDescent="0.3">
      <c r="B174" s="196" t="str">
        <f ca="1">'Translation Table'!H847</f>
        <v>(Nm3/E+06 Nm3 gas processed)</v>
      </c>
      <c r="C174" s="196" t="str">
        <f ca="1">'Translation Table'!H848</f>
        <v>(E+06 Nm3 gas processed/d)</v>
      </c>
      <c r="D174" s="196" t="str">
        <f ca="1">'Translation Table'!H849</f>
        <v>(Nm3 CH4/d)</v>
      </c>
    </row>
    <row r="175" spans="2:11" x14ac:dyDescent="0.3">
      <c r="B175" s="510">
        <f ca="1">IF($C$4=GasProcessing,'EFs - Other'!C271,0)</f>
        <v>211.9815668202765</v>
      </c>
      <c r="C175" s="460">
        <f>IF('Setup - Facility Details'!$D$17="",0,'Setup - Facility Details'!$D$17*_xlfn.XLOOKUP('Setup - Facility Details'!$E$17,'Lookup Tables'!$B$206:$B$217,'Lookup Tables'!$F$206:$F$217,,0,1)*E3m3_per_d_to_E6_m3_per_d)</f>
        <v>0</v>
      </c>
      <c r="D175" s="511">
        <f ca="1">B175*C175*'Setup - Facility Details'!E74</f>
        <v>0</v>
      </c>
    </row>
    <row r="176" spans="2:11" x14ac:dyDescent="0.3">
      <c r="B176" s="512"/>
      <c r="C176" s="1040" t="str">
        <f ca="1">'Translation Table'!H850</f>
        <v>Total</v>
      </c>
      <c r="D176" s="212" t="str">
        <f ca="1">'Translation Table'!H618</f>
        <v>CH4</v>
      </c>
      <c r="E176" s="212" t="str">
        <f ca="1">'Translation Table'!H619</f>
        <v>CO2</v>
      </c>
      <c r="F176" s="212" t="str">
        <f ca="1">'Translation Table'!H620</f>
        <v>NMVOC</v>
      </c>
    </row>
    <row r="177" spans="2:10" x14ac:dyDescent="0.3">
      <c r="C177" s="1038"/>
      <c r="D177" s="52">
        <f ca="1">D175</f>
        <v>0</v>
      </c>
      <c r="E177" s="55">
        <f ca="1">D177*ProcessGas_CO2/ProcessGas_CH4</f>
        <v>0</v>
      </c>
      <c r="F177" s="55">
        <f ca="1">D177*(1-ProcessGas_CH4-ProcessGas_CO2-ProcessGas_N2-ProcessGas_H2S)/ProcessGas_CH4</f>
        <v>0</v>
      </c>
      <c r="G177" s="52" t="str">
        <f ca="1">'Translation Table'!H622</f>
        <v>Nm3/d</v>
      </c>
    </row>
    <row r="178" spans="2:10" x14ac:dyDescent="0.3">
      <c r="C178" s="1038"/>
      <c r="D178" s="290">
        <f ca="1">D177*365</f>
        <v>0</v>
      </c>
      <c r="E178" s="318">
        <f ca="1">E177*365</f>
        <v>0</v>
      </c>
      <c r="F178" s="318">
        <f ca="1">F177*365</f>
        <v>0</v>
      </c>
      <c r="G178" s="313" t="str">
        <f ca="1">'Translation Table'!H623</f>
        <v>Nm3/y</v>
      </c>
    </row>
    <row r="179" spans="2:10" x14ac:dyDescent="0.3">
      <c r="C179" s="1039"/>
      <c r="D179" s="55">
        <f ca="1">D178*density_CH4/1000</f>
        <v>0</v>
      </c>
      <c r="E179" s="55">
        <f ca="1">E178/Vstp*M_CO2/1000</f>
        <v>0</v>
      </c>
      <c r="F179" s="55">
        <f ca="1">F178/Vstp*M_NMVOC/1000</f>
        <v>0</v>
      </c>
      <c r="G179" s="52" t="str">
        <f ca="1">'Translation Table'!H624</f>
        <v>tonnes/y</v>
      </c>
    </row>
    <row r="182" spans="2:10" ht="22.5" x14ac:dyDescent="0.45">
      <c r="B182" s="1043" t="str">
        <f ca="1">'Translation Table'!H855</f>
        <v>Inventory of Wells:</v>
      </c>
      <c r="C182" s="1043"/>
    </row>
    <row r="184" spans="2:10" ht="15.5" x14ac:dyDescent="0.3">
      <c r="B184" s="196" t="str">
        <f ca="1">'Translation Table'!H856</f>
        <v>Type</v>
      </c>
      <c r="C184" s="196" t="str">
        <f ca="1">'Translation Table'!H857</f>
        <v>Count</v>
      </c>
      <c r="D184" s="196" t="str">
        <f ca="1">'Translation Table'!H858</f>
        <v>Emission Factor</v>
      </c>
      <c r="E184" s="1001" t="str">
        <f ca="1">'Translation Table'!H859</f>
        <v>Emissions</v>
      </c>
      <c r="F184" s="1001"/>
      <c r="G184" s="1001"/>
      <c r="H184" s="1001"/>
    </row>
    <row r="185" spans="2:10" ht="15.5" x14ac:dyDescent="0.35">
      <c r="B185" s="203"/>
      <c r="C185" s="203"/>
      <c r="D185" s="196" t="str">
        <f ca="1">'Translation Table'!H861</f>
        <v>(Nm3/d/well)</v>
      </c>
      <c r="E185" s="196" t="str">
        <f ca="1">'Translation Table'!H862</f>
        <v>(Nm3 CH4/d)</v>
      </c>
      <c r="F185" s="196" t="str">
        <f ca="1">'Translation Table'!H863</f>
        <v>(tonnes CH4/y)</v>
      </c>
      <c r="G185" s="201" t="str">
        <f ca="1">'Translation Table'!H806</f>
        <v>(tonnes CO2/y)</v>
      </c>
      <c r="H185" s="201" t="str">
        <f ca="1">'Translation Table'!H809</f>
        <v>(tonnes NMVOC/y)</v>
      </c>
    </row>
    <row r="186" spans="2:10" x14ac:dyDescent="0.3">
      <c r="B186" s="216" t="str">
        <f ca="1">'Translation Table'!H864</f>
        <v>Well: Conventional Oil</v>
      </c>
      <c r="C186" s="452">
        <f ca="1">IF(ISERROR(VLOOKUP(B186,TblProcessUnitInventory,3,FALSE)),0,VLOOKUP(B186,TblProcessUnitInventory,3,FALSE))</f>
        <v>0</v>
      </c>
      <c r="D186" s="452">
        <f ca="1">IF(OR($C$4=OnshoreOilProduction,$C$4=OnshoreGasProduction,$C$4=GasProcessing),'EFs - Other'!C215, 0)</f>
        <v>0</v>
      </c>
      <c r="E186" s="459">
        <f ca="1">C186*D186</f>
        <v>0</v>
      </c>
      <c r="F186" s="459">
        <f t="shared" ref="F186:F191" ca="1" si="3">E186*density_CH4*365/1000</f>
        <v>0</v>
      </c>
      <c r="G186" s="459">
        <f t="shared" ref="G186:G191" ca="1" si="4">E186*CasingGas_CO2/CasingGas_CH4*M_CO2/Vstp/1000*365</f>
        <v>0</v>
      </c>
      <c r="H186" s="459">
        <f t="shared" ref="H186:H191" ca="1" si="5">E186*(1-CasingGas_CH4-CasingGas_CO2-CasingGas_H2S-CasingGas_N2)/CasingGas_CH4*365/1000/Vstp*M_NMVOC</f>
        <v>0</v>
      </c>
    </row>
    <row r="187" spans="2:10" x14ac:dyDescent="0.3">
      <c r="B187" s="315" t="s">
        <v>3427</v>
      </c>
      <c r="C187" s="193">
        <f ca="1">IF(ISERROR(VLOOKUP(B187,TblProcessUnitInventory,3,FALSE)),0,VLOOKUP(B187,TblProcessUnitInventory,3,FALSE))</f>
        <v>0</v>
      </c>
      <c r="D187" s="452">
        <f ca="1">IF(OR($C$4=OnshoreOilProduction,$C$4=OnshoreGasProduction,$C$4=GasProcessing),'EFs - Other'!C215, 0)</f>
        <v>0</v>
      </c>
      <c r="E187" s="460">
        <f ca="1">C187*D187</f>
        <v>0</v>
      </c>
      <c r="F187" s="460">
        <f t="shared" ca="1" si="3"/>
        <v>0</v>
      </c>
      <c r="G187" s="460">
        <f t="shared" ca="1" si="4"/>
        <v>0</v>
      </c>
      <c r="H187" s="460">
        <f t="shared" ca="1" si="5"/>
        <v>0</v>
      </c>
    </row>
    <row r="188" spans="2:10" x14ac:dyDescent="0.3">
      <c r="B188" s="315" t="s">
        <v>3395</v>
      </c>
      <c r="C188" s="193">
        <f ca="1">IF(ISERROR(VLOOKUP(B188,TblProcessUnitInventory,3,FALSE)),0,VLOOKUP(B188,TblProcessUnitInventory,3,FALSE))</f>
        <v>0</v>
      </c>
      <c r="D188" s="193">
        <f ca="1">IF(OR($C$4=OnshoreOilProduction,$C$4=OnshoreGasProduction,$C$4=GasProcessing),'EFs - Other'!C214, 0)</f>
        <v>3.8471570053358173</v>
      </c>
      <c r="E188" s="460">
        <f ca="1">C188*D188</f>
        <v>0</v>
      </c>
      <c r="F188" s="460">
        <f t="shared" ca="1" si="3"/>
        <v>0</v>
      </c>
      <c r="G188" s="460">
        <f t="shared" ca="1" si="4"/>
        <v>0</v>
      </c>
      <c r="H188" s="460">
        <f t="shared" ca="1" si="5"/>
        <v>0</v>
      </c>
    </row>
    <row r="189" spans="2:10" x14ac:dyDescent="0.3">
      <c r="B189" s="216" t="str">
        <f ca="1">'Translation Table'!H865</f>
        <v>Well: Gas</v>
      </c>
      <c r="C189" s="452">
        <f ca="1">IF(ISERROR(VLOOKUP(B189,TblProcessUnitInventory,3,FALSE)),0,VLOOKUP(B189,TblProcessUnitInventory,3,FALSE))</f>
        <v>0</v>
      </c>
      <c r="D189" s="452">
        <v>0</v>
      </c>
      <c r="E189" s="459">
        <f ca="1">C189*D189</f>
        <v>0</v>
      </c>
      <c r="F189" s="459">
        <f t="shared" ca="1" si="3"/>
        <v>0</v>
      </c>
      <c r="G189" s="459">
        <f t="shared" ca="1" si="4"/>
        <v>0</v>
      </c>
      <c r="H189" s="459">
        <f t="shared" ca="1" si="5"/>
        <v>0</v>
      </c>
    </row>
    <row r="190" spans="2:10" x14ac:dyDescent="0.3">
      <c r="B190" s="315" t="str">
        <f ca="1">'Translation Table'!H866</f>
        <v>Well: Heavy Oil</v>
      </c>
      <c r="C190" s="193">
        <f ca="1">IF(ISERROR(VLOOKUP(B190,TblProcessUnitInventory,3,FALSE)),0,VLOOKUP(B190,TblProcessUnitInventory,3,FALSE))</f>
        <v>0</v>
      </c>
      <c r="D190" s="193">
        <f ca="1">IF(OR($C$4=OnshoreOilProduction,$C$4=OnshoreGasProduction,$C$4=GasProcessing),'EFs - Other'!C216, 0)</f>
        <v>37.026628455109979</v>
      </c>
      <c r="E190" s="460">
        <f ca="1">C190*D190</f>
        <v>0</v>
      </c>
      <c r="F190" s="460">
        <f t="shared" ca="1" si="3"/>
        <v>0</v>
      </c>
      <c r="G190" s="460">
        <f t="shared" ca="1" si="4"/>
        <v>0</v>
      </c>
      <c r="H190" s="460">
        <f t="shared" ca="1" si="5"/>
        <v>0</v>
      </c>
    </row>
    <row r="191" spans="2:10" x14ac:dyDescent="0.3">
      <c r="B191" s="313" t="str">
        <f ca="1">'Translation Table'!H850</f>
        <v>Total</v>
      </c>
      <c r="C191" s="682">
        <f ca="1">SUM(C186:C190)</f>
        <v>0</v>
      </c>
      <c r="D191" s="683" t="s">
        <v>124</v>
      </c>
      <c r="E191" s="682">
        <f ca="1">IF('Setup - Facility Details'!I46&gt;0,'Setup - Facility Details'!I46*24,SUM(E186:E190))</f>
        <v>0</v>
      </c>
      <c r="F191" s="290">
        <f t="shared" ca="1" si="3"/>
        <v>0</v>
      </c>
      <c r="G191" s="290">
        <f t="shared" ca="1" si="4"/>
        <v>0</v>
      </c>
      <c r="H191" s="290">
        <f t="shared" ca="1" si="5"/>
        <v>0</v>
      </c>
    </row>
    <row r="192" spans="2:10" x14ac:dyDescent="0.3">
      <c r="B192" s="36"/>
      <c r="C192" s="287"/>
      <c r="D192" s="288"/>
      <c r="E192" s="287"/>
      <c r="F192" s="289"/>
      <c r="G192" s="289"/>
      <c r="H192" s="289"/>
      <c r="I192" s="289"/>
      <c r="J192" s="289"/>
    </row>
    <row r="193" spans="2:10" ht="22.5" x14ac:dyDescent="0.45">
      <c r="B193" s="37" t="str">
        <f ca="1">'Translation Table'!H867</f>
        <v>Other Contributions (Measured)</v>
      </c>
      <c r="C193" s="287"/>
      <c r="D193" s="288"/>
      <c r="E193" s="287"/>
      <c r="F193" s="289"/>
      <c r="G193" s="289"/>
      <c r="H193" s="289"/>
      <c r="I193" s="289"/>
      <c r="J193" s="289"/>
    </row>
    <row r="194" spans="2:10" x14ac:dyDescent="0.3">
      <c r="B194" s="36"/>
      <c r="C194" s="287"/>
      <c r="D194" s="288"/>
      <c r="E194" s="287"/>
      <c r="F194" s="289"/>
      <c r="G194" s="289"/>
      <c r="H194" s="289"/>
      <c r="I194" s="289"/>
      <c r="J194" s="289"/>
    </row>
    <row r="195" spans="2:10" ht="15.5" x14ac:dyDescent="0.3">
      <c r="B195" s="196" t="str">
        <f ca="1">'Translation Table'!H868</f>
        <v>Source</v>
      </c>
      <c r="C195" s="995" t="str">
        <f ca="1">'Translation Table'!H859</f>
        <v>Emissions</v>
      </c>
      <c r="D195" s="711"/>
      <c r="E195" s="711"/>
      <c r="F195" s="711"/>
    </row>
    <row r="196" spans="2:10" ht="15.5" x14ac:dyDescent="0.35">
      <c r="B196" s="203"/>
      <c r="C196" s="196" t="str">
        <f ca="1">'Translation Table'!H862</f>
        <v>(Nm3 CH4/d)</v>
      </c>
      <c r="D196" s="196" t="str">
        <f ca="1">'Translation Table'!H863</f>
        <v>(tonnes CH4/y)</v>
      </c>
      <c r="E196" s="201" t="str">
        <f ca="1">'Translation Table'!H806</f>
        <v>(tonnes CO2/y)</v>
      </c>
      <c r="F196" s="201" t="str">
        <f ca="1">'Translation Table'!H809</f>
        <v>(tonnes NMVOC/y)</v>
      </c>
    </row>
    <row r="197" spans="2:10" x14ac:dyDescent="0.3">
      <c r="B197" s="216" t="str">
        <f ca="1">'Setup - Facility Details'!B37</f>
        <v>Emissions From Pits &amp; Ponds</v>
      </c>
      <c r="C197" s="513">
        <f>'Setup - Facility Details'!I37*24</f>
        <v>0</v>
      </c>
      <c r="D197" s="459">
        <f>C197*density_CH4*365/1000</f>
        <v>0</v>
      </c>
      <c r="E197" s="459">
        <f>C197*CasingGas_CO2/CasingGas_CH4*M_CO2/Vstp/1000*365</f>
        <v>0</v>
      </c>
      <c r="F197" s="459">
        <f>C197*(1-CasingGas_CH4-CasingGas_CO2-CasingGas_H2S-CasingGas_N2)/CasingGas_CH4*365/1000/Vstp*M_NMVOC</f>
        <v>0</v>
      </c>
    </row>
    <row r="198" spans="2:10" x14ac:dyDescent="0.3">
      <c r="B198" s="315" t="str">
        <f ca="1">'Setup - Facility Details'!B38</f>
        <v>Emissions From Associated Well Sites</v>
      </c>
      <c r="C198" s="316">
        <f>'Setup - Facility Details'!I38*24</f>
        <v>0</v>
      </c>
      <c r="D198" s="460">
        <f>C198*density_CH4*365/1000</f>
        <v>0</v>
      </c>
      <c r="E198" s="460">
        <f>C198*CasingGas_CO2/CasingGas_CH4*M_CO2/Vstp/1000*365</f>
        <v>0</v>
      </c>
      <c r="F198" s="460">
        <f>C198*(1-CasingGas_CH4-CasingGas_CO2-CasingGas_H2S-CasingGas_N2)/CasingGas_CH4*365/1000/Vstp*M_NMVOC</f>
        <v>0</v>
      </c>
    </row>
    <row r="199" spans="2:10" x14ac:dyDescent="0.3">
      <c r="B199" s="216" t="str">
        <f ca="1">'Setup - Facility Details'!B39</f>
        <v>Emissions From Other Associated Offsite Installations</v>
      </c>
      <c r="C199" s="317">
        <f>'Setup - Facility Details'!I39*24</f>
        <v>0</v>
      </c>
      <c r="D199" s="459">
        <f>C199*density_CH4*365/1000</f>
        <v>0</v>
      </c>
      <c r="E199" s="459">
        <f>C199*CasingGas_CO2/CasingGas_CH4*M_CO2/Vstp/1000*365</f>
        <v>0</v>
      </c>
      <c r="F199" s="459">
        <f>C199*(1-CasingGas_CH4-CasingGas_CO2-CasingGas_H2S-CasingGas_N2)/CasingGas_CH4*365/1000/Vstp*M_NMVOC</f>
        <v>0</v>
      </c>
    </row>
    <row r="200" spans="2:10" x14ac:dyDescent="0.3">
      <c r="B200" s="315" t="str">
        <f ca="1">'Setup - Facility Details'!B44</f>
        <v>Venting by Other Sources</v>
      </c>
      <c r="C200" s="316">
        <f>'Setup - Facility Details'!I44*24</f>
        <v>0</v>
      </c>
      <c r="D200" s="460">
        <f>C200*density_CH4*365/1000</f>
        <v>0</v>
      </c>
      <c r="E200" s="460">
        <f>C200*CasingGas_CO2/CasingGas_CH4*M_CO2/Vstp/1000*365</f>
        <v>0</v>
      </c>
      <c r="F200" s="460">
        <f>C200*(1-CasingGas_CH4-CasingGas_CO2-CasingGas_H2S-CasingGas_N2)/CasingGas_CH4*365/1000/Vstp*M_NMVOC</f>
        <v>0</v>
      </c>
    </row>
    <row r="201" spans="2:10" x14ac:dyDescent="0.3">
      <c r="B201" s="313" t="str">
        <f ca="1">'Translation Table'!H822</f>
        <v>Total:</v>
      </c>
      <c r="C201" s="684">
        <f>SUM(C197:C200)</f>
        <v>0</v>
      </c>
      <c r="D201" s="684">
        <f>SUM(D197:D200)</f>
        <v>0</v>
      </c>
      <c r="E201" s="684">
        <f>SUM(E197:E200)</f>
        <v>0</v>
      </c>
      <c r="F201" s="684">
        <f>SUM(F197:F200)</f>
        <v>0</v>
      </c>
    </row>
    <row r="202" spans="2:10" x14ac:dyDescent="0.3">
      <c r="B202" s="36"/>
      <c r="C202" s="287"/>
      <c r="D202" s="288"/>
      <c r="E202" s="287"/>
      <c r="F202" s="289"/>
      <c r="G202" s="289"/>
      <c r="H202" s="289"/>
      <c r="I202" s="289"/>
      <c r="J202" s="289"/>
    </row>
    <row r="203" spans="2:10" ht="22.5" x14ac:dyDescent="0.45">
      <c r="B203" s="1043" t="str">
        <f ca="1">'Translation Table'!H869</f>
        <v>Facility-Level Venting Events</v>
      </c>
      <c r="C203" s="1043"/>
    </row>
    <row r="205" spans="2:10" x14ac:dyDescent="0.3">
      <c r="B205" s="256" t="str">
        <f ca="1">'Translation Table'!H870</f>
        <v>Not currently determined.</v>
      </c>
    </row>
    <row r="209" spans="2:3" ht="22.5" x14ac:dyDescent="0.45">
      <c r="B209" s="1043" t="str">
        <f ca="1">'Translation Table'!H871</f>
        <v>Pipeline Related Venting Events</v>
      </c>
      <c r="C209" s="1043"/>
    </row>
    <row r="211" spans="2:3" x14ac:dyDescent="0.3">
      <c r="B211" s="256" t="str">
        <f ca="1">'Translation Table'!H872</f>
        <v>Not currently determined.</v>
      </c>
    </row>
  </sheetData>
  <sheetProtection algorithmName="SHA-512" hashValue="+C7ZHtNO8yl8+FTfXXOszaYXuZxiLtINOa/ZJhoHPROL3BSKviM8Ipl7Ajg2gvv/U61zztUcJ4+TLRpURB7m6g==" saltValue="7SaVunY9Fe2V9WD0CbfoTQ==" spinCount="100000" sheet="1" objects="1" scenarios="1"/>
  <sortState xmlns:xlrd2="http://schemas.microsoft.com/office/spreadsheetml/2017/richdata2" ref="B78:C82">
    <sortCondition ref="B78"/>
  </sortState>
  <mergeCells count="362">
    <mergeCell ref="AS49:AT49"/>
    <mergeCell ref="AI75:AJ76"/>
    <mergeCell ref="AS54:AT54"/>
    <mergeCell ref="B46:F46"/>
    <mergeCell ref="B47:F47"/>
    <mergeCell ref="B48:F48"/>
    <mergeCell ref="B49:F49"/>
    <mergeCell ref="B50:F50"/>
    <mergeCell ref="B51:F51"/>
    <mergeCell ref="A52:XFD52"/>
    <mergeCell ref="AQ46:AR46"/>
    <mergeCell ref="AS46:AT46"/>
    <mergeCell ref="G48:H48"/>
    <mergeCell ref="I48:J48"/>
    <mergeCell ref="K48:L48"/>
    <mergeCell ref="M48:N48"/>
    <mergeCell ref="O48:P48"/>
    <mergeCell ref="Q48:R48"/>
    <mergeCell ref="S48:T48"/>
    <mergeCell ref="U48:V48"/>
    <mergeCell ref="Y47:Z47"/>
    <mergeCell ref="AA47:AB47"/>
    <mergeCell ref="AC47:AD47"/>
    <mergeCell ref="AE47:AF47"/>
    <mergeCell ref="AG47:AH47"/>
    <mergeCell ref="AQ47:AR47"/>
    <mergeCell ref="AK49:AL49"/>
    <mergeCell ref="AM49:AN49"/>
    <mergeCell ref="AO49:AP49"/>
    <mergeCell ref="AQ49:AR49"/>
    <mergeCell ref="O50:P50"/>
    <mergeCell ref="Q50:R50"/>
    <mergeCell ref="S50:T50"/>
    <mergeCell ref="U50:V50"/>
    <mergeCell ref="W50:X50"/>
    <mergeCell ref="Y50:Z50"/>
    <mergeCell ref="AC48:AD48"/>
    <mergeCell ref="AC50:AD50"/>
    <mergeCell ref="AE48:AF48"/>
    <mergeCell ref="AE50:AF50"/>
    <mergeCell ref="AA50:AB50"/>
    <mergeCell ref="W48:X48"/>
    <mergeCell ref="Y48:Z48"/>
    <mergeCell ref="AA48:AB48"/>
    <mergeCell ref="B8:B12"/>
    <mergeCell ref="C8:C12"/>
    <mergeCell ref="B53:F53"/>
    <mergeCell ref="D9:D12"/>
    <mergeCell ref="E9:E12"/>
    <mergeCell ref="F9:F12"/>
    <mergeCell ref="K75:L76"/>
    <mergeCell ref="G8:J8"/>
    <mergeCell ref="I10:J11"/>
    <mergeCell ref="D8:F8"/>
    <mergeCell ref="K10:L11"/>
    <mergeCell ref="K74:L74"/>
    <mergeCell ref="G75:H76"/>
    <mergeCell ref="I75:J76"/>
    <mergeCell ref="G46:H46"/>
    <mergeCell ref="I46:J46"/>
    <mergeCell ref="K46:L46"/>
    <mergeCell ref="G50:H50"/>
    <mergeCell ref="I50:J50"/>
    <mergeCell ref="K50:L50"/>
    <mergeCell ref="G73:J73"/>
    <mergeCell ref="G53:H53"/>
    <mergeCell ref="I53:J53"/>
    <mergeCell ref="G9:H9"/>
    <mergeCell ref="B209:C209"/>
    <mergeCell ref="B71:C71"/>
    <mergeCell ref="B89:C89"/>
    <mergeCell ref="B116:C116"/>
    <mergeCell ref="B130:C130"/>
    <mergeCell ref="B142:C142"/>
    <mergeCell ref="B161:C161"/>
    <mergeCell ref="B171:C171"/>
    <mergeCell ref="B182:C182"/>
    <mergeCell ref="B73:B77"/>
    <mergeCell ref="C73:C77"/>
    <mergeCell ref="B91:B92"/>
    <mergeCell ref="B107:B108"/>
    <mergeCell ref="C195:F195"/>
    <mergeCell ref="F110:G110"/>
    <mergeCell ref="G74:H74"/>
    <mergeCell ref="C176:C179"/>
    <mergeCell ref="C163:I163"/>
    <mergeCell ref="F144:K144"/>
    <mergeCell ref="F136:F139"/>
    <mergeCell ref="D111:D114"/>
    <mergeCell ref="D104:G104"/>
    <mergeCell ref="E184:H184"/>
    <mergeCell ref="H105:I105"/>
    <mergeCell ref="B203:C203"/>
    <mergeCell ref="B57:B60"/>
    <mergeCell ref="M74:N74"/>
    <mergeCell ref="O74:P74"/>
    <mergeCell ref="Q74:R74"/>
    <mergeCell ref="Q75:R76"/>
    <mergeCell ref="AF106:AG107"/>
    <mergeCell ref="V105:W105"/>
    <mergeCell ref="X105:Y105"/>
    <mergeCell ref="Z105:AA105"/>
    <mergeCell ref="D105:E105"/>
    <mergeCell ref="F105:G105"/>
    <mergeCell ref="M75:N76"/>
    <mergeCell ref="O75:P76"/>
    <mergeCell ref="S80:T80"/>
    <mergeCell ref="U80:V80"/>
    <mergeCell ref="W80:X80"/>
    <mergeCell ref="AG75:AH76"/>
    <mergeCell ref="I74:J74"/>
    <mergeCell ref="AD110:AE110"/>
    <mergeCell ref="X110:Y110"/>
    <mergeCell ref="Y80:Z80"/>
    <mergeCell ref="AA80:AB80"/>
    <mergeCell ref="AC80:AD80"/>
    <mergeCell ref="M10:N11"/>
    <mergeCell ref="O10:P11"/>
    <mergeCell ref="Q10:R11"/>
    <mergeCell ref="G10:H11"/>
    <mergeCell ref="S10:T11"/>
    <mergeCell ref="U10:V11"/>
    <mergeCell ref="W10:X11"/>
    <mergeCell ref="O47:P47"/>
    <mergeCell ref="Q47:R47"/>
    <mergeCell ref="S47:T47"/>
    <mergeCell ref="U47:V47"/>
    <mergeCell ref="W47:X47"/>
    <mergeCell ref="U46:V46"/>
    <mergeCell ref="W46:X46"/>
    <mergeCell ref="M46:N46"/>
    <mergeCell ref="O46:P46"/>
    <mergeCell ref="Q46:R46"/>
    <mergeCell ref="S46:T46"/>
    <mergeCell ref="O51:P51"/>
    <mergeCell ref="Q51:R51"/>
    <mergeCell ref="S53:T53"/>
    <mergeCell ref="U53:V53"/>
    <mergeCell ref="AG74:AH74"/>
    <mergeCell ref="S74:T74"/>
    <mergeCell ref="AA75:AB76"/>
    <mergeCell ref="AC75:AD76"/>
    <mergeCell ref="AE75:AF76"/>
    <mergeCell ref="U74:V74"/>
    <mergeCell ref="W74:X74"/>
    <mergeCell ref="W75:X76"/>
    <mergeCell ref="Y75:Z76"/>
    <mergeCell ref="Q53:R53"/>
    <mergeCell ref="AE74:AF74"/>
    <mergeCell ref="O53:P53"/>
    <mergeCell ref="S51:T51"/>
    <mergeCell ref="U51:V51"/>
    <mergeCell ref="W51:X51"/>
    <mergeCell ref="Y51:Z51"/>
    <mergeCell ref="AA51:AB51"/>
    <mergeCell ref="O80:P80"/>
    <mergeCell ref="M80:N80"/>
    <mergeCell ref="U9:V9"/>
    <mergeCell ref="S9:T9"/>
    <mergeCell ref="Q9:R9"/>
    <mergeCell ref="O9:P9"/>
    <mergeCell ref="M9:N9"/>
    <mergeCell ref="K9:L9"/>
    <mergeCell ref="I9:J9"/>
    <mergeCell ref="S75:T76"/>
    <mergeCell ref="U75:V76"/>
    <mergeCell ref="K53:L53"/>
    <mergeCell ref="K54:L54"/>
    <mergeCell ref="M54:N54"/>
    <mergeCell ref="O54:P54"/>
    <mergeCell ref="Q54:R54"/>
    <mergeCell ref="S54:T54"/>
    <mergeCell ref="U54:V54"/>
    <mergeCell ref="M49:N49"/>
    <mergeCell ref="O49:P49"/>
    <mergeCell ref="Q49:R49"/>
    <mergeCell ref="S49:T49"/>
    <mergeCell ref="U49:V49"/>
    <mergeCell ref="M51:N51"/>
    <mergeCell ref="P110:Q110"/>
    <mergeCell ref="F96:F99"/>
    <mergeCell ref="G81:G84"/>
    <mergeCell ref="AF105:AG105"/>
    <mergeCell ref="F106:G107"/>
    <mergeCell ref="H106:I107"/>
    <mergeCell ref="J106:K107"/>
    <mergeCell ref="L106:M107"/>
    <mergeCell ref="N106:O107"/>
    <mergeCell ref="P106:Q107"/>
    <mergeCell ref="R106:S107"/>
    <mergeCell ref="T106:U107"/>
    <mergeCell ref="V106:W107"/>
    <mergeCell ref="X106:Y107"/>
    <mergeCell ref="Z106:AA107"/>
    <mergeCell ref="AB106:AC107"/>
    <mergeCell ref="AD106:AE107"/>
    <mergeCell ref="Z110:AA110"/>
    <mergeCell ref="AB110:AC110"/>
    <mergeCell ref="N105:O105"/>
    <mergeCell ref="P105:Q105"/>
    <mergeCell ref="AI9:AJ9"/>
    <mergeCell ref="AG9:AH9"/>
    <mergeCell ref="AE9:AF9"/>
    <mergeCell ref="AC9:AD9"/>
    <mergeCell ref="AA9:AB9"/>
    <mergeCell ref="Y9:Z9"/>
    <mergeCell ref="W9:X9"/>
    <mergeCell ref="AI46:AJ46"/>
    <mergeCell ref="AM9:AN9"/>
    <mergeCell ref="AM10:AN11"/>
    <mergeCell ref="Y10:Z11"/>
    <mergeCell ref="AC46:AD46"/>
    <mergeCell ref="AM46:AN46"/>
    <mergeCell ref="Y46:Z46"/>
    <mergeCell ref="AA46:AB46"/>
    <mergeCell ref="AK46:AL46"/>
    <mergeCell ref="AE46:AF46"/>
    <mergeCell ref="AG46:AH46"/>
    <mergeCell ref="AO10:AP11"/>
    <mergeCell ref="AO53:AP53"/>
    <mergeCell ref="W53:X53"/>
    <mergeCell ref="Y53:Z53"/>
    <mergeCell ref="AA53:AB53"/>
    <mergeCell ref="AC53:AD53"/>
    <mergeCell ref="AE53:AF53"/>
    <mergeCell ref="AG53:AH53"/>
    <mergeCell ref="AI53:AJ53"/>
    <mergeCell ref="AA10:AB11"/>
    <mergeCell ref="AC10:AD11"/>
    <mergeCell ref="AE10:AF11"/>
    <mergeCell ref="AG10:AH11"/>
    <mergeCell ref="AI10:AJ11"/>
    <mergeCell ref="AM53:AN53"/>
    <mergeCell ref="AK53:AL53"/>
    <mergeCell ref="AO46:AP46"/>
    <mergeCell ref="AO50:AP50"/>
    <mergeCell ref="W49:X49"/>
    <mergeCell ref="Y49:Z49"/>
    <mergeCell ref="AA49:AB49"/>
    <mergeCell ref="AC49:AD49"/>
    <mergeCell ref="AE49:AF49"/>
    <mergeCell ref="AG49:AH49"/>
    <mergeCell ref="AQ9:AR9"/>
    <mergeCell ref="AQ10:AR11"/>
    <mergeCell ref="AQ53:AR53"/>
    <mergeCell ref="AS9:AT9"/>
    <mergeCell ref="AS10:AT11"/>
    <mergeCell ref="AS53:AT53"/>
    <mergeCell ref="AK74:AL74"/>
    <mergeCell ref="AK75:AL76"/>
    <mergeCell ref="AK80:AL80"/>
    <mergeCell ref="AM74:AN74"/>
    <mergeCell ref="AM75:AN76"/>
    <mergeCell ref="AM80:AN80"/>
    <mergeCell ref="AO74:AP74"/>
    <mergeCell ref="AO75:AP76"/>
    <mergeCell ref="AO80:AP80"/>
    <mergeCell ref="AQ74:AR74"/>
    <mergeCell ref="AQ75:AR76"/>
    <mergeCell ref="AQ80:AR80"/>
    <mergeCell ref="AS74:AT74"/>
    <mergeCell ref="AS75:AT76"/>
    <mergeCell ref="AS80:AT80"/>
    <mergeCell ref="AK9:AL9"/>
    <mergeCell ref="AK10:AL11"/>
    <mergeCell ref="AO9:AP9"/>
    <mergeCell ref="AP106:AQ107"/>
    <mergeCell ref="AP110:AQ110"/>
    <mergeCell ref="AH106:AI107"/>
    <mergeCell ref="AH110:AI110"/>
    <mergeCell ref="AJ105:AK105"/>
    <mergeCell ref="AJ106:AK107"/>
    <mergeCell ref="AJ110:AK110"/>
    <mergeCell ref="AL105:AM105"/>
    <mergeCell ref="AL106:AM107"/>
    <mergeCell ref="AL110:AM110"/>
    <mergeCell ref="AN105:AO105"/>
    <mergeCell ref="AN106:AO107"/>
    <mergeCell ref="AN110:AO110"/>
    <mergeCell ref="AH105:AI105"/>
    <mergeCell ref="AP105:AQ105"/>
    <mergeCell ref="AG80:AH80"/>
    <mergeCell ref="AI74:AJ74"/>
    <mergeCell ref="Y74:Z74"/>
    <mergeCell ref="AA74:AB74"/>
    <mergeCell ref="AC74:AD74"/>
    <mergeCell ref="AI80:AJ80"/>
    <mergeCell ref="R105:S105"/>
    <mergeCell ref="T105:U105"/>
    <mergeCell ref="Q80:R80"/>
    <mergeCell ref="AK54:AL54"/>
    <mergeCell ref="AM54:AN54"/>
    <mergeCell ref="AO54:AP54"/>
    <mergeCell ref="AQ54:AR54"/>
    <mergeCell ref="AE80:AF80"/>
    <mergeCell ref="L105:M105"/>
    <mergeCell ref="M53:N53"/>
    <mergeCell ref="G47:H47"/>
    <mergeCell ref="G49:H49"/>
    <mergeCell ref="G51:H51"/>
    <mergeCell ref="G54:H54"/>
    <mergeCell ref="I54:J54"/>
    <mergeCell ref="I51:J51"/>
    <mergeCell ref="I49:J49"/>
    <mergeCell ref="K49:L49"/>
    <mergeCell ref="K51:L51"/>
    <mergeCell ref="I47:J47"/>
    <mergeCell ref="K47:L47"/>
    <mergeCell ref="M47:N47"/>
    <mergeCell ref="M50:N50"/>
    <mergeCell ref="AI47:AJ47"/>
    <mergeCell ref="AK47:AL47"/>
    <mergeCell ref="AM47:AN47"/>
    <mergeCell ref="AO47:AP47"/>
    <mergeCell ref="D124:D128"/>
    <mergeCell ref="D106:E107"/>
    <mergeCell ref="W54:X54"/>
    <mergeCell ref="Y54:Z54"/>
    <mergeCell ref="AA54:AB54"/>
    <mergeCell ref="AC54:AD54"/>
    <mergeCell ref="AE54:AF54"/>
    <mergeCell ref="AG54:AH54"/>
    <mergeCell ref="AI54:AJ54"/>
    <mergeCell ref="J105:K105"/>
    <mergeCell ref="AB105:AC105"/>
    <mergeCell ref="AD105:AE105"/>
    <mergeCell ref="N110:O110"/>
    <mergeCell ref="AF110:AG110"/>
    <mergeCell ref="B54:F54"/>
    <mergeCell ref="B63:B66"/>
    <mergeCell ref="H110:I110"/>
    <mergeCell ref="J110:K110"/>
    <mergeCell ref="L110:M110"/>
    <mergeCell ref="I80:J80"/>
    <mergeCell ref="K80:L80"/>
    <mergeCell ref="R110:S110"/>
    <mergeCell ref="T110:U110"/>
    <mergeCell ref="V110:W110"/>
    <mergeCell ref="AS47:AT47"/>
    <mergeCell ref="AC51:AD51"/>
    <mergeCell ref="AE51:AF51"/>
    <mergeCell ref="AG51:AH51"/>
    <mergeCell ref="AI51:AJ51"/>
    <mergeCell ref="AK51:AL51"/>
    <mergeCell ref="AM51:AN51"/>
    <mergeCell ref="AO51:AP51"/>
    <mergeCell ref="AQ51:AR51"/>
    <mergeCell ref="AS51:AT51"/>
    <mergeCell ref="AM50:AN50"/>
    <mergeCell ref="AG48:AH48"/>
    <mergeCell ref="AG50:AH50"/>
    <mergeCell ref="AI48:AJ48"/>
    <mergeCell ref="AI50:AJ50"/>
    <mergeCell ref="AQ50:AR50"/>
    <mergeCell ref="AS50:AT50"/>
    <mergeCell ref="AK50:AL50"/>
    <mergeCell ref="AI49:AJ49"/>
    <mergeCell ref="AS48:AT48"/>
    <mergeCell ref="AK48:AL48"/>
    <mergeCell ref="AM48:AN48"/>
    <mergeCell ref="AO48:AP48"/>
    <mergeCell ref="AQ48:AR48"/>
  </mergeCell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1">
    <tabColor rgb="FFEEA47F"/>
  </sheetPr>
  <dimension ref="A1:V208"/>
  <sheetViews>
    <sheetView showGridLines="0" zoomScale="85" zoomScaleNormal="85" workbookViewId="0">
      <pane xSplit="3" ySplit="6" topLeftCell="D7" activePane="bottomRight" state="frozen"/>
      <selection pane="topRight" activeCell="D1" sqref="D1"/>
      <selection pane="bottomLeft" activeCell="A7" sqref="A7"/>
      <selection pane="bottomRight" activeCell="D7" sqref="D7"/>
    </sheetView>
  </sheetViews>
  <sheetFormatPr defaultColWidth="9.1796875" defaultRowHeight="14" x14ac:dyDescent="0.3"/>
  <cols>
    <col min="1" max="1" width="10.81640625" style="325" hidden="1" customWidth="1"/>
    <col min="2" max="2" width="60.1796875" style="256" customWidth="1"/>
    <col min="3" max="3" width="21.1796875" style="256" customWidth="1"/>
    <col min="4" max="4" width="19.81640625" style="256" bestFit="1" customWidth="1"/>
    <col min="5" max="5" width="15.1796875" style="256" bestFit="1" customWidth="1"/>
    <col min="6" max="7" width="12.54296875" style="256" bestFit="1" customWidth="1"/>
    <col min="8" max="8" width="11.54296875" style="256" bestFit="1" customWidth="1"/>
    <col min="9" max="9" width="17.1796875" style="256" customWidth="1"/>
    <col min="10" max="10" width="11.1796875" style="256" bestFit="1" customWidth="1"/>
    <col min="11" max="11" width="19.81640625" style="256" bestFit="1" customWidth="1"/>
    <col min="12" max="13" width="19.81640625" style="256" customWidth="1"/>
    <col min="14" max="14" width="9.1796875" style="256"/>
    <col min="15" max="16" width="16.1796875" style="256" customWidth="1"/>
    <col min="17" max="17" width="15.1796875" style="256" customWidth="1"/>
    <col min="18" max="18" width="24.54296875" style="256" customWidth="1"/>
    <col min="19" max="19" width="16.81640625" style="256" bestFit="1" customWidth="1"/>
    <col min="20" max="20" width="21.54296875" style="325" hidden="1" customWidth="1"/>
    <col min="21" max="22" width="9.1796875" style="325" hidden="1" customWidth="1"/>
    <col min="23" max="16384" width="9.1796875" style="256"/>
  </cols>
  <sheetData>
    <row r="1" spans="1:22" ht="20" x14ac:dyDescent="0.4">
      <c r="B1" s="1082" t="str">
        <f ca="1">'Translation Table'!H873</f>
        <v>EPA UOG Emission Factors (US EPA, 1995: EPA-453/R-95-017)</v>
      </c>
      <c r="C1" s="1082"/>
      <c r="D1" s="62"/>
      <c r="E1" s="62"/>
      <c r="F1" s="62"/>
      <c r="G1" s="62"/>
      <c r="H1" s="62"/>
      <c r="I1" s="62"/>
      <c r="J1" s="62"/>
      <c r="K1" s="62"/>
      <c r="L1" s="62"/>
      <c r="M1" s="62"/>
      <c r="N1" s="62"/>
      <c r="O1" s="62"/>
      <c r="P1" s="62"/>
      <c r="Q1" s="62"/>
      <c r="R1" s="62"/>
      <c r="S1" s="62"/>
    </row>
    <row r="2" spans="1:22" ht="15.5" x14ac:dyDescent="0.35">
      <c r="B2" s="1085" t="str">
        <f ca="1">'Translation Table'!H876</f>
        <v>EPA UOG Emission Factor Base Case</v>
      </c>
      <c r="C2" s="1086"/>
      <c r="D2" s="1086"/>
      <c r="E2" s="1086"/>
      <c r="F2" s="1086"/>
      <c r="G2" s="1086"/>
      <c r="H2" s="1086"/>
      <c r="I2" s="1086"/>
      <c r="J2" s="1086"/>
      <c r="K2" s="1086"/>
      <c r="L2" s="1086"/>
      <c r="M2" s="1087"/>
      <c r="N2" s="62"/>
      <c r="O2" s="62"/>
      <c r="P2" s="62"/>
      <c r="Q2" s="62"/>
      <c r="R2" s="62"/>
      <c r="S2" s="62"/>
    </row>
    <row r="3" spans="1:22" ht="15.5" x14ac:dyDescent="0.35">
      <c r="A3" s="80" t="s">
        <v>206</v>
      </c>
      <c r="B3" s="1083" t="str">
        <f ca="1">'Translation Table'!H877</f>
        <v>Equipment Component Type</v>
      </c>
      <c r="C3" s="1083" t="str">
        <f ca="1">'Translation Table'!H878</f>
        <v>Service</v>
      </c>
      <c r="D3" s="1084" t="str">
        <f ca="1">'Translation Table'!H879</f>
        <v>US EPA UOG Emission Factors</v>
      </c>
      <c r="E3" s="1084"/>
      <c r="F3" s="1084"/>
      <c r="G3" s="1084"/>
      <c r="H3" s="1084" t="str">
        <f ca="1">'Translation Table'!H880</f>
        <v>Developed Average Emission Factor</v>
      </c>
      <c r="I3" s="1084"/>
      <c r="J3" s="1084"/>
      <c r="K3" s="1084"/>
      <c r="L3" s="1084"/>
      <c r="M3" s="1084"/>
      <c r="N3" s="64"/>
      <c r="O3" s="64"/>
      <c r="P3" s="64"/>
      <c r="Q3" s="64"/>
      <c r="R3" s="64"/>
      <c r="S3" s="65"/>
    </row>
    <row r="4" spans="1:22" ht="15.5" x14ac:dyDescent="0.35">
      <c r="A4" s="80" t="str">
        <f ca="1">'Translation Table'!H874</f>
        <v>Gas</v>
      </c>
      <c r="B4" s="1083"/>
      <c r="C4" s="1083"/>
      <c r="D4" s="63" t="str">
        <f ca="1">'Translation Table'!$H881</f>
        <v>Implied Leak</v>
      </c>
      <c r="E4" s="63" t="str">
        <f ca="1">'Translation Table'!$H882</f>
        <v>Average</v>
      </c>
      <c r="F4" s="63" t="str">
        <f ca="1">'Translation Table'!$H883</f>
        <v>Leak</v>
      </c>
      <c r="G4" s="63" t="str">
        <f ca="1">'Translation Table'!$H884</f>
        <v>No-Leak</v>
      </c>
      <c r="H4" s="63" t="str">
        <f ca="1">'Translation Table'!$H885</f>
        <v xml:space="preserve">Leak </v>
      </c>
      <c r="I4" s="63" t="str">
        <f ca="1">'Translation Table'!$H886</f>
        <v>Uncontrolled</v>
      </c>
      <c r="J4" s="63" t="str">
        <f ca="1">'Translation Table'!$H887</f>
        <v>Control</v>
      </c>
      <c r="K4" s="1084" t="str">
        <f ca="1">'Translation Table'!H888</f>
        <v>Controlled</v>
      </c>
      <c r="L4" s="1084"/>
      <c r="M4" s="1084"/>
      <c r="N4" s="66"/>
      <c r="O4" s="63" t="str">
        <f ca="1">'Translation Table'!H889</f>
        <v>Applied Leak</v>
      </c>
      <c r="P4" s="63" t="str">
        <f ca="1">'Translation Table'!H890</f>
        <v>Actual Leak</v>
      </c>
      <c r="Q4" s="1077" t="str">
        <f ca="1">'Translation Table'!H892</f>
        <v xml:space="preserve">Equipment Modification </v>
      </c>
      <c r="R4" s="1078"/>
      <c r="S4" s="1079"/>
    </row>
    <row r="5" spans="1:22" ht="15.5" x14ac:dyDescent="0.35">
      <c r="A5" s="80" t="str">
        <f ca="1">'Translation Table'!H875</f>
        <v>All</v>
      </c>
      <c r="B5" s="1083"/>
      <c r="C5" s="1083"/>
      <c r="D5" s="63" t="str">
        <f ca="1">'Translation Table'!$H893</f>
        <v>Frequency</v>
      </c>
      <c r="E5" s="63" t="str">
        <f ca="1">'Translation Table'!$H894</f>
        <v>(kg/h/source)</v>
      </c>
      <c r="F5" s="63" t="str">
        <f ca="1">'Translation Table'!$H895</f>
        <v>(kg/h/source)</v>
      </c>
      <c r="G5" s="63" t="str">
        <f ca="1">'Translation Table'!$H896</f>
        <v>(kg/h/source)</v>
      </c>
      <c r="H5" s="63" t="str">
        <f ca="1">'Translation Table'!$H897</f>
        <v>Frequency</v>
      </c>
      <c r="I5" s="63" t="str">
        <f ca="1">'Translation Table'!$H898</f>
        <v>Emission Factor</v>
      </c>
      <c r="J5" s="63" t="str">
        <f ca="1">'Translation Table'!$H899</f>
        <v>Adjustment</v>
      </c>
      <c r="K5" s="1084" t="str">
        <f ca="1">'Translation Table'!H900</f>
        <v>Emission Factor</v>
      </c>
      <c r="L5" s="1084"/>
      <c r="M5" s="1084"/>
      <c r="N5" s="66"/>
      <c r="O5" s="63" t="str">
        <f ca="1">'Translation Table'!$H901</f>
        <v>Frequency</v>
      </c>
      <c r="P5" s="63" t="str">
        <f ca="1">'Translation Table'!$H901</f>
        <v>Frequency</v>
      </c>
      <c r="Q5" s="217" t="str">
        <f ca="1">'Translation Table'!$H902</f>
        <v>Modification</v>
      </c>
      <c r="R5" s="63" t="str">
        <f ca="1">'Translation Table'!$H903</f>
        <v xml:space="preserve">Percent of </v>
      </c>
      <c r="S5" s="63" t="str">
        <f ca="1">'Translation Table'!$H904</f>
        <v>Control Factor</v>
      </c>
    </row>
    <row r="6" spans="1:22" ht="15.5" x14ac:dyDescent="0.35">
      <c r="A6" s="80"/>
      <c r="B6" s="1083"/>
      <c r="C6" s="1083"/>
      <c r="D6" s="63" t="str">
        <f ca="1">'Translation Table'!H905</f>
        <v>(%)</v>
      </c>
      <c r="E6" s="63"/>
      <c r="F6" s="63"/>
      <c r="G6" s="63"/>
      <c r="H6" s="63" t="str">
        <f ca="1">'Translation Table'!H906</f>
        <v>(%)</v>
      </c>
      <c r="I6" s="63" t="str">
        <f ca="1">'Translation Table'!H907</f>
        <v>(kg/h/source)</v>
      </c>
      <c r="J6" s="63" t="str">
        <f ca="1">'Translation Table'!H908</f>
        <v>(%)</v>
      </c>
      <c r="K6" s="63" t="str">
        <f ca="1">'Translation Table'!H909</f>
        <v>(kg/h/source)</v>
      </c>
      <c r="L6" s="63" t="str">
        <f ca="1">'Translation Table'!H910</f>
        <v>(Nm3/h/source)</v>
      </c>
      <c r="M6" s="63" t="str">
        <f ca="1">'Translation Table'!H911</f>
        <v>(Nm3 CH4/h/source)</v>
      </c>
      <c r="N6" s="66"/>
      <c r="O6" s="63" t="str">
        <f ca="1">'Translation Table'!H912</f>
        <v>(%)</v>
      </c>
      <c r="P6" s="63" t="str">
        <f ca="1">'Translation Table'!H912</f>
        <v>(%)</v>
      </c>
      <c r="Q6" s="63"/>
      <c r="R6" s="63" t="str">
        <f ca="1">'Translation Table'!H913</f>
        <v>Components Controlled</v>
      </c>
      <c r="S6" s="63" t="str">
        <f ca="1">'Translation Table'!H914</f>
        <v>(%)</v>
      </c>
    </row>
    <row r="7" spans="1:22" ht="81" customHeight="1" x14ac:dyDescent="0.3">
      <c r="A7" s="80"/>
      <c r="B7" s="67" t="str">
        <f ca="1">'Translation Table'!H927</f>
        <v>Calculation Method</v>
      </c>
      <c r="C7" s="68"/>
      <c r="D7" s="67" t="str">
        <f ca="1">'Translation Table'!H915</f>
        <v>Calculated (use as default)</v>
      </c>
      <c r="E7" s="67" t="str">
        <f ca="1">'Translation Table'!H916</f>
        <v>US EPA-453/R-95-017 Table 2-4</v>
      </c>
      <c r="F7" s="67" t="str">
        <f ca="1">'Translation Table'!H917</f>
        <v>US EPA-453/R-95-017 Table 2-8</v>
      </c>
      <c r="G7" s="67" t="str">
        <f ca="1">'Translation Table'!H918</f>
        <v>US EPA-453/R-95-017 Table 2-8</v>
      </c>
      <c r="H7" s="68"/>
      <c r="I7" s="67" t="str">
        <f ca="1">'Translation Table'!H919</f>
        <v>Calculated based on Leak, No-Leak factors and adjustable leak frequency</v>
      </c>
      <c r="J7" s="68"/>
      <c r="K7" s="67" t="str">
        <f ca="1">'Translation Table'!H920</f>
        <v>Calculated based on uncontrolled factors and adjustable control factor</v>
      </c>
      <c r="L7" s="67" t="str">
        <f ca="1">'Translation Table'!H921</f>
        <v>Calculated based on uncontrolled factors and adjustable control factor</v>
      </c>
      <c r="M7" s="67" t="str">
        <f ca="1">'Translation Table'!H922</f>
        <v>Calculated based on uncontrolled factors and adjustable control factor</v>
      </c>
      <c r="N7" s="69"/>
      <c r="O7" s="67"/>
      <c r="P7" s="67" t="str">
        <f ca="1">'Translation Table'!H923</f>
        <v>Adjustable Input (Assume to be zero if not entered)</v>
      </c>
      <c r="Q7" s="67" t="str">
        <f ca="1">'Translation Table'!H924</f>
        <v>Adjustable Input (Assume to be zero if not entered)</v>
      </c>
      <c r="R7" s="67" t="str">
        <f ca="1">'Translation Table'!H925</f>
        <v>Adjustable Input (Assume to be zero if not entered)</v>
      </c>
      <c r="S7" s="67" t="str">
        <f ca="1">'Translation Table'!H926</f>
        <v>Determined from Lookup Table</v>
      </c>
    </row>
    <row r="8" spans="1:22" x14ac:dyDescent="0.3">
      <c r="A8" s="325" t="s">
        <v>207</v>
      </c>
      <c r="B8" s="81" t="str">
        <f ca="1">'Translation Table'!H928</f>
        <v>Valves</v>
      </c>
      <c r="C8" s="81" t="str">
        <f ca="1">'Translation Table'!H929</f>
        <v>Gas</v>
      </c>
      <c r="D8" s="82">
        <f t="shared" ref="D8:D40" si="0">IF(OR($E8="N/A",$F8="N/A",$G8="N/A"),"N/A",IF($F8-$G8&gt;0,($E8-$G8)/($F8-$G8),"N/A"))</f>
        <v>4.567491707068129E-2</v>
      </c>
      <c r="E8" s="239">
        <v>4.4999999999999997E-3</v>
      </c>
      <c r="F8" s="239">
        <v>9.8000000000000004E-2</v>
      </c>
      <c r="G8" s="239">
        <v>2.5000000000000001E-5</v>
      </c>
      <c r="H8" s="82">
        <f t="shared" ref="H8:H40" si="1">O8</f>
        <v>4.567491707068129E-2</v>
      </c>
      <c r="I8" s="83">
        <f t="shared" ref="I8:I40" si="2">IF(OR($E8="N/A",$F8="N/A",$G8="N/A"),"N/A",H8*F8+(1-H8)*G8)</f>
        <v>4.4999999999999997E-3</v>
      </c>
      <c r="J8" s="84">
        <f t="shared" ref="J8:J40" si="3">IF(OR(I8="N/A",S8="N/A"),"N/A",R8*(1-S8)+(1-R8))</f>
        <v>1</v>
      </c>
      <c r="K8" s="83">
        <f t="shared" ref="K8:K40" si="4">IF(OR(I8="N/A",J8="N/A"),"N/A",J8*I8)</f>
        <v>4.4999999999999997E-3</v>
      </c>
      <c r="L8" s="83">
        <f ca="1">IF(OR(I8="N/A",J8="N/A"),"N/A",K8/IF(C8=Gas,'Setup - Facility Details'!$C$74,'Setup - Facility Details'!$C$82)*Constants!$B$35)</f>
        <v>5.7126883476475293E-3</v>
      </c>
      <c r="M8" s="83">
        <f t="shared" ref="M8:M40" ca="1" si="5">IF(K8="N/A","N/A",L8*IF(OR(C8=Gas,C8=All),ProcessGas_CH4,Vapor_CH4))</f>
        <v>4.9700388624533505E-3</v>
      </c>
      <c r="N8" s="65"/>
      <c r="O8" s="549">
        <f>IF(ISBLANK('Setup - Facility Details'!$C$35),P8,0)</f>
        <v>4.567491707068129E-2</v>
      </c>
      <c r="P8" s="218">
        <v>4.567491707068129E-2</v>
      </c>
      <c r="Q8" s="73"/>
      <c r="R8" s="218">
        <v>0</v>
      </c>
      <c r="S8" s="89" cm="1">
        <f t="array" ref="S8">INDEX(ValidValveCF_V,V8)/100</f>
        <v>0</v>
      </c>
      <c r="T8" s="325" t="s">
        <v>2713</v>
      </c>
      <c r="V8" s="325">
        <v>1</v>
      </c>
    </row>
    <row r="9" spans="1:22" x14ac:dyDescent="0.3">
      <c r="B9" s="48" t="str">
        <f ca="1">'Translation Table'!H928</f>
        <v>Valves</v>
      </c>
      <c r="C9" s="48" t="str">
        <f ca="1">'Translation Table'!H930</f>
        <v>Light Liquid</v>
      </c>
      <c r="D9" s="70">
        <f t="shared" si="0"/>
        <v>2.8523470643013998E-2</v>
      </c>
      <c r="E9" s="240">
        <v>2.5000000000000001E-3</v>
      </c>
      <c r="F9" s="240">
        <v>8.6999999999999994E-2</v>
      </c>
      <c r="G9" s="240">
        <v>1.9000000000000001E-5</v>
      </c>
      <c r="H9" s="70">
        <f t="shared" si="1"/>
        <v>2.8523470643013998E-2</v>
      </c>
      <c r="I9" s="71">
        <f t="shared" si="2"/>
        <v>2.5000000000000005E-3</v>
      </c>
      <c r="J9" s="72">
        <f t="shared" si="3"/>
        <v>1</v>
      </c>
      <c r="K9" s="71">
        <f t="shared" si="4"/>
        <v>2.5000000000000005E-3</v>
      </c>
      <c r="L9" s="71">
        <f ca="1">IF(OR(I9="N/A",J9="N/A"),"N/A",K9/IF(C9=Gas,'Setup - Facility Details'!$C$74,'Setup - Facility Details'!$C$82)*Constants!$B$35)</f>
        <v>2.5683953215222153E-3</v>
      </c>
      <c r="M9" s="71">
        <f t="shared" ca="1" si="5"/>
        <v>1.6180890525589956E-3</v>
      </c>
      <c r="N9" s="65"/>
      <c r="O9" s="550">
        <f>IF(ISBLANK('Setup - Facility Details'!$C$35),P9,0)</f>
        <v>2.8523470643013998E-2</v>
      </c>
      <c r="P9" s="218">
        <v>2.8523470643013998E-2</v>
      </c>
      <c r="Q9" s="73"/>
      <c r="R9" s="218">
        <v>0</v>
      </c>
      <c r="S9" s="74" cm="1">
        <f t="array" ref="S9">INDEX(ValidValveCF_V,V9)/100</f>
        <v>0</v>
      </c>
      <c r="T9" s="325" t="s">
        <v>1365</v>
      </c>
      <c r="V9" s="325">
        <v>1</v>
      </c>
    </row>
    <row r="10" spans="1:22" x14ac:dyDescent="0.3">
      <c r="B10" s="81" t="str">
        <f ca="1">'Translation Table'!H928</f>
        <v>Valves</v>
      </c>
      <c r="C10" s="81" t="str">
        <f ca="1">'Translation Table'!H931</f>
        <v>Heavy Liquid</v>
      </c>
      <c r="D10" s="82" t="str">
        <f t="shared" si="0"/>
        <v>N/A</v>
      </c>
      <c r="E10" s="239">
        <v>8.3999999999999992E-6</v>
      </c>
      <c r="F10" s="239">
        <v>8.3999999999999992E-6</v>
      </c>
      <c r="G10" s="239">
        <v>8.3999999999999992E-6</v>
      </c>
      <c r="H10" s="82">
        <f t="shared" si="1"/>
        <v>0.05</v>
      </c>
      <c r="I10" s="83">
        <f t="shared" si="2"/>
        <v>8.3999999999999975E-6</v>
      </c>
      <c r="J10" s="84">
        <f t="shared" si="3"/>
        <v>1</v>
      </c>
      <c r="K10" s="83">
        <f t="shared" si="4"/>
        <v>8.3999999999999975E-6</v>
      </c>
      <c r="L10" s="83">
        <f ca="1">IF(OR(I10="N/A",J10="N/A"),"N/A",K10/IF(C10=Gas,'Setup - Facility Details'!$C$74,'Setup - Facility Details'!$C$82)*Constants!$B$35)</f>
        <v>8.6298082803146392E-6</v>
      </c>
      <c r="M10" s="83">
        <f t="shared" ca="1" si="5"/>
        <v>5.4367792165982231E-6</v>
      </c>
      <c r="N10" s="65"/>
      <c r="O10" s="549">
        <f>IF(ISBLANK('Setup - Facility Details'!$C$35),P10,0)</f>
        <v>0.05</v>
      </c>
      <c r="P10" s="218">
        <v>0.05</v>
      </c>
      <c r="Q10" s="73"/>
      <c r="R10" s="218">
        <v>0</v>
      </c>
      <c r="S10" s="89" cm="1">
        <f t="array" ref="S10">INDEX(ValidValveCF_V,V10)/100</f>
        <v>0</v>
      </c>
      <c r="T10" s="325" t="s">
        <v>1365</v>
      </c>
      <c r="V10" s="325">
        <v>1</v>
      </c>
    </row>
    <row r="11" spans="1:22" x14ac:dyDescent="0.3">
      <c r="B11" s="48" t="str">
        <f ca="1">'Translation Table'!H932</f>
        <v>Valves (Block)</v>
      </c>
      <c r="C11" s="48" t="str">
        <f ca="1">'Translation Table'!H933</f>
        <v>Gas</v>
      </c>
      <c r="D11" s="70" t="str">
        <f t="shared" si="0"/>
        <v>N/A</v>
      </c>
      <c r="E11" s="75" t="s">
        <v>2754</v>
      </c>
      <c r="F11" s="75" t="s">
        <v>2754</v>
      </c>
      <c r="G11" s="75" t="s">
        <v>2754</v>
      </c>
      <c r="H11" s="70" t="str">
        <f t="shared" si="1"/>
        <v>N/A</v>
      </c>
      <c r="I11" s="71" t="str">
        <f t="shared" si="2"/>
        <v>N/A</v>
      </c>
      <c r="J11" s="72" t="str">
        <f t="shared" si="3"/>
        <v>N/A</v>
      </c>
      <c r="K11" s="71" t="str">
        <f t="shared" si="4"/>
        <v>N/A</v>
      </c>
      <c r="L11" s="71" t="str">
        <f>IF(OR(I11="N/A",J11="N/A"),"N/A",K11/IF(C11=Gas,'Setup - Facility Details'!$C$74,'Setup - Facility Details'!$C$82)*Constants!$B$35)</f>
        <v>N/A</v>
      </c>
      <c r="M11" s="71" t="str">
        <f t="shared" si="5"/>
        <v>N/A</v>
      </c>
      <c r="N11" s="65"/>
      <c r="O11" s="550" t="str">
        <f>IF(ISBLANK('Setup - Facility Details'!$C$35),P11,0)</f>
        <v>N/A</v>
      </c>
      <c r="P11" s="76" t="s">
        <v>2754</v>
      </c>
      <c r="Q11" s="73"/>
      <c r="R11" s="76">
        <v>0</v>
      </c>
      <c r="S11" s="76" t="s">
        <v>2754</v>
      </c>
      <c r="T11" s="325" t="s">
        <v>1365</v>
      </c>
      <c r="V11" s="325">
        <v>1</v>
      </c>
    </row>
    <row r="12" spans="1:22" x14ac:dyDescent="0.3">
      <c r="B12" s="81" t="str">
        <f ca="1">'Translation Table'!H934</f>
        <v>Valves (Control)</v>
      </c>
      <c r="C12" s="81" t="str">
        <f ca="1">'Translation Table'!H935</f>
        <v>Gas</v>
      </c>
      <c r="D12" s="82" t="str">
        <f t="shared" si="0"/>
        <v>N/A</v>
      </c>
      <c r="E12" s="239" t="s">
        <v>2754</v>
      </c>
      <c r="F12" s="239" t="s">
        <v>2754</v>
      </c>
      <c r="G12" s="239" t="s">
        <v>2754</v>
      </c>
      <c r="H12" s="82" t="str">
        <f t="shared" si="1"/>
        <v>N/A</v>
      </c>
      <c r="I12" s="83" t="str">
        <f t="shared" si="2"/>
        <v>N/A</v>
      </c>
      <c r="J12" s="84" t="str">
        <f t="shared" si="3"/>
        <v>N/A</v>
      </c>
      <c r="K12" s="83" t="str">
        <f t="shared" si="4"/>
        <v>N/A</v>
      </c>
      <c r="L12" s="83" t="str">
        <f>IF(OR(I12="N/A",J12="N/A"),"N/A",K12/IF(C12=Gas,'Setup - Facility Details'!$C$74,'Setup - Facility Details'!$C$82)*Constants!$B$35)</f>
        <v>N/A</v>
      </c>
      <c r="M12" s="83" t="str">
        <f t="shared" si="5"/>
        <v>N/A</v>
      </c>
      <c r="N12" s="65"/>
      <c r="O12" s="549" t="str">
        <f>IF(ISBLANK('Setup - Facility Details'!$C$35),P12,0)</f>
        <v>N/A</v>
      </c>
      <c r="P12" s="90" t="s">
        <v>2754</v>
      </c>
      <c r="Q12" s="73"/>
      <c r="R12" s="90">
        <v>0</v>
      </c>
      <c r="S12" s="90" t="s">
        <v>2754</v>
      </c>
      <c r="T12" s="325" t="s">
        <v>1365</v>
      </c>
      <c r="V12" s="325">
        <v>1</v>
      </c>
    </row>
    <row r="13" spans="1:22" x14ac:dyDescent="0.3">
      <c r="B13" s="48" t="str">
        <f ca="1">'Translation Table'!H936</f>
        <v>Pump Seals</v>
      </c>
      <c r="C13" s="48" t="str">
        <f ca="1">'Translation Table'!H937</f>
        <v>Light Liquid</v>
      </c>
      <c r="D13" s="70">
        <f t="shared" si="0"/>
        <v>0.12554025530204038</v>
      </c>
      <c r="E13" s="240">
        <v>1.2999999999999999E-2</v>
      </c>
      <c r="F13" s="240">
        <v>0.1</v>
      </c>
      <c r="G13" s="240">
        <v>5.1000000000000004E-4</v>
      </c>
      <c r="H13" s="70">
        <f t="shared" si="1"/>
        <v>0.12554025530204038</v>
      </c>
      <c r="I13" s="71">
        <f t="shared" si="2"/>
        <v>1.2999999999999998E-2</v>
      </c>
      <c r="J13" s="72">
        <f t="shared" si="3"/>
        <v>1</v>
      </c>
      <c r="K13" s="71">
        <f t="shared" si="4"/>
        <v>1.2999999999999998E-2</v>
      </c>
      <c r="L13" s="71">
        <f ca="1">IF(OR(I13="N/A",J13="N/A"),"N/A",K13/IF(C13=Gas,'Setup - Facility Details'!$C$74,'Setup - Facility Details'!$C$82)*Constants!$B$35)</f>
        <v>1.3355655671915514E-2</v>
      </c>
      <c r="M13" s="71">
        <f t="shared" ca="1" si="5"/>
        <v>8.4140630733067732E-3</v>
      </c>
      <c r="N13" s="65"/>
      <c r="O13" s="550">
        <f>IF(ISBLANK('Setup - Facility Details'!$C$35),P13,0)</f>
        <v>0.12554025530204038</v>
      </c>
      <c r="P13" s="218">
        <v>0.12554025530204038</v>
      </c>
      <c r="Q13" s="73"/>
      <c r="R13" s="218">
        <v>0</v>
      </c>
      <c r="S13" s="74" cm="1">
        <f t="array" ref="S13">INDEX(ValidPumpCF_V,V13)/100</f>
        <v>0</v>
      </c>
      <c r="T13" s="325" t="s">
        <v>1366</v>
      </c>
      <c r="V13" s="325">
        <v>3</v>
      </c>
    </row>
    <row r="14" spans="1:22" x14ac:dyDescent="0.3">
      <c r="B14" s="81" t="str">
        <f ca="1">'Translation Table'!H936</f>
        <v>Pump Seals</v>
      </c>
      <c r="C14" s="81" t="str">
        <f ca="1">'Translation Table'!H938</f>
        <v>Heavy Liquid</v>
      </c>
      <c r="D14" s="82">
        <f t="shared" si="0"/>
        <v>9.7659765976597659E-2</v>
      </c>
      <c r="E14" s="239">
        <v>8.8000000000000005E-3</v>
      </c>
      <c r="F14" s="239">
        <v>8.8999999999999996E-2</v>
      </c>
      <c r="G14" s="239">
        <v>1.2E-4</v>
      </c>
      <c r="H14" s="82">
        <f t="shared" si="1"/>
        <v>0</v>
      </c>
      <c r="I14" s="83">
        <f t="shared" si="2"/>
        <v>1.2E-4</v>
      </c>
      <c r="J14" s="84">
        <f t="shared" si="3"/>
        <v>1</v>
      </c>
      <c r="K14" s="83">
        <f t="shared" si="4"/>
        <v>1.2E-4</v>
      </c>
      <c r="L14" s="83">
        <f ca="1">IF(OR(I14="N/A",J14="N/A"),"N/A",K14/IF(C14=Gas,'Setup - Facility Details'!$C$74,'Setup - Facility Details'!$C$82)*Constants!$B$35)</f>
        <v>1.232829754330663E-4</v>
      </c>
      <c r="M14" s="83">
        <f t="shared" ca="1" si="5"/>
        <v>7.766827452283177E-5</v>
      </c>
      <c r="N14" s="65"/>
      <c r="O14" s="549">
        <f>IF(ISBLANK('Setup - Facility Details'!$C$35),P14,0)</f>
        <v>0</v>
      </c>
      <c r="P14" s="218">
        <v>0</v>
      </c>
      <c r="Q14" s="73"/>
      <c r="R14" s="218">
        <v>0</v>
      </c>
      <c r="S14" s="89" cm="1">
        <f t="array" ref="S14">INDEX(ValidPumpCF_V,V14)/100</f>
        <v>0</v>
      </c>
      <c r="T14" s="325" t="s">
        <v>1366</v>
      </c>
      <c r="V14" s="325">
        <v>3</v>
      </c>
    </row>
    <row r="15" spans="1:22" x14ac:dyDescent="0.3">
      <c r="B15" s="48" t="str">
        <f ca="1">'Translation Table'!H939</f>
        <v>Compressor Seals (Reciprocating - Operating)</v>
      </c>
      <c r="C15" s="48" t="str">
        <f ca="1">'Translation Table'!H940</f>
        <v>Gas</v>
      </c>
      <c r="D15" s="70">
        <f t="shared" si="0"/>
        <v>9.7659765976597659E-2</v>
      </c>
      <c r="E15" s="240">
        <v>8.8000000000000005E-3</v>
      </c>
      <c r="F15" s="240">
        <v>8.8999999999999996E-2</v>
      </c>
      <c r="G15" s="240">
        <v>1.2E-4</v>
      </c>
      <c r="H15" s="70">
        <f t="shared" ref="H15:H20" si="6">O15</f>
        <v>9.7659765976597659E-2</v>
      </c>
      <c r="I15" s="71">
        <f t="shared" si="2"/>
        <v>8.7999999999999988E-3</v>
      </c>
      <c r="J15" s="72">
        <f t="shared" si="3"/>
        <v>1</v>
      </c>
      <c r="K15" s="71">
        <f t="shared" si="4"/>
        <v>8.7999999999999988E-3</v>
      </c>
      <c r="L15" s="71">
        <f ca="1">IF(OR(I15="N/A",J15="N/A"),"N/A",K15/IF(C15=Gas,'Setup - Facility Details'!$C$74,'Setup - Facility Details'!$C$82)*Constants!$B$35)</f>
        <v>1.1171479435399614E-2</v>
      </c>
      <c r="M15" s="71">
        <f t="shared" ca="1" si="5"/>
        <v>9.7191871087976642E-3</v>
      </c>
      <c r="N15" s="65"/>
      <c r="O15" s="550">
        <f>IF(ISBLANK('Setup - Facility Details'!$C$36),P15,0)</f>
        <v>9.7659765976597659E-2</v>
      </c>
      <c r="P15" s="218">
        <v>9.7659765976597659E-2</v>
      </c>
      <c r="Q15" s="73"/>
      <c r="R15" s="218">
        <v>0</v>
      </c>
      <c r="S15" s="74" cm="1">
        <f t="array" ref="S15">INDEX(ValidCompSealCF_V,V15)/100</f>
        <v>0</v>
      </c>
      <c r="T15" s="325" t="s">
        <v>1367</v>
      </c>
      <c r="V15" s="325">
        <v>3</v>
      </c>
    </row>
    <row r="16" spans="1:22" x14ac:dyDescent="0.3">
      <c r="B16" s="81" t="str">
        <f ca="1">'Translation Table'!H941</f>
        <v>Compressor Seals (Reciprocating - Standby &amp; Pressurized)</v>
      </c>
      <c r="C16" s="81" t="str">
        <f ca="1">'Translation Table'!H942</f>
        <v>Gas</v>
      </c>
      <c r="D16" s="82">
        <f t="shared" si="0"/>
        <v>9.7659765976597659E-2</v>
      </c>
      <c r="E16" s="239">
        <v>8.8000000000000005E-3</v>
      </c>
      <c r="F16" s="239">
        <v>8.8999999999999996E-2</v>
      </c>
      <c r="G16" s="239">
        <v>1.2E-4</v>
      </c>
      <c r="H16" s="82">
        <f>O16</f>
        <v>1</v>
      </c>
      <c r="I16" s="83">
        <f>IF(OR($E16="N/A",$F16="N/A",$G16="N/A"),"N/A",H16*F16+(1-H16)*G16)</f>
        <v>8.8999999999999996E-2</v>
      </c>
      <c r="J16" s="84">
        <f>IF(OR(I16="N/A",S16="N/A"),"N/A",R16*(1-S16)+(1-R16))</f>
        <v>1</v>
      </c>
      <c r="K16" s="83">
        <f>IF(OR(I16="N/A",J16="N/A"),"N/A",J16*I16)</f>
        <v>8.8999999999999996E-2</v>
      </c>
      <c r="L16" s="83">
        <f ca="1">IF(OR(I16="N/A",J16="N/A"),"N/A",K16/IF(C16=Gas,'Setup - Facility Details'!$C$74,'Setup - Facility Details'!$C$82)*Constants!$B$35)</f>
        <v>0.11298428065347337</v>
      </c>
      <c r="M16" s="83">
        <f ca="1">IF(K16="N/A","N/A",L16*IF(OR(C16=Gas,C16=All),ProcessGas_CH4,Vapor_CH4))</f>
        <v>9.8296324168521826E-2</v>
      </c>
      <c r="N16" s="65"/>
      <c r="O16" s="549">
        <f>IF(ISBLANK('Setup - Facility Details'!$C$36),P16,0)</f>
        <v>1</v>
      </c>
      <c r="P16" s="546">
        <v>1</v>
      </c>
      <c r="Q16" s="73"/>
      <c r="R16" s="546">
        <v>0</v>
      </c>
      <c r="S16" s="90" cm="1">
        <f t="array" ref="S16">INDEX(ValidCompSealCF_V,V16)/100</f>
        <v>0</v>
      </c>
      <c r="T16" s="325" t="s">
        <v>1367</v>
      </c>
      <c r="V16" s="325">
        <v>3</v>
      </c>
    </row>
    <row r="17" spans="2:22" x14ac:dyDescent="0.3">
      <c r="B17" s="48" t="str">
        <f ca="1">'Translation Table'!H943</f>
        <v>Compressor Seals (Reciprocating - Depressurized)</v>
      </c>
      <c r="C17" s="48" t="str">
        <f ca="1">'Translation Table'!H944</f>
        <v>Gas</v>
      </c>
      <c r="D17" s="70" t="str">
        <f t="shared" si="0"/>
        <v>N/A</v>
      </c>
      <c r="E17" s="533">
        <v>0</v>
      </c>
      <c r="F17" s="533">
        <v>0</v>
      </c>
      <c r="G17" s="533">
        <v>0</v>
      </c>
      <c r="H17" s="70">
        <f t="shared" si="6"/>
        <v>1</v>
      </c>
      <c r="I17" s="71">
        <f t="shared" si="2"/>
        <v>0</v>
      </c>
      <c r="J17" s="72">
        <f t="shared" si="3"/>
        <v>1</v>
      </c>
      <c r="K17" s="71">
        <f t="shared" si="4"/>
        <v>0</v>
      </c>
      <c r="L17" s="71">
        <f ca="1">IF(OR(I17="N/A",J17="N/A"),"N/A",K17/IF(C17=Gas,'Setup - Facility Details'!$C$74,'Setup - Facility Details'!$C$82)*Constants!$B$35)</f>
        <v>0</v>
      </c>
      <c r="M17" s="71">
        <f t="shared" ca="1" si="5"/>
        <v>0</v>
      </c>
      <c r="N17" s="65"/>
      <c r="O17" s="550">
        <f>IF(ISBLANK('Setup - Facility Details'!$C$36),P17,0)</f>
        <v>1</v>
      </c>
      <c r="P17" s="546">
        <v>1</v>
      </c>
      <c r="Q17" s="73"/>
      <c r="R17" s="546">
        <v>0</v>
      </c>
      <c r="S17" s="76" cm="1">
        <f t="array" ref="S17">INDEX(ValidCompSealCF_V,V17)/100</f>
        <v>0</v>
      </c>
      <c r="T17" s="325" t="s">
        <v>1367</v>
      </c>
      <c r="V17" s="325">
        <v>3</v>
      </c>
    </row>
    <row r="18" spans="2:22" x14ac:dyDescent="0.3">
      <c r="B18" s="81" t="str">
        <f ca="1">'Translation Table'!H945</f>
        <v>Compressor Wet Seals (Centrifugal - Operating)</v>
      </c>
      <c r="C18" s="81" t="str">
        <f ca="1">'Translation Table'!H944</f>
        <v>Gas</v>
      </c>
      <c r="D18" s="82">
        <f t="shared" si="0"/>
        <v>1</v>
      </c>
      <c r="E18" s="239">
        <v>32.340000000000003</v>
      </c>
      <c r="F18" s="239">
        <v>32.340000000000003</v>
      </c>
      <c r="G18" s="239">
        <v>0</v>
      </c>
      <c r="H18" s="82">
        <f t="shared" si="6"/>
        <v>1</v>
      </c>
      <c r="I18" s="83">
        <f t="shared" si="2"/>
        <v>32.340000000000003</v>
      </c>
      <c r="J18" s="84">
        <f t="shared" si="3"/>
        <v>1</v>
      </c>
      <c r="K18" s="83">
        <f t="shared" si="4"/>
        <v>32.340000000000003</v>
      </c>
      <c r="L18" s="83">
        <f ca="1">IF(OR(I18="N/A",J18="N/A"),"N/A",K18/IF(C18=Gas,'Setup - Facility Details'!$C$74,'Setup - Facility Details'!$C$82)*Constants!$B$35)</f>
        <v>41.055186925093594</v>
      </c>
      <c r="M18" s="83">
        <f t="shared" ca="1" si="5"/>
        <v>35.718012624831424</v>
      </c>
      <c r="N18" s="65"/>
      <c r="O18" s="549">
        <f>IF(ISBLANK('Setup - Facility Details'!$C$36),P18,0)</f>
        <v>1</v>
      </c>
      <c r="P18" s="218">
        <v>1</v>
      </c>
      <c r="Q18" s="73"/>
      <c r="R18" s="218">
        <v>0</v>
      </c>
      <c r="S18" s="74" cm="1">
        <f t="array" ref="S18">INDEX(ValidCompSealCF_V,V18)/100</f>
        <v>0</v>
      </c>
      <c r="T18" s="325" t="s">
        <v>1367</v>
      </c>
      <c r="V18" s="325">
        <v>3</v>
      </c>
    </row>
    <row r="19" spans="2:22" x14ac:dyDescent="0.3">
      <c r="B19" s="48" t="str">
        <f ca="1">'Translation Table'!H946</f>
        <v>Compressor Wet Seals (Centrifugal - Standby &amp; Pressurized)</v>
      </c>
      <c r="C19" s="48" t="str">
        <f ca="1">'Translation Table'!H944</f>
        <v>Gas</v>
      </c>
      <c r="D19" s="70" t="str">
        <f t="shared" si="0"/>
        <v>N/A</v>
      </c>
      <c r="E19" s="533">
        <v>0</v>
      </c>
      <c r="F19" s="533">
        <v>0</v>
      </c>
      <c r="G19" s="533">
        <v>0</v>
      </c>
      <c r="H19" s="70">
        <f t="shared" si="6"/>
        <v>1</v>
      </c>
      <c r="I19" s="71">
        <f t="shared" si="2"/>
        <v>0</v>
      </c>
      <c r="J19" s="72">
        <f t="shared" si="3"/>
        <v>1</v>
      </c>
      <c r="K19" s="71">
        <f t="shared" si="4"/>
        <v>0</v>
      </c>
      <c r="L19" s="71">
        <f ca="1">IF(OR(I19="N/A",J19="N/A"),"N/A",K19/IF(C19=Gas,'Setup - Facility Details'!$C$74,'Setup - Facility Details'!$C$82)*Constants!$B$35)</f>
        <v>0</v>
      </c>
      <c r="M19" s="71">
        <f t="shared" ca="1" si="5"/>
        <v>0</v>
      </c>
      <c r="N19" s="65"/>
      <c r="O19" s="550">
        <f>IF(ISBLANK('Setup - Facility Details'!$C$36),P19,0)</f>
        <v>1</v>
      </c>
      <c r="P19" s="218">
        <v>1</v>
      </c>
      <c r="Q19" s="73"/>
      <c r="R19" s="546">
        <v>0</v>
      </c>
      <c r="S19" s="74" cm="1">
        <f t="array" ref="S19">INDEX(ValidCompSealCF_V,V19)/100</f>
        <v>0</v>
      </c>
      <c r="T19" s="325" t="s">
        <v>1367</v>
      </c>
      <c r="V19" s="325">
        <v>3</v>
      </c>
    </row>
    <row r="20" spans="2:22" x14ac:dyDescent="0.3">
      <c r="B20" s="81" t="str">
        <f ca="1">'Translation Table'!H947</f>
        <v>Compressor Wet Seals (Centrifugal - Depressurized)</v>
      </c>
      <c r="C20" s="81" t="str">
        <f ca="1">'Translation Table'!H944</f>
        <v>Gas</v>
      </c>
      <c r="D20" s="82" t="str">
        <f t="shared" si="0"/>
        <v>N/A</v>
      </c>
      <c r="E20" s="239">
        <v>0</v>
      </c>
      <c r="F20" s="239">
        <v>0</v>
      </c>
      <c r="G20" s="239">
        <v>0</v>
      </c>
      <c r="H20" s="82">
        <f t="shared" si="6"/>
        <v>1</v>
      </c>
      <c r="I20" s="83">
        <f t="shared" si="2"/>
        <v>0</v>
      </c>
      <c r="J20" s="84">
        <f t="shared" si="3"/>
        <v>1</v>
      </c>
      <c r="K20" s="83">
        <f t="shared" si="4"/>
        <v>0</v>
      </c>
      <c r="L20" s="83">
        <f ca="1">IF(OR(I20="N/A",J20="N/A"),"N/A",K20/IF(C20=Gas,'Setup - Facility Details'!$C$74,'Setup - Facility Details'!$C$82)*Constants!$B$35)</f>
        <v>0</v>
      </c>
      <c r="M20" s="83">
        <f t="shared" ca="1" si="5"/>
        <v>0</v>
      </c>
      <c r="N20" s="65"/>
      <c r="O20" s="549">
        <f>IF(ISBLANK('Setup - Facility Details'!$C$36),P20,0)</f>
        <v>1</v>
      </c>
      <c r="P20" s="218">
        <v>1</v>
      </c>
      <c r="Q20" s="73"/>
      <c r="R20" s="546">
        <v>0</v>
      </c>
      <c r="S20" s="74" cm="1">
        <f t="array" ref="S20">INDEX(ValidCompSealCF_V,V20)/100</f>
        <v>0</v>
      </c>
      <c r="T20" s="325" t="s">
        <v>1367</v>
      </c>
      <c r="V20" s="325">
        <v>3</v>
      </c>
    </row>
    <row r="21" spans="2:22" x14ac:dyDescent="0.3">
      <c r="B21" s="48" t="str">
        <f ca="1">'Translation Table'!H948</f>
        <v>Compressor Dry Seals (Centrifugal - Operating)</v>
      </c>
      <c r="C21" s="48" t="str">
        <f ca="1">'Translation Table'!H944</f>
        <v>Gas</v>
      </c>
      <c r="D21" s="70">
        <f t="shared" si="0"/>
        <v>1</v>
      </c>
      <c r="E21" s="240">
        <v>2.54</v>
      </c>
      <c r="F21" s="240">
        <v>2.54</v>
      </c>
      <c r="G21" s="240">
        <v>0</v>
      </c>
      <c r="H21" s="70">
        <f>O21</f>
        <v>1</v>
      </c>
      <c r="I21" s="71">
        <f>IF(OR($E21="N/A",$F21="N/A",$G21="N/A"),"N/A",H21*F21+(1-H21)*G21)</f>
        <v>2.54</v>
      </c>
      <c r="J21" s="72">
        <f>IF(OR(I21="N/A",S21="N/A"),"N/A",R21*(1-S21)+(1-R21))</f>
        <v>1</v>
      </c>
      <c r="K21" s="71">
        <f>IF(OR(I21="N/A",J21="N/A"),"N/A",J21*I21)</f>
        <v>2.54</v>
      </c>
      <c r="L21" s="71">
        <f ca="1">IF(OR(I21="N/A",J21="N/A"),"N/A",K21/IF(C21=Gas,'Setup - Facility Details'!$C$74,'Setup - Facility Details'!$C$82)*Constants!$B$35)</f>
        <v>3.2244952006721612</v>
      </c>
      <c r="M21" s="71">
        <f ca="1">IF(K21="N/A","N/A",L21*IF(OR(C21=Gas,C21=All),ProcessGas_CH4,Vapor_CH4))</f>
        <v>2.8053108245847804</v>
      </c>
      <c r="N21" s="65"/>
      <c r="O21" s="550">
        <f>IF(ISBLANK('Setup - Facility Details'!$C$36),P21,0)</f>
        <v>1</v>
      </c>
      <c r="P21" s="218">
        <v>1</v>
      </c>
      <c r="Q21" s="73"/>
      <c r="R21" s="546">
        <v>0</v>
      </c>
      <c r="S21" s="74" cm="1">
        <f t="array" ref="S21">INDEX(ValidCompSealCF_V,V21)/100</f>
        <v>0</v>
      </c>
      <c r="T21" s="325" t="s">
        <v>1367</v>
      </c>
      <c r="V21" s="325">
        <v>3</v>
      </c>
    </row>
    <row r="22" spans="2:22" x14ac:dyDescent="0.3">
      <c r="B22" s="81" t="str">
        <f ca="1">'Translation Table'!H949</f>
        <v>Compressor Dry Seals (Centrifugal - Standby &amp; Pressurized)</v>
      </c>
      <c r="C22" s="81" t="str">
        <f ca="1">'Translation Table'!H944</f>
        <v>Gas</v>
      </c>
      <c r="D22" s="82">
        <f t="shared" si="0"/>
        <v>1</v>
      </c>
      <c r="E22" s="239">
        <v>2.54</v>
      </c>
      <c r="F22" s="239">
        <v>2.54</v>
      </c>
      <c r="G22" s="239">
        <v>0</v>
      </c>
      <c r="H22" s="82">
        <f>O22</f>
        <v>1</v>
      </c>
      <c r="I22" s="83">
        <f>IF(OR($E22="N/A",$F22="N/A",$G22="N/A"),"N/A",H22*F22+(1-H22)*G22)</f>
        <v>2.54</v>
      </c>
      <c r="J22" s="84">
        <f>IF(OR(I22="N/A",S22="N/A"),"N/A",R22*(1-S22)+(1-R22))</f>
        <v>1</v>
      </c>
      <c r="K22" s="83">
        <f>IF(OR(I22="N/A",J22="N/A"),"N/A",J22*I22)</f>
        <v>2.54</v>
      </c>
      <c r="L22" s="83">
        <f ca="1">IF(OR(I22="N/A",J22="N/A"),"N/A",K22/IF(C22=Gas,'Setup - Facility Details'!$C$74,'Setup - Facility Details'!$C$82)*Constants!$B$35)</f>
        <v>3.2244952006721612</v>
      </c>
      <c r="M22" s="83">
        <f ca="1">IF(K22="N/A","N/A",L22*IF(OR(C22=Gas,C22=All),ProcessGas_CH4,Vapor_CH4))</f>
        <v>2.8053108245847804</v>
      </c>
      <c r="N22" s="65"/>
      <c r="O22" s="549">
        <f>IF(ISBLANK('Setup - Facility Details'!$C$36),P22,0)</f>
        <v>1</v>
      </c>
      <c r="P22" s="218">
        <v>1</v>
      </c>
      <c r="Q22" s="73"/>
      <c r="R22" s="546">
        <v>0</v>
      </c>
      <c r="S22" s="76" cm="1">
        <f t="array" ref="S22">INDEX(ValidCompSealCF_V,V22)/100</f>
        <v>0</v>
      </c>
      <c r="T22" s="325" t="s">
        <v>1367</v>
      </c>
      <c r="V22" s="325">
        <v>3</v>
      </c>
    </row>
    <row r="23" spans="2:22" x14ac:dyDescent="0.3">
      <c r="B23" s="48" t="str">
        <f ca="1">'Translation Table'!H950</f>
        <v>Compressor Dry Seals (Centrifugal - Depressurized)</v>
      </c>
      <c r="C23" s="48" t="str">
        <f ca="1">'Translation Table'!H944</f>
        <v>Gas</v>
      </c>
      <c r="D23" s="70" t="str">
        <f t="shared" si="0"/>
        <v>N/A</v>
      </c>
      <c r="E23" s="240">
        <v>0</v>
      </c>
      <c r="F23" s="240">
        <v>0</v>
      </c>
      <c r="G23" s="240">
        <v>0</v>
      </c>
      <c r="H23" s="70">
        <f>O23</f>
        <v>1</v>
      </c>
      <c r="I23" s="71">
        <f>IF(OR($E23="N/A",$F23="N/A",$G23="N/A"),"N/A",H23*F23+(1-H23)*G23)</f>
        <v>0</v>
      </c>
      <c r="J23" s="72">
        <f>IF(OR(I23="N/A",S23="N/A"),"N/A",R23*(1-S23)+(1-R23))</f>
        <v>1</v>
      </c>
      <c r="K23" s="71">
        <f>IF(OR(I23="N/A",J23="N/A"),"N/A",J23*I23)</f>
        <v>0</v>
      </c>
      <c r="L23" s="71">
        <f ca="1">IF(OR(I23="N/A",J23="N/A"),"N/A",K23/IF(C23=Gas,'Setup - Facility Details'!$C$74,'Setup - Facility Details'!$C$82)*Constants!$B$35)</f>
        <v>0</v>
      </c>
      <c r="M23" s="71">
        <f ca="1">IF(K23="N/A","N/A",L23*IF(OR(C23=Gas,C23=All),ProcessGas_CH4,Vapor_CH4))</f>
        <v>0</v>
      </c>
      <c r="N23" s="65"/>
      <c r="O23" s="550">
        <f>IF(ISBLANK('Setup - Facility Details'!$C$36),P23,0)</f>
        <v>1</v>
      </c>
      <c r="P23" s="218">
        <v>1</v>
      </c>
      <c r="Q23" s="73"/>
      <c r="R23" s="546">
        <v>0</v>
      </c>
      <c r="S23" s="76" cm="1">
        <f t="array" ref="S23">INDEX(ValidCompSealCF_V,V23)/100</f>
        <v>0</v>
      </c>
      <c r="T23" s="325" t="s">
        <v>1367</v>
      </c>
      <c r="V23" s="325">
        <v>3</v>
      </c>
    </row>
    <row r="24" spans="2:22" x14ac:dyDescent="0.3">
      <c r="B24" s="81" t="str">
        <f ca="1">'Translation Table'!H951</f>
        <v>Compressor (Reciprocating - Crankcase Vent)</v>
      </c>
      <c r="C24" s="81" t="str">
        <f ca="1">'Translation Table'!H952</f>
        <v>Gas</v>
      </c>
      <c r="D24" s="82">
        <f t="shared" si="0"/>
        <v>9.7659765976597659E-2</v>
      </c>
      <c r="E24" s="239">
        <v>8.8000000000000005E-3</v>
      </c>
      <c r="F24" s="239">
        <v>8.8999999999999996E-2</v>
      </c>
      <c r="G24" s="239">
        <v>1.2E-4</v>
      </c>
      <c r="H24" s="82">
        <f t="shared" si="1"/>
        <v>9.7659765976597659E-2</v>
      </c>
      <c r="I24" s="83">
        <f t="shared" si="2"/>
        <v>8.7999999999999988E-3</v>
      </c>
      <c r="J24" s="84">
        <f t="shared" si="3"/>
        <v>1</v>
      </c>
      <c r="K24" s="83">
        <f t="shared" si="4"/>
        <v>8.7999999999999988E-3</v>
      </c>
      <c r="L24" s="83">
        <f ca="1">IF(OR(I24="N/A",J24="N/A"),"N/A",K24/IF(C24=Gas,'Setup - Facility Details'!$C$74,'Setup - Facility Details'!$C$82)*Constants!$B$35)</f>
        <v>1.1171479435399614E-2</v>
      </c>
      <c r="M24" s="83">
        <f t="shared" ca="1" si="5"/>
        <v>9.7191871087976642E-3</v>
      </c>
      <c r="N24" s="65"/>
      <c r="O24" s="549">
        <f>IF(ISBLANK('Setup - Facility Details'!$C$35),P24,0)</f>
        <v>9.7659765976597659E-2</v>
      </c>
      <c r="P24" s="218">
        <v>9.7659765976597659E-2</v>
      </c>
      <c r="Q24" s="73"/>
      <c r="R24" s="218">
        <v>0</v>
      </c>
      <c r="S24" s="89" cm="1">
        <f t="array" ref="S24">INDEX(ValidCompCrankcaseCF_V,V24)/100</f>
        <v>0</v>
      </c>
      <c r="T24" s="325" t="s">
        <v>1368</v>
      </c>
      <c r="V24" s="325">
        <v>2</v>
      </c>
    </row>
    <row r="25" spans="2:22" x14ac:dyDescent="0.3">
      <c r="B25" s="48" t="str">
        <f ca="1">'Translation Table'!H953</f>
        <v>Pressure Relief Valves</v>
      </c>
      <c r="C25" s="48" t="str">
        <f ca="1">'Translation Table'!H954</f>
        <v>Gas</v>
      </c>
      <c r="D25" s="70">
        <f t="shared" si="0"/>
        <v>9.7659765976597659E-2</v>
      </c>
      <c r="E25" s="240">
        <v>8.8000000000000005E-3</v>
      </c>
      <c r="F25" s="240">
        <v>8.8999999999999996E-2</v>
      </c>
      <c r="G25" s="240">
        <v>1.2E-4</v>
      </c>
      <c r="H25" s="70">
        <f t="shared" si="1"/>
        <v>9.7659765976597659E-2</v>
      </c>
      <c r="I25" s="71">
        <f t="shared" si="2"/>
        <v>8.7999999999999988E-3</v>
      </c>
      <c r="J25" s="72">
        <f t="shared" si="3"/>
        <v>1</v>
      </c>
      <c r="K25" s="71">
        <f t="shared" si="4"/>
        <v>8.7999999999999988E-3</v>
      </c>
      <c r="L25" s="71">
        <f ca="1">IF(OR(I25="N/A",J25="N/A"),"N/A",K25/IF(C25=Gas,'Setup - Facility Details'!$C$74,'Setup - Facility Details'!$C$82)*Constants!$B$35)</f>
        <v>1.1171479435399614E-2</v>
      </c>
      <c r="M25" s="71">
        <f t="shared" ca="1" si="5"/>
        <v>9.7191871087976642E-3</v>
      </c>
      <c r="N25" s="65"/>
      <c r="O25" s="550">
        <f>IF(ISBLANK('Setup - Facility Details'!$C$35),P25,0)</f>
        <v>9.7659765976597659E-2</v>
      </c>
      <c r="P25" s="218">
        <v>9.7659765976597659E-2</v>
      </c>
      <c r="Q25" s="73"/>
      <c r="R25" s="218">
        <v>0</v>
      </c>
      <c r="S25" s="74" cm="1">
        <f t="array" ref="S25">INDEX(ValidPRVCF_V,V25)/100</f>
        <v>0</v>
      </c>
      <c r="T25" s="325" t="s">
        <v>1369</v>
      </c>
      <c r="V25" s="325">
        <v>2</v>
      </c>
    </row>
    <row r="26" spans="2:22" x14ac:dyDescent="0.3">
      <c r="B26" s="81" t="str">
        <f ca="1">'Translation Table'!H955</f>
        <v>Regulators</v>
      </c>
      <c r="C26" s="81" t="str">
        <f ca="1">'Translation Table'!H956</f>
        <v>Gas</v>
      </c>
      <c r="D26" s="82">
        <f t="shared" si="0"/>
        <v>9.7659765976597659E-2</v>
      </c>
      <c r="E26" s="239">
        <v>8.8000000000000005E-3</v>
      </c>
      <c r="F26" s="239">
        <v>8.8999999999999996E-2</v>
      </c>
      <c r="G26" s="239">
        <v>1.2E-4</v>
      </c>
      <c r="H26" s="82">
        <f t="shared" si="1"/>
        <v>9.7659765976597659E-2</v>
      </c>
      <c r="I26" s="83">
        <f t="shared" si="2"/>
        <v>8.7999999999999988E-3</v>
      </c>
      <c r="J26" s="84">
        <f t="shared" si="3"/>
        <v>1</v>
      </c>
      <c r="K26" s="83">
        <f t="shared" si="4"/>
        <v>8.7999999999999988E-3</v>
      </c>
      <c r="L26" s="83">
        <f ca="1">IF(OR(I26="N/A",J26="N/A"),"N/A",K26/IF(C26=Gas,'Setup - Facility Details'!$C$74,'Setup - Facility Details'!$C$82)*Constants!$B$35)</f>
        <v>1.1171479435399614E-2</v>
      </c>
      <c r="M26" s="83">
        <f t="shared" ca="1" si="5"/>
        <v>9.7191871087976642E-3</v>
      </c>
      <c r="N26" s="65"/>
      <c r="O26" s="549">
        <f>IF(ISBLANK('Setup - Facility Details'!$C$35),P26,0)</f>
        <v>9.7659765976597659E-2</v>
      </c>
      <c r="P26" s="218">
        <v>9.7659765976597659E-2</v>
      </c>
      <c r="Q26" s="73"/>
      <c r="R26" s="218">
        <v>0</v>
      </c>
      <c r="S26" s="89">
        <f>INDEX(ValidRegulatorCF_V,V26)/100</f>
        <v>0</v>
      </c>
      <c r="T26" s="325" t="s">
        <v>1370</v>
      </c>
      <c r="V26" s="325">
        <v>1</v>
      </c>
    </row>
    <row r="27" spans="2:22" x14ac:dyDescent="0.3">
      <c r="B27" s="48" t="str">
        <f ca="1">'Translation Table'!H957</f>
        <v>Connectors</v>
      </c>
      <c r="C27" s="48" t="str">
        <f ca="1">'Translation Table'!H958</f>
        <v>Gas</v>
      </c>
      <c r="D27" s="70">
        <f t="shared" si="0"/>
        <v>7.310504040015391E-3</v>
      </c>
      <c r="E27" s="240">
        <v>2.0000000000000001E-4</v>
      </c>
      <c r="F27" s="240">
        <v>2.5999999999999999E-2</v>
      </c>
      <c r="G27" s="240">
        <v>1.0000000000000001E-5</v>
      </c>
      <c r="H27" s="70">
        <f t="shared" si="1"/>
        <v>7.310504040015391E-3</v>
      </c>
      <c r="I27" s="71">
        <f t="shared" si="2"/>
        <v>1.9999999999999998E-4</v>
      </c>
      <c r="J27" s="72">
        <f t="shared" si="3"/>
        <v>1</v>
      </c>
      <c r="K27" s="71">
        <f t="shared" si="4"/>
        <v>1.9999999999999998E-4</v>
      </c>
      <c r="L27" s="71">
        <f ca="1">IF(OR(I27="N/A",J27="N/A"),"N/A",K27/IF(C27=Gas,'Setup - Facility Details'!$C$74,'Setup - Facility Details'!$C$82)*Constants!$B$35)</f>
        <v>2.5389725989544577E-4</v>
      </c>
      <c r="M27" s="71">
        <f t="shared" ca="1" si="5"/>
        <v>2.2089061610903782E-4</v>
      </c>
      <c r="N27" s="65"/>
      <c r="O27" s="550">
        <f>IF(ISBLANK('Setup - Facility Details'!$C$35),P27,0)</f>
        <v>7.310504040015391E-3</v>
      </c>
      <c r="P27" s="218">
        <v>7.310504040015391E-3</v>
      </c>
      <c r="Q27" s="73"/>
      <c r="R27" s="218">
        <v>0</v>
      </c>
      <c r="S27" s="74" cm="1">
        <f t="array" ref="S27">INDEX(ValidConnectorCF_V,V27)/100</f>
        <v>0</v>
      </c>
      <c r="T27" s="325" t="s">
        <v>1371</v>
      </c>
      <c r="V27" s="325">
        <v>1</v>
      </c>
    </row>
    <row r="28" spans="2:22" x14ac:dyDescent="0.3">
      <c r="B28" s="81" t="str">
        <f ca="1">'Translation Table'!H957</f>
        <v>Connectors</v>
      </c>
      <c r="C28" s="81" t="str">
        <f ca="1">'Translation Table'!H959</f>
        <v>Light Liquid</v>
      </c>
      <c r="D28" s="82">
        <f t="shared" si="0"/>
        <v>7.7067213537358181E-3</v>
      </c>
      <c r="E28" s="239">
        <v>2.1000000000000001E-4</v>
      </c>
      <c r="F28" s="239">
        <v>2.5999999999999999E-2</v>
      </c>
      <c r="G28" s="239">
        <v>9.7000000000000003E-6</v>
      </c>
      <c r="H28" s="82">
        <f t="shared" si="1"/>
        <v>7.7099999999999998E-3</v>
      </c>
      <c r="I28" s="83">
        <f t="shared" si="2"/>
        <v>2.1008521299999998E-4</v>
      </c>
      <c r="J28" s="84">
        <f t="shared" si="3"/>
        <v>1</v>
      </c>
      <c r="K28" s="83">
        <f t="shared" si="4"/>
        <v>2.1008521299999998E-4</v>
      </c>
      <c r="L28" s="83">
        <f ca="1">IF(OR(I28="N/A",J28="N/A"),"N/A",K28/IF(C28=Gas,'Setup - Facility Details'!$C$74,'Setup - Facility Details'!$C$82)*Constants!$B$35)</f>
        <v>2.1583275127607916E-4</v>
      </c>
      <c r="M28" s="83">
        <f t="shared" ca="1" si="5"/>
        <v>1.3597463330392988E-4</v>
      </c>
      <c r="N28" s="65"/>
      <c r="O28" s="549">
        <f>IF(ISBLANK('Setup - Facility Details'!$C$35),P28,0)</f>
        <v>7.7099999999999998E-3</v>
      </c>
      <c r="P28" s="218">
        <v>7.7099999999999998E-3</v>
      </c>
      <c r="Q28" s="73"/>
      <c r="R28" s="218">
        <v>0</v>
      </c>
      <c r="S28" s="89" cm="1">
        <f t="array" ref="S28">INDEX(ValidConnectorCF_V,V28)/100</f>
        <v>0</v>
      </c>
      <c r="T28" s="325" t="s">
        <v>1371</v>
      </c>
      <c r="V28" s="325">
        <v>1</v>
      </c>
    </row>
    <row r="29" spans="2:22" x14ac:dyDescent="0.3">
      <c r="B29" s="48" t="str">
        <f ca="1">'Translation Table'!H957</f>
        <v>Connectors</v>
      </c>
      <c r="C29" s="48" t="str">
        <f ca="1">'Translation Table'!H960</f>
        <v>Heavy Liquid</v>
      </c>
      <c r="D29" s="70" t="str">
        <f t="shared" si="0"/>
        <v>N/A</v>
      </c>
      <c r="E29" s="240">
        <v>7.5000000000000002E-6</v>
      </c>
      <c r="F29" s="240">
        <v>7.5000000000000002E-6</v>
      </c>
      <c r="G29" s="240">
        <v>7.5000000000000002E-6</v>
      </c>
      <c r="H29" s="70">
        <f t="shared" si="1"/>
        <v>7.7099999999999998E-3</v>
      </c>
      <c r="I29" s="71">
        <f t="shared" si="2"/>
        <v>7.5000000000000002E-6</v>
      </c>
      <c r="J29" s="72">
        <f t="shared" si="3"/>
        <v>1</v>
      </c>
      <c r="K29" s="71">
        <f t="shared" si="4"/>
        <v>7.5000000000000002E-6</v>
      </c>
      <c r="L29" s="71">
        <f ca="1">IF(OR(I29="N/A",J29="N/A"),"N/A",K29/IF(C29=Gas,'Setup - Facility Details'!$C$74,'Setup - Facility Details'!$C$82)*Constants!$B$35)</f>
        <v>7.7051859645666437E-6</v>
      </c>
      <c r="M29" s="71">
        <f t="shared" ca="1" si="5"/>
        <v>4.8542671576769856E-6</v>
      </c>
      <c r="N29" s="65"/>
      <c r="O29" s="550">
        <f>IF(ISBLANK('Setup - Facility Details'!$C$35),P29,0)</f>
        <v>7.7099999999999998E-3</v>
      </c>
      <c r="P29" s="218">
        <v>7.7099999999999998E-3</v>
      </c>
      <c r="Q29" s="73"/>
      <c r="R29" s="218">
        <v>0</v>
      </c>
      <c r="S29" s="74" cm="1">
        <f t="array" ref="S29">INDEX(ValidConnectorCF_V,V29)/100</f>
        <v>0</v>
      </c>
      <c r="T29" s="325" t="s">
        <v>1371</v>
      </c>
      <c r="V29" s="325">
        <v>1</v>
      </c>
    </row>
    <row r="30" spans="2:22" x14ac:dyDescent="0.3">
      <c r="B30" s="81" t="str">
        <f ca="1">'Translation Table'!H961</f>
        <v>Open-ended Lines</v>
      </c>
      <c r="C30" s="81" t="str">
        <f ca="1">'Translation Table'!H962</f>
        <v>Gas</v>
      </c>
      <c r="D30" s="82">
        <f t="shared" si="0"/>
        <v>3.6100754751295809E-2</v>
      </c>
      <c r="E30" s="239">
        <v>2E-3</v>
      </c>
      <c r="F30" s="239">
        <v>5.5E-2</v>
      </c>
      <c r="G30" s="239">
        <v>1.5E-5</v>
      </c>
      <c r="H30" s="82">
        <f t="shared" si="1"/>
        <v>3.6100754751295809E-2</v>
      </c>
      <c r="I30" s="83">
        <f t="shared" si="2"/>
        <v>2E-3</v>
      </c>
      <c r="J30" s="84">
        <f t="shared" si="3"/>
        <v>1</v>
      </c>
      <c r="K30" s="83">
        <f t="shared" si="4"/>
        <v>2E-3</v>
      </c>
      <c r="L30" s="83">
        <f ca="1">IF(OR(I30="N/A",J30="N/A"),"N/A",K30/IF(C30=Gas,'Setup - Facility Details'!$C$74,'Setup - Facility Details'!$C$82)*Constants!$B$35)</f>
        <v>2.5389725989544577E-3</v>
      </c>
      <c r="M30" s="83">
        <f t="shared" ca="1" si="5"/>
        <v>2.2089061610903781E-3</v>
      </c>
      <c r="N30" s="65"/>
      <c r="O30" s="549">
        <f>IF(ISBLANK('Setup - Facility Details'!$C$35),P30,0)</f>
        <v>3.6100754751295809E-2</v>
      </c>
      <c r="P30" s="218">
        <v>3.6100754751295809E-2</v>
      </c>
      <c r="Q30" s="73"/>
      <c r="R30" s="218">
        <v>0</v>
      </c>
      <c r="S30" s="89" cm="1">
        <f t="array" ref="S30">INDEX(ValidOELCF_V,V30)/100</f>
        <v>0</v>
      </c>
      <c r="T30" s="325" t="s">
        <v>1372</v>
      </c>
      <c r="V30" s="325">
        <v>2</v>
      </c>
    </row>
    <row r="31" spans="2:22" x14ac:dyDescent="0.3">
      <c r="B31" s="48" t="str">
        <f ca="1">'Translation Table'!H961</f>
        <v>Open-ended Lines</v>
      </c>
      <c r="C31" s="48" t="str">
        <f ca="1">'Translation Table'!H963</f>
        <v>Light Liquid</v>
      </c>
      <c r="D31" s="70">
        <f t="shared" si="0"/>
        <v>3.1510025917337335E-2</v>
      </c>
      <c r="E31" s="240">
        <v>1.4E-3</v>
      </c>
      <c r="F31" s="240">
        <v>4.3999999999999997E-2</v>
      </c>
      <c r="G31" s="240">
        <v>1.4E-5</v>
      </c>
      <c r="H31" s="70">
        <f t="shared" si="1"/>
        <v>3.1510000000000003E-2</v>
      </c>
      <c r="I31" s="71">
        <f t="shared" si="2"/>
        <v>1.39999886E-3</v>
      </c>
      <c r="J31" s="72">
        <f t="shared" si="3"/>
        <v>1</v>
      </c>
      <c r="K31" s="71">
        <f t="shared" si="4"/>
        <v>1.39999886E-3</v>
      </c>
      <c r="L31" s="71">
        <f ca="1">IF(OR(I31="N/A",J31="N/A"),"N/A",K31/IF(C31=Gas,'Setup - Facility Details'!$C$74,'Setup - Facility Details'!$C$82)*Constants!$B$35)</f>
        <v>1.4383002088641736E-3</v>
      </c>
      <c r="M31" s="71">
        <f t="shared" ca="1" si="5"/>
        <v>9.0612913158442932E-4</v>
      </c>
      <c r="N31" s="65"/>
      <c r="O31" s="550">
        <f>IF(ISBLANK('Setup - Facility Details'!$C$35),P31,0)</f>
        <v>3.1510000000000003E-2</v>
      </c>
      <c r="P31" s="218">
        <v>3.1510000000000003E-2</v>
      </c>
      <c r="Q31" s="73"/>
      <c r="R31" s="218">
        <v>0</v>
      </c>
      <c r="S31" s="74" cm="1">
        <f t="array" ref="S31">INDEX(ValidOELCF_V,V31)/100</f>
        <v>0</v>
      </c>
      <c r="T31" s="325" t="s">
        <v>1372</v>
      </c>
      <c r="V31" s="325">
        <v>2</v>
      </c>
    </row>
    <row r="32" spans="2:22" x14ac:dyDescent="0.3">
      <c r="B32" s="81" t="str">
        <f ca="1">'Translation Table'!H961</f>
        <v>Open-ended Lines</v>
      </c>
      <c r="C32" s="81" t="str">
        <f ca="1">'Translation Table'!H964</f>
        <v>Heavy Liquid</v>
      </c>
      <c r="D32" s="82">
        <f t="shared" si="0"/>
        <v>4.4277293217038745E-3</v>
      </c>
      <c r="E32" s="239">
        <v>1.3999999999999999E-4</v>
      </c>
      <c r="F32" s="239">
        <v>0.03</v>
      </c>
      <c r="G32" s="239">
        <v>7.1999999999999997E-6</v>
      </c>
      <c r="H32" s="82">
        <f t="shared" si="1"/>
        <v>4.4299999999999999E-3</v>
      </c>
      <c r="I32" s="83">
        <f t="shared" si="2"/>
        <v>1.4006810399999999E-4</v>
      </c>
      <c r="J32" s="84">
        <f t="shared" si="3"/>
        <v>1</v>
      </c>
      <c r="K32" s="83">
        <f t="shared" si="4"/>
        <v>1.4006810399999999E-4</v>
      </c>
      <c r="L32" s="83">
        <f ca="1">IF(OR(I32="N/A",J32="N/A"),"N/A",K32/IF(C32=Gas,'Setup - Facility Details'!$C$74,'Setup - Facility Details'!$C$82)*Constants!$B$35)</f>
        <v>1.439001052032348E-4</v>
      </c>
      <c r="M32" s="83">
        <f t="shared" ca="1" si="5"/>
        <v>9.0657066278037918E-5</v>
      </c>
      <c r="N32" s="65"/>
      <c r="O32" s="549">
        <f>IF(ISBLANK('Setup - Facility Details'!$C$35),P32,0)</f>
        <v>4.4299999999999999E-3</v>
      </c>
      <c r="P32" s="218">
        <v>4.4299999999999999E-3</v>
      </c>
      <c r="Q32" s="73"/>
      <c r="R32" s="218">
        <v>0</v>
      </c>
      <c r="S32" s="89" cm="1">
        <f t="array" ref="S32">INDEX(ValidOELCF_V,V32)/100</f>
        <v>0</v>
      </c>
      <c r="T32" s="325" t="s">
        <v>1372</v>
      </c>
      <c r="V32" s="325">
        <v>2</v>
      </c>
    </row>
    <row r="33" spans="1:22" x14ac:dyDescent="0.3">
      <c r="B33" s="48" t="str">
        <f ca="1">'Translation Table'!H965</f>
        <v>Sampling Connections</v>
      </c>
      <c r="C33" s="48" t="str">
        <f ca="1">'Translation Table'!H966</f>
        <v>All</v>
      </c>
      <c r="D33" s="70">
        <f t="shared" si="0"/>
        <v>9.7659765976597659E-2</v>
      </c>
      <c r="E33" s="240">
        <v>8.8000000000000005E-3</v>
      </c>
      <c r="F33" s="240">
        <v>8.8999999999999996E-2</v>
      </c>
      <c r="G33" s="240">
        <v>1.2E-4</v>
      </c>
      <c r="H33" s="70">
        <f t="shared" si="1"/>
        <v>9.7659765976597659E-2</v>
      </c>
      <c r="I33" s="71">
        <f t="shared" si="2"/>
        <v>8.7999999999999988E-3</v>
      </c>
      <c r="J33" s="72">
        <f t="shared" si="3"/>
        <v>1</v>
      </c>
      <c r="K33" s="71">
        <f t="shared" si="4"/>
        <v>8.7999999999999988E-3</v>
      </c>
      <c r="L33" s="71">
        <f ca="1">IF(OR(I33="N/A",J33="N/A"),"N/A",K33/IF(C33=Gas,'Setup - Facility Details'!$C$74,'Setup - Facility Details'!$C$82)*Constants!$B$35)</f>
        <v>9.0407515317581944E-3</v>
      </c>
      <c r="M33" s="71">
        <f t="shared" ca="1" si="5"/>
        <v>7.8654538326296299E-3</v>
      </c>
      <c r="N33" s="77"/>
      <c r="O33" s="550">
        <f>IF(ISBLANK('Setup - Facility Details'!$C$35),P33,0)</f>
        <v>9.7659765976597659E-2</v>
      </c>
      <c r="P33" s="218">
        <v>9.7659765976597659E-2</v>
      </c>
      <c r="Q33" s="73"/>
      <c r="R33" s="218">
        <v>0</v>
      </c>
      <c r="S33" s="74" cm="1">
        <f t="array" ref="S33">INDEX(ValidSampConCF_V,V33)/100</f>
        <v>0</v>
      </c>
      <c r="T33" s="325" t="s">
        <v>1373</v>
      </c>
      <c r="V33" s="325">
        <v>2</v>
      </c>
    </row>
    <row r="34" spans="1:22" x14ac:dyDescent="0.3">
      <c r="B34" s="81" t="str">
        <f ca="1">'Translation Table'!H967</f>
        <v>Drains</v>
      </c>
      <c r="C34" s="81" t="str">
        <f ca="1">'Translation Table'!H968</f>
        <v>All</v>
      </c>
      <c r="D34" s="82">
        <f t="shared" si="0"/>
        <v>9.7659765976597659E-2</v>
      </c>
      <c r="E34" s="239">
        <v>8.8000000000000005E-3</v>
      </c>
      <c r="F34" s="239">
        <v>8.8999999999999996E-2</v>
      </c>
      <c r="G34" s="239">
        <v>1.2E-4</v>
      </c>
      <c r="H34" s="82">
        <f t="shared" si="1"/>
        <v>9.7659765976597659E-2</v>
      </c>
      <c r="I34" s="83">
        <f t="shared" si="2"/>
        <v>8.7999999999999988E-3</v>
      </c>
      <c r="J34" s="84">
        <f t="shared" si="3"/>
        <v>1</v>
      </c>
      <c r="K34" s="83">
        <f t="shared" si="4"/>
        <v>8.7999999999999988E-3</v>
      </c>
      <c r="L34" s="83">
        <f ca="1">IF(OR(I34="N/A",J34="N/A"),"N/A",K34/IF(C34=Gas,'Setup - Facility Details'!$C$74,'Setup - Facility Details'!$C$82)*Constants!$B$35)</f>
        <v>9.0407515317581944E-3</v>
      </c>
      <c r="M34" s="83">
        <f t="shared" ca="1" si="5"/>
        <v>7.8654538326296299E-3</v>
      </c>
      <c r="N34" s="77"/>
      <c r="O34" s="549">
        <f>IF(ISBLANK('Setup - Facility Details'!$C$35),P34,0)</f>
        <v>9.7659765976597659E-2</v>
      </c>
      <c r="P34" s="218">
        <v>9.7659765976597659E-2</v>
      </c>
      <c r="Q34" s="73"/>
      <c r="R34" s="218">
        <v>0</v>
      </c>
      <c r="S34" s="89" cm="1">
        <f t="array" ref="S34">INDEX(ValidDrainCF_V,V34)/100</f>
        <v>0</v>
      </c>
      <c r="T34" s="325" t="s">
        <v>1374</v>
      </c>
      <c r="V34" s="325">
        <v>2</v>
      </c>
    </row>
    <row r="35" spans="1:22" x14ac:dyDescent="0.3">
      <c r="B35" s="48" t="str">
        <f ca="1">'Translation Table'!H969</f>
        <v>Meter (Orifice)</v>
      </c>
      <c r="C35" s="48" t="str">
        <f ca="1">'Translation Table'!H970</f>
        <v>Gas</v>
      </c>
      <c r="D35" s="70" t="str">
        <f t="shared" si="0"/>
        <v>N/A</v>
      </c>
      <c r="E35" s="75" t="s">
        <v>2754</v>
      </c>
      <c r="F35" s="75" t="s">
        <v>2754</v>
      </c>
      <c r="G35" s="75" t="s">
        <v>2754</v>
      </c>
      <c r="H35" s="70" t="str">
        <f t="shared" si="1"/>
        <v>N/A</v>
      </c>
      <c r="I35" s="71" t="str">
        <f t="shared" si="2"/>
        <v>N/A</v>
      </c>
      <c r="J35" s="72" t="str">
        <f t="shared" si="3"/>
        <v>N/A</v>
      </c>
      <c r="K35" s="71" t="str">
        <f t="shared" si="4"/>
        <v>N/A</v>
      </c>
      <c r="L35" s="71" t="str">
        <f>IF(OR(I35="N/A",J35="N/A"),"N/A",K35/IF(C35=Gas,'Setup - Facility Details'!$C$74,'Setup - Facility Details'!$C$82)*Constants!$B$35)</f>
        <v>N/A</v>
      </c>
      <c r="M35" s="71" t="str">
        <f t="shared" si="5"/>
        <v>N/A</v>
      </c>
      <c r="N35" s="77"/>
      <c r="O35" s="550" t="str">
        <f>IF(ISBLANK('Setup - Facility Details'!$C$35),P35,0)</f>
        <v>N/A</v>
      </c>
      <c r="P35" s="76" t="s">
        <v>2754</v>
      </c>
      <c r="Q35" s="73"/>
      <c r="R35" s="76">
        <v>0</v>
      </c>
      <c r="S35" s="76" t="s">
        <v>2754</v>
      </c>
      <c r="T35" s="325" t="s">
        <v>1365</v>
      </c>
      <c r="V35" s="325">
        <v>1</v>
      </c>
    </row>
    <row r="36" spans="1:22" x14ac:dyDescent="0.3">
      <c r="B36" s="81" t="str">
        <f ca="1">'Translation Table'!H971</f>
        <v>Meter (Other)</v>
      </c>
      <c r="C36" s="81" t="str">
        <f ca="1">'Translation Table'!H972</f>
        <v>Gas</v>
      </c>
      <c r="D36" s="82" t="str">
        <f t="shared" si="0"/>
        <v>N/A</v>
      </c>
      <c r="E36" s="239" t="s">
        <v>2754</v>
      </c>
      <c r="F36" s="239" t="s">
        <v>2754</v>
      </c>
      <c r="G36" s="239" t="s">
        <v>2754</v>
      </c>
      <c r="H36" s="82" t="str">
        <f t="shared" si="1"/>
        <v>N/A</v>
      </c>
      <c r="I36" s="83" t="str">
        <f t="shared" si="2"/>
        <v>N/A</v>
      </c>
      <c r="J36" s="84" t="str">
        <f t="shared" si="3"/>
        <v>N/A</v>
      </c>
      <c r="K36" s="83" t="str">
        <f t="shared" si="4"/>
        <v>N/A</v>
      </c>
      <c r="L36" s="83" t="str">
        <f>IF(OR(I36="N/A",J36="N/A"),"N/A",K36/IF(C36=Gas,'Setup - Facility Details'!$C$74,'Setup - Facility Details'!$C$82)*Constants!$B$35)</f>
        <v>N/A</v>
      </c>
      <c r="M36" s="83" t="str">
        <f t="shared" si="5"/>
        <v>N/A</v>
      </c>
      <c r="N36" s="77"/>
      <c r="O36" s="549" t="str">
        <f>IF(ISBLANK('Setup - Facility Details'!$C$35),P36,0)</f>
        <v>N/A</v>
      </c>
      <c r="P36" s="76" t="s">
        <v>2754</v>
      </c>
      <c r="Q36" s="73"/>
      <c r="R36" s="76">
        <v>0</v>
      </c>
      <c r="S36" s="90" t="s">
        <v>2754</v>
      </c>
      <c r="T36" s="325" t="s">
        <v>1365</v>
      </c>
      <c r="V36" s="325">
        <v>1</v>
      </c>
    </row>
    <row r="37" spans="1:22" x14ac:dyDescent="0.3">
      <c r="B37" s="48" t="str">
        <f ca="1">'Translation Table'!H973</f>
        <v>Blowdown System</v>
      </c>
      <c r="C37" s="48" t="str">
        <f ca="1">'Translation Table'!H974</f>
        <v>Gas</v>
      </c>
      <c r="D37" s="70" t="str">
        <f t="shared" si="0"/>
        <v>N/A</v>
      </c>
      <c r="E37" s="75" t="s">
        <v>2754</v>
      </c>
      <c r="F37" s="75" t="s">
        <v>2754</v>
      </c>
      <c r="G37" s="75" t="s">
        <v>2754</v>
      </c>
      <c r="H37" s="70" t="str">
        <f t="shared" si="1"/>
        <v>N/A</v>
      </c>
      <c r="I37" s="71" t="str">
        <f t="shared" si="2"/>
        <v>N/A</v>
      </c>
      <c r="J37" s="72" t="str">
        <f t="shared" si="3"/>
        <v>N/A</v>
      </c>
      <c r="K37" s="71" t="str">
        <f t="shared" si="4"/>
        <v>N/A</v>
      </c>
      <c r="L37" s="71" t="str">
        <f>IF(OR(I37="N/A",J37="N/A"),"N/A",K37/IF(C37=Gas,'Setup - Facility Details'!$C$74,'Setup - Facility Details'!$C$82)*Constants!$B$35)</f>
        <v>N/A</v>
      </c>
      <c r="M37" s="71" t="str">
        <f t="shared" si="5"/>
        <v>N/A</v>
      </c>
      <c r="N37" s="77"/>
      <c r="O37" s="550" t="str">
        <f>IF(ISBLANK('Setup - Facility Details'!$C$35),P37,0)</f>
        <v>N/A</v>
      </c>
      <c r="P37" s="76" t="s">
        <v>2754</v>
      </c>
      <c r="Q37" s="73"/>
      <c r="R37" s="76">
        <v>0</v>
      </c>
      <c r="S37" s="76" t="s">
        <v>2754</v>
      </c>
      <c r="T37" s="325" t="s">
        <v>1365</v>
      </c>
      <c r="V37" s="325">
        <v>1</v>
      </c>
    </row>
    <row r="38" spans="1:22" x14ac:dyDescent="0.3">
      <c r="B38" s="81" t="str">
        <f ca="1">'Translation Table'!H975</f>
        <v>Others</v>
      </c>
      <c r="C38" s="81" t="str">
        <f ca="1">'Translation Table'!H976</f>
        <v>Gas</v>
      </c>
      <c r="D38" s="82">
        <f t="shared" si="0"/>
        <v>9.7659765976597659E-2</v>
      </c>
      <c r="E38" s="239">
        <v>8.8000000000000005E-3</v>
      </c>
      <c r="F38" s="239">
        <v>8.8999999999999996E-2</v>
      </c>
      <c r="G38" s="239">
        <v>1.2E-4</v>
      </c>
      <c r="H38" s="82">
        <f t="shared" si="1"/>
        <v>9.7659765976597659E-2</v>
      </c>
      <c r="I38" s="83">
        <f t="shared" si="2"/>
        <v>8.7999999999999988E-3</v>
      </c>
      <c r="J38" s="84">
        <f t="shared" si="3"/>
        <v>1</v>
      </c>
      <c r="K38" s="83">
        <f t="shared" si="4"/>
        <v>8.7999999999999988E-3</v>
      </c>
      <c r="L38" s="83">
        <f ca="1">IF(OR(I38="N/A",J38="N/A"),"N/A",K38/IF(C38=Gas,'Setup - Facility Details'!$C$74,'Setup - Facility Details'!$C$82)*Constants!$B$35)</f>
        <v>1.1171479435399614E-2</v>
      </c>
      <c r="M38" s="83">
        <f t="shared" ca="1" si="5"/>
        <v>9.7191871087976642E-3</v>
      </c>
      <c r="N38" s="77"/>
      <c r="O38" s="549">
        <f>IF(ISBLANK('Setup - Facility Details'!$C$35),P38,0)</f>
        <v>9.7659765976597659E-2</v>
      </c>
      <c r="P38" s="218">
        <v>9.7659765976597659E-2</v>
      </c>
      <c r="Q38" s="73"/>
      <c r="R38" s="218">
        <v>0</v>
      </c>
      <c r="S38" s="89">
        <f>INDEX(ValidOtherCF_V,V38)/100</f>
        <v>0</v>
      </c>
      <c r="T38" s="325" t="s">
        <v>1375</v>
      </c>
      <c r="V38" s="325">
        <v>1</v>
      </c>
    </row>
    <row r="39" spans="1:22" x14ac:dyDescent="0.3">
      <c r="B39" s="48" t="str">
        <f ca="1">'Translation Table'!H975</f>
        <v>Others</v>
      </c>
      <c r="C39" s="48" t="str">
        <f ca="1">'Translation Table'!H977</f>
        <v>Light Liquid</v>
      </c>
      <c r="D39" s="70">
        <f t="shared" si="0"/>
        <v>8.9154300880685239E-2</v>
      </c>
      <c r="E39" s="240">
        <v>7.4999999999999997E-3</v>
      </c>
      <c r="F39" s="240">
        <v>8.3000000000000004E-2</v>
      </c>
      <c r="G39" s="240">
        <v>1.1E-4</v>
      </c>
      <c r="H39" s="70">
        <f t="shared" si="1"/>
        <v>8.9149999999999993E-2</v>
      </c>
      <c r="I39" s="71">
        <f t="shared" si="2"/>
        <v>7.4996435E-3</v>
      </c>
      <c r="J39" s="72">
        <f t="shared" si="3"/>
        <v>1</v>
      </c>
      <c r="K39" s="71">
        <f t="shared" si="4"/>
        <v>7.4996435E-3</v>
      </c>
      <c r="L39" s="71">
        <f ca="1">IF(OR(I39="N/A",J39="N/A"),"N/A",K39/IF(C39=Gas,'Setup - Facility Details'!$C$74,'Setup - Facility Details'!$C$82)*Constants!$B$35)</f>
        <v>7.7048197113937945E-3</v>
      </c>
      <c r="M39" s="71">
        <f t="shared" ca="1" si="5"/>
        <v>4.8540364181780902E-3</v>
      </c>
      <c r="N39" s="77"/>
      <c r="O39" s="550">
        <f>IF(ISBLANK('Setup - Facility Details'!$C$35),P39,0)</f>
        <v>8.9149999999999993E-2</v>
      </c>
      <c r="P39" s="218">
        <v>8.9149999999999993E-2</v>
      </c>
      <c r="Q39" s="73"/>
      <c r="R39" s="218">
        <v>0</v>
      </c>
      <c r="S39" s="74">
        <f>INDEX(ValidOtherCF_V,V39)/100</f>
        <v>0</v>
      </c>
      <c r="T39" s="325" t="s">
        <v>1375</v>
      </c>
      <c r="V39" s="325">
        <v>1</v>
      </c>
    </row>
    <row r="40" spans="1:22" x14ac:dyDescent="0.3">
      <c r="B40" s="81" t="str">
        <f ca="1">'Translation Table'!H975</f>
        <v>Others</v>
      </c>
      <c r="C40" s="81" t="str">
        <f ca="1">'Translation Table'!H978</f>
        <v>Heavy Liquid</v>
      </c>
      <c r="D40" s="82" t="str">
        <f t="shared" si="0"/>
        <v>N/A</v>
      </c>
      <c r="E40" s="239">
        <v>3.1999999999999999E-5</v>
      </c>
      <c r="F40" s="239">
        <v>3.1999999999999999E-5</v>
      </c>
      <c r="G40" s="239">
        <v>3.1999999999999999E-5</v>
      </c>
      <c r="H40" s="82">
        <f t="shared" si="1"/>
        <v>0.05</v>
      </c>
      <c r="I40" s="83">
        <f t="shared" si="2"/>
        <v>3.1999999999999999E-5</v>
      </c>
      <c r="J40" s="84">
        <f t="shared" si="3"/>
        <v>1</v>
      </c>
      <c r="K40" s="83">
        <f t="shared" si="4"/>
        <v>3.1999999999999999E-5</v>
      </c>
      <c r="L40" s="83">
        <f ca="1">IF(OR(I40="N/A",J40="N/A"),"N/A",K40/IF(C40=Gas,'Setup - Facility Details'!$C$74,'Setup - Facility Details'!$C$82)*Constants!$B$35)</f>
        <v>3.2875460115484348E-5</v>
      </c>
      <c r="M40" s="83">
        <f t="shared" ca="1" si="5"/>
        <v>2.0711539872755139E-5</v>
      </c>
      <c r="N40" s="77"/>
      <c r="O40" s="549">
        <f>IF(ISBLANK('Setup - Facility Details'!$C$35),P40,0)</f>
        <v>0.05</v>
      </c>
      <c r="P40" s="218">
        <v>0.05</v>
      </c>
      <c r="Q40" s="73"/>
      <c r="R40" s="218">
        <v>0</v>
      </c>
      <c r="S40" s="89">
        <f>INDEX(ValidOtherCF_V,V40)/100</f>
        <v>0</v>
      </c>
      <c r="T40" s="325" t="s">
        <v>1375</v>
      </c>
      <c r="V40" s="325">
        <v>1</v>
      </c>
    </row>
    <row r="41" spans="1:22" x14ac:dyDescent="0.3">
      <c r="B41" s="65"/>
      <c r="C41" s="65"/>
      <c r="D41" s="65"/>
      <c r="E41" s="65"/>
      <c r="F41" s="65"/>
      <c r="G41" s="65"/>
      <c r="H41" s="65"/>
      <c r="I41" s="65"/>
      <c r="J41" s="65"/>
      <c r="K41" s="65"/>
      <c r="L41" s="65"/>
      <c r="M41" s="65"/>
      <c r="N41" s="65"/>
      <c r="O41" s="78"/>
      <c r="P41" s="78"/>
      <c r="Q41" s="78"/>
      <c r="R41" s="78"/>
      <c r="S41" s="65"/>
    </row>
    <row r="42" spans="1:22" ht="14.25" customHeight="1" x14ac:dyDescent="0.3"/>
    <row r="44" spans="1:22" ht="15.5" x14ac:dyDescent="0.35">
      <c r="A44" s="325" t="s">
        <v>261</v>
      </c>
      <c r="B44" s="1073" t="str">
        <f ca="1">'Translation Table'!H979</f>
        <v>Natural Gas Transmission &amp; Storage</v>
      </c>
      <c r="C44" s="1074"/>
      <c r="D44" s="1074"/>
      <c r="E44" s="1074"/>
      <c r="F44" s="1074"/>
      <c r="G44" s="1074"/>
      <c r="H44" s="1074"/>
      <c r="I44" s="1074"/>
      <c r="J44" s="1074"/>
      <c r="K44" s="1074"/>
      <c r="L44" s="1075"/>
      <c r="M44" s="1076"/>
      <c r="N44" s="62"/>
      <c r="O44" s="62"/>
      <c r="P44" s="62"/>
      <c r="Q44" s="62"/>
      <c r="R44" s="62"/>
      <c r="S44" s="62"/>
    </row>
    <row r="45" spans="1:22" x14ac:dyDescent="0.3">
      <c r="B45" s="1080" t="str">
        <f ca="1">'Translation Table'!H980</f>
        <v>Equipment Component Type</v>
      </c>
      <c r="C45" s="1080" t="str">
        <f ca="1">'Translation Table'!H981</f>
        <v>Service</v>
      </c>
      <c r="D45" s="1081" t="str">
        <f ca="1">'Translation Table'!H982</f>
        <v>CEPEI (2016) Factors</v>
      </c>
      <c r="E45" s="1081"/>
      <c r="F45" s="1081"/>
      <c r="G45" s="1081"/>
      <c r="H45" s="1081" t="str">
        <f ca="1">'Translation Table'!H983</f>
        <v>Developed Average Emission Factor</v>
      </c>
      <c r="I45" s="1081"/>
      <c r="J45" s="1081"/>
      <c r="K45" s="1081"/>
      <c r="L45" s="1081"/>
      <c r="M45" s="1081"/>
      <c r="N45" s="64"/>
      <c r="O45" s="64"/>
      <c r="P45" s="64"/>
      <c r="Q45" s="64"/>
      <c r="R45" s="64"/>
      <c r="S45" s="65"/>
    </row>
    <row r="46" spans="1:22" ht="15.5" x14ac:dyDescent="0.35">
      <c r="B46" s="1080"/>
      <c r="C46" s="1080"/>
      <c r="D46" s="85" t="str">
        <f ca="1">'Translation Table'!$H984</f>
        <v>Implied Leak</v>
      </c>
      <c r="E46" s="85" t="str">
        <f ca="1">'Translation Table'!$H985</f>
        <v>Average</v>
      </c>
      <c r="F46" s="85" t="str">
        <f ca="1">'Translation Table'!$H986</f>
        <v>Leak</v>
      </c>
      <c r="G46" s="85" t="str">
        <f ca="1">'Translation Table'!$H987</f>
        <v>No-Leak</v>
      </c>
      <c r="H46" s="85" t="str">
        <f ca="1">'Translation Table'!$H988</f>
        <v xml:space="preserve">Leak </v>
      </c>
      <c r="I46" s="85" t="str">
        <f ca="1">'Translation Table'!$H989</f>
        <v>Uncontrolled</v>
      </c>
      <c r="J46" s="85" t="str">
        <f ca="1">'Translation Table'!$H990</f>
        <v>Control</v>
      </c>
      <c r="K46" s="1081" t="str">
        <f ca="1">'Translation Table'!H991</f>
        <v>Controlled</v>
      </c>
      <c r="L46" s="1081"/>
      <c r="M46" s="1081"/>
      <c r="N46" s="66"/>
      <c r="O46" s="63" t="str">
        <f ca="1">'Translation Table'!H889</f>
        <v>Applied Leak</v>
      </c>
      <c r="P46" s="63" t="str">
        <f ca="1">'Translation Table'!H890</f>
        <v>Actual Leak</v>
      </c>
      <c r="Q46" s="1077" t="str">
        <f ca="1">'Translation Table'!H993</f>
        <v xml:space="preserve">Equipment Modification </v>
      </c>
      <c r="R46" s="1078"/>
      <c r="S46" s="1079"/>
    </row>
    <row r="47" spans="1:22" ht="15.5" x14ac:dyDescent="0.35">
      <c r="B47" s="1080"/>
      <c r="C47" s="1080"/>
      <c r="D47" s="85" t="str">
        <f ca="1">'Translation Table'!$H994</f>
        <v>Frequency</v>
      </c>
      <c r="E47" s="85" t="str">
        <f ca="1">'Translation Table'!$H995</f>
        <v>(kg/h/source)</v>
      </c>
      <c r="F47" s="85" t="str">
        <f ca="1">'Translation Table'!$H996</f>
        <v>(kg/h/source)</v>
      </c>
      <c r="G47" s="85" t="str">
        <f ca="1">'Translation Table'!$H997</f>
        <v>(kg/h/source)</v>
      </c>
      <c r="H47" s="85" t="str">
        <f ca="1">'Translation Table'!$H998</f>
        <v>Frequency</v>
      </c>
      <c r="I47" s="85" t="str">
        <f ca="1">'Translation Table'!$H999</f>
        <v>Emission Factor</v>
      </c>
      <c r="J47" s="85" t="str">
        <f ca="1">'Translation Table'!$H1000</f>
        <v>Adjustment</v>
      </c>
      <c r="K47" s="1081" t="str">
        <f ca="1">'Translation Table'!H1001</f>
        <v>Emission Factor</v>
      </c>
      <c r="L47" s="1081"/>
      <c r="M47" s="1081"/>
      <c r="N47" s="66"/>
      <c r="O47" s="63" t="str">
        <f ca="1">'Translation Table'!H1002</f>
        <v>Frequency</v>
      </c>
      <c r="P47" s="63" t="str">
        <f ca="1">'Translation Table'!H1002</f>
        <v>Frequency</v>
      </c>
      <c r="Q47" s="217" t="str">
        <f ca="1">'Translation Table'!H1003</f>
        <v>Modification</v>
      </c>
      <c r="R47" s="63" t="str">
        <f ca="1">'Translation Table'!H1004</f>
        <v xml:space="preserve">Percent of </v>
      </c>
      <c r="S47" s="63" t="str">
        <f ca="1">'Translation Table'!H1005</f>
        <v>Control Factor</v>
      </c>
    </row>
    <row r="48" spans="1:22" ht="15.5" x14ac:dyDescent="0.35">
      <c r="B48" s="1080"/>
      <c r="C48" s="1080"/>
      <c r="D48" s="241" t="str">
        <f ca="1">'Translation Table'!H1006</f>
        <v>(%)</v>
      </c>
      <c r="E48" s="241"/>
      <c r="F48" s="241"/>
      <c r="G48" s="241"/>
      <c r="H48" s="241" t="str">
        <f ca="1">'Translation Table'!H1007</f>
        <v>(%)</v>
      </c>
      <c r="I48" s="241" t="str">
        <f ca="1">'Translation Table'!H1008</f>
        <v>(kg/h/source)</v>
      </c>
      <c r="J48" s="241" t="str">
        <f ca="1">'Translation Table'!H1009</f>
        <v>(%)</v>
      </c>
      <c r="K48" s="241" t="str">
        <f ca="1">'Translation Table'!H1010</f>
        <v>(kg/h/source)</v>
      </c>
      <c r="L48" s="241" t="str">
        <f ca="1">'Translation Table'!H1011</f>
        <v>(Nm3/h/source)</v>
      </c>
      <c r="M48" s="241" t="str">
        <f ca="1">'Translation Table'!H1012</f>
        <v>(Nm3 CH4/h/source)</v>
      </c>
      <c r="N48" s="66"/>
      <c r="O48" s="63" t="str">
        <f ca="1">'Translation Table'!H1013</f>
        <v>(%)</v>
      </c>
      <c r="P48" s="63" t="str">
        <f ca="1">'Translation Table'!H1013</f>
        <v>(%)</v>
      </c>
      <c r="Q48" s="63"/>
      <c r="R48" s="63" t="str">
        <f ca="1">'Translation Table'!H1014</f>
        <v>Components Controlled</v>
      </c>
      <c r="S48" s="63" t="str">
        <f ca="1">'Translation Table'!H1015</f>
        <v>(%)</v>
      </c>
    </row>
    <row r="49" spans="2:22" ht="70" x14ac:dyDescent="0.3">
      <c r="B49" s="86" t="str">
        <f ca="1">'Translation Table'!H1025</f>
        <v>Calculation Method</v>
      </c>
      <c r="C49" s="86"/>
      <c r="D49" s="244" t="str">
        <f ca="1">'Translation Table'!H1016</f>
        <v>Calculated (use as default)</v>
      </c>
      <c r="E49" s="244"/>
      <c r="F49" s="244"/>
      <c r="G49" s="244"/>
      <c r="H49" s="241"/>
      <c r="I49" s="244" t="str">
        <f ca="1">'Translation Table'!H1017</f>
        <v>Calculated based on Leak, No-Leak factors and adjustable leak frequency</v>
      </c>
      <c r="J49" s="241"/>
      <c r="K49" s="244" t="str">
        <f ca="1">'Translation Table'!H1018</f>
        <v>Calculated based on uncontrolled factors and adjustable control factor</v>
      </c>
      <c r="L49" s="244" t="str">
        <f ca="1">'Translation Table'!H1019</f>
        <v>Calculated based on uncontrolled factors and adjustable control factor</v>
      </c>
      <c r="M49" s="244" t="str">
        <f ca="1">'Translation Table'!H1020</f>
        <v>Calculated based on uncontrolled factors and adjustable control factor</v>
      </c>
      <c r="N49" s="69"/>
      <c r="O49" s="67"/>
      <c r="P49" s="67" t="str">
        <f ca="1">'Translation Table'!H1021</f>
        <v>Adjustable Input (Assume to be zero if not entered)</v>
      </c>
      <c r="Q49" s="67" t="str">
        <f ca="1">'Translation Table'!H1022</f>
        <v>Adjustable Input (Assume to be zero if not entered)</v>
      </c>
      <c r="R49" s="67" t="str">
        <f ca="1">'Translation Table'!H1023</f>
        <v>Adjustable Input (Assume to be zero if not entered)</v>
      </c>
      <c r="S49" s="67" t="str">
        <f ca="1">'Translation Table'!H1024</f>
        <v>Determined from Lookup Table</v>
      </c>
    </row>
    <row r="50" spans="2:22" x14ac:dyDescent="0.3">
      <c r="B50" s="81" t="str">
        <f ca="1">'Translation Table'!H1026</f>
        <v>Valves (All)</v>
      </c>
      <c r="C50" s="81" t="str">
        <f ca="1">'Translation Table'!H1027</f>
        <v>Gas</v>
      </c>
      <c r="D50" s="82" t="str">
        <f>IF(OR($E50="N/A",$F50="N/A",$G50="N/A"),"N/A",IF($F50-$G50&gt;0,($E50-$G50)/($F50-$G50),"N/A"))</f>
        <v>N/A</v>
      </c>
      <c r="E50" s="83" t="str">
        <f t="shared" ref="E50:E57" si="7">IF(OR(F50="N/A",G50="N/A"),"N/A",D50*F50+(1-D50)*G50)</f>
        <v>N/A</v>
      </c>
      <c r="F50" s="88" t="s">
        <v>2754</v>
      </c>
      <c r="G50" s="88" t="s">
        <v>2754</v>
      </c>
      <c r="H50" s="82" t="str">
        <f t="shared" ref="H50:H59" si="8">O50</f>
        <v>N/A</v>
      </c>
      <c r="I50" s="83" t="str">
        <f t="shared" ref="I50:I82" si="9">IF(OR($E50="N/A",$F50="N/A",$G50="N/A"),"N/A",H50*F50+(1-H50)*G50)</f>
        <v>N/A</v>
      </c>
      <c r="J50" s="84" t="str">
        <f t="shared" ref="J50:J82" si="10">IF(OR(I50="N/A",S50="N/A"),"N/A",R50*(1-S50)+(1-R50))</f>
        <v>N/A</v>
      </c>
      <c r="K50" s="83" t="str">
        <f t="shared" ref="K50:K82" si="11">IF(OR(I50="N/A",J50="N/A"),"N/A",J50*I50)</f>
        <v>N/A</v>
      </c>
      <c r="L50" s="83" t="str">
        <f t="shared" ref="L50:L82" si="12">IF(OR(I50="N/A",J50="N/A"),"N/A",K50/IF(C50=Gas,ProcessGas_M,Vapor_M)*Vstp)</f>
        <v>N/A</v>
      </c>
      <c r="M50" s="83" t="str">
        <f t="shared" ref="M50:M82" si="13">IF(K50="N/A","N/A",L50*IF(OR(C50=Gas,C50=All),ProcessGas_CH4,Vapor_CH4))</f>
        <v>N/A</v>
      </c>
      <c r="N50" s="65"/>
      <c r="O50" s="549" t="str">
        <f>IF(ISBLANK('Setup - Facility Details'!$C$35),P50,0)</f>
        <v>N/A</v>
      </c>
      <c r="P50" s="90" t="s">
        <v>2754</v>
      </c>
      <c r="Q50" s="73"/>
      <c r="R50" s="90" t="s">
        <v>2754</v>
      </c>
      <c r="S50" s="90" t="s">
        <v>2754</v>
      </c>
      <c r="T50" s="325" t="s">
        <v>1365</v>
      </c>
      <c r="V50" s="325">
        <v>1</v>
      </c>
    </row>
    <row r="51" spans="2:22" x14ac:dyDescent="0.3">
      <c r="B51" s="48" t="str">
        <f ca="1">'Translation Table'!H1026</f>
        <v>Valves (All)</v>
      </c>
      <c r="C51" s="48" t="str">
        <f ca="1">'Translation Table'!H1028</f>
        <v>Light Liquid</v>
      </c>
      <c r="D51" s="70" t="str">
        <f>IF(OR($E51="N/A",$F51="N/A",$G51="N/A"),"N/A",IF($F51-$G51&gt;0,($E51-$G51)/($F51-$G51),"N/A"))</f>
        <v>N/A</v>
      </c>
      <c r="E51" s="71" t="str">
        <f t="shared" si="7"/>
        <v>N/A</v>
      </c>
      <c r="F51" s="75" t="s">
        <v>2754</v>
      </c>
      <c r="G51" s="75" t="s">
        <v>2754</v>
      </c>
      <c r="H51" s="70" t="str">
        <f t="shared" si="8"/>
        <v>N/A</v>
      </c>
      <c r="I51" s="71" t="str">
        <f t="shared" si="9"/>
        <v>N/A</v>
      </c>
      <c r="J51" s="72" t="str">
        <f t="shared" si="10"/>
        <v>N/A</v>
      </c>
      <c r="K51" s="71" t="str">
        <f t="shared" si="11"/>
        <v>N/A</v>
      </c>
      <c r="L51" s="71" t="str">
        <f t="shared" si="12"/>
        <v>N/A</v>
      </c>
      <c r="M51" s="71" t="str">
        <f t="shared" si="13"/>
        <v>N/A</v>
      </c>
      <c r="N51" s="65"/>
      <c r="O51" s="550" t="str">
        <f>IF(ISBLANK('Setup - Facility Details'!$C$35),P51,0)</f>
        <v>N/A</v>
      </c>
      <c r="P51" s="76" t="s">
        <v>2754</v>
      </c>
      <c r="Q51" s="73"/>
      <c r="R51" s="76" t="s">
        <v>2754</v>
      </c>
      <c r="S51" s="76" t="s">
        <v>2754</v>
      </c>
      <c r="T51" s="325" t="s">
        <v>1365</v>
      </c>
      <c r="V51" s="325">
        <v>1</v>
      </c>
    </row>
    <row r="52" spans="2:22" x14ac:dyDescent="0.3">
      <c r="B52" s="81" t="str">
        <f ca="1">'Translation Table'!H1026</f>
        <v>Valves (All)</v>
      </c>
      <c r="C52" s="81" t="str">
        <f ca="1">'Translation Table'!H1029</f>
        <v>Heavy Liquid</v>
      </c>
      <c r="D52" s="82" t="str">
        <f>IF(OR($E52="N/A",$F52="N/A",$G52="N/A"),"N/A",IF($F52-$G52&gt;0,($E52-$G52)/($F52-$G52),"N/A"))</f>
        <v>N/A</v>
      </c>
      <c r="E52" s="83" t="str">
        <f t="shared" si="7"/>
        <v>N/A</v>
      </c>
      <c r="F52" s="88" t="s">
        <v>2754</v>
      </c>
      <c r="G52" s="88" t="s">
        <v>2754</v>
      </c>
      <c r="H52" s="82" t="str">
        <f t="shared" si="8"/>
        <v>N/A</v>
      </c>
      <c r="I52" s="83" t="str">
        <f t="shared" si="9"/>
        <v>N/A</v>
      </c>
      <c r="J52" s="84" t="str">
        <f t="shared" si="10"/>
        <v>N/A</v>
      </c>
      <c r="K52" s="83" t="str">
        <f t="shared" si="11"/>
        <v>N/A</v>
      </c>
      <c r="L52" s="83" t="str">
        <f t="shared" si="12"/>
        <v>N/A</v>
      </c>
      <c r="M52" s="83" t="str">
        <f t="shared" si="13"/>
        <v>N/A</v>
      </c>
      <c r="N52" s="65"/>
      <c r="O52" s="549" t="str">
        <f>IF(ISBLANK('Setup - Facility Details'!$C$35),P52,0)</f>
        <v>N/A</v>
      </c>
      <c r="P52" s="90" t="s">
        <v>2754</v>
      </c>
      <c r="Q52" s="73"/>
      <c r="R52" s="90" t="s">
        <v>2754</v>
      </c>
      <c r="S52" s="90" t="s">
        <v>2754</v>
      </c>
      <c r="T52" s="325" t="s">
        <v>1365</v>
      </c>
      <c r="V52" s="325">
        <v>1</v>
      </c>
    </row>
    <row r="53" spans="2:22" x14ac:dyDescent="0.3">
      <c r="B53" s="48" t="str">
        <f ca="1">'Translation Table'!H1030</f>
        <v>Valves (Block)</v>
      </c>
      <c r="C53" s="48" t="str">
        <f ca="1">'Translation Table'!H1031</f>
        <v>Gas</v>
      </c>
      <c r="D53" s="242">
        <v>2.7699999999999999E-2</v>
      </c>
      <c r="E53" s="71">
        <f t="shared" si="7"/>
        <v>4.1279643599999999E-3</v>
      </c>
      <c r="F53" s="243">
        <v>0.1275</v>
      </c>
      <c r="G53" s="243">
        <v>6.1320000000000005E-4</v>
      </c>
      <c r="H53" s="70">
        <f t="shared" si="8"/>
        <v>2.7699999999999999E-2</v>
      </c>
      <c r="I53" s="71">
        <f t="shared" si="9"/>
        <v>4.1279643599999999E-3</v>
      </c>
      <c r="J53" s="72">
        <f t="shared" si="10"/>
        <v>1</v>
      </c>
      <c r="K53" s="71">
        <f t="shared" si="11"/>
        <v>4.1279643599999999E-3</v>
      </c>
      <c r="L53" s="71">
        <f t="shared" ca="1" si="12"/>
        <v>5.2403941997502873E-3</v>
      </c>
      <c r="M53" s="71">
        <f t="shared" ca="1" si="13"/>
        <v>4.5591429537827502E-3</v>
      </c>
      <c r="N53" s="65"/>
      <c r="O53" s="550">
        <f>IF(ISBLANK('Setup - Facility Details'!$C$35),P53,0)</f>
        <v>2.7699999999999999E-2</v>
      </c>
      <c r="P53" s="218">
        <v>2.7699999999999999E-2</v>
      </c>
      <c r="Q53" s="73"/>
      <c r="R53" s="218">
        <v>0</v>
      </c>
      <c r="S53" s="74" cm="1">
        <f t="array" ref="S53">INDEX(ValidValveCF_V,V53)/100</f>
        <v>0</v>
      </c>
      <c r="T53" s="325" t="s">
        <v>1365</v>
      </c>
      <c r="V53" s="325">
        <v>1</v>
      </c>
    </row>
    <row r="54" spans="2:22" x14ac:dyDescent="0.3">
      <c r="B54" s="81" t="str">
        <f ca="1">'Translation Table'!H1032</f>
        <v>Valves (Control)</v>
      </c>
      <c r="C54" s="81" t="str">
        <f ca="1">'Translation Table'!H1033</f>
        <v>Gas</v>
      </c>
      <c r="D54" s="82">
        <v>8.9499999999999996E-2</v>
      </c>
      <c r="E54" s="83">
        <f t="shared" si="7"/>
        <v>1.6503104999999997E-2</v>
      </c>
      <c r="F54" s="88">
        <v>8.2049999999999998E-2</v>
      </c>
      <c r="G54" s="88">
        <v>1.0059999999999999E-2</v>
      </c>
      <c r="H54" s="82">
        <f t="shared" si="8"/>
        <v>8.9499999999999996E-2</v>
      </c>
      <c r="I54" s="83">
        <f t="shared" si="9"/>
        <v>1.6503104999999997E-2</v>
      </c>
      <c r="J54" s="84">
        <f t="shared" si="10"/>
        <v>1</v>
      </c>
      <c r="K54" s="83">
        <f t="shared" si="11"/>
        <v>1.6503104999999997E-2</v>
      </c>
      <c r="L54" s="83">
        <f t="shared" ca="1" si="12"/>
        <v>2.0950465696334152E-2</v>
      </c>
      <c r="M54" s="83">
        <f t="shared" ca="1" si="13"/>
        <v>1.8226905155810713E-2</v>
      </c>
      <c r="N54" s="65"/>
      <c r="O54" s="549">
        <f>IF(ISBLANK('Setup - Facility Details'!$C$35),P54,0)</f>
        <v>8.9499999999999996E-2</v>
      </c>
      <c r="P54" s="218">
        <v>8.9499999999999996E-2</v>
      </c>
      <c r="Q54" s="73"/>
      <c r="R54" s="218">
        <v>0</v>
      </c>
      <c r="S54" s="89" cm="1">
        <f t="array" ref="S54">INDEX(ValidValveCF_V,V54)/100</f>
        <v>0</v>
      </c>
      <c r="T54" s="325" t="s">
        <v>1365</v>
      </c>
      <c r="V54" s="325">
        <v>1</v>
      </c>
    </row>
    <row r="55" spans="2:22" x14ac:dyDescent="0.3">
      <c r="B55" s="48" t="str">
        <f ca="1">'Translation Table'!H1034</f>
        <v>Pump Seals</v>
      </c>
      <c r="C55" s="48" t="str">
        <f ca="1">'Translation Table'!H1035</f>
        <v>Light Liquid</v>
      </c>
      <c r="D55" s="242">
        <v>0</v>
      </c>
      <c r="E55" s="71">
        <f t="shared" si="7"/>
        <v>6.1320000000000005E-4</v>
      </c>
      <c r="F55" s="243">
        <v>6.1320000000000005E-4</v>
      </c>
      <c r="G55" s="243">
        <v>6.1320000000000005E-4</v>
      </c>
      <c r="H55" s="70">
        <f t="shared" si="8"/>
        <v>0</v>
      </c>
      <c r="I55" s="71">
        <f t="shared" si="9"/>
        <v>6.1320000000000005E-4</v>
      </c>
      <c r="J55" s="72">
        <f t="shared" si="10"/>
        <v>1</v>
      </c>
      <c r="K55" s="71">
        <f t="shared" si="11"/>
        <v>6.1320000000000005E-4</v>
      </c>
      <c r="L55" s="71">
        <f t="shared" ca="1" si="12"/>
        <v>6.2997600446296892E-4</v>
      </c>
      <c r="M55" s="71">
        <f t="shared" ca="1" si="13"/>
        <v>3.9688488281167041E-4</v>
      </c>
      <c r="N55" s="65"/>
      <c r="O55" s="550">
        <f>IF(ISBLANK('Setup - Facility Details'!$C$35),P55,0)</f>
        <v>0</v>
      </c>
      <c r="P55" s="218">
        <v>0</v>
      </c>
      <c r="Q55" s="73"/>
      <c r="R55" s="218">
        <v>0</v>
      </c>
      <c r="S55" s="74" cm="1">
        <f t="array" ref="S55">INDEX(ValidPumpCF_V,V55)/100</f>
        <v>0</v>
      </c>
      <c r="T55" s="325" t="s">
        <v>1366</v>
      </c>
      <c r="V55" s="325">
        <v>3</v>
      </c>
    </row>
    <row r="56" spans="2:22" x14ac:dyDescent="0.3">
      <c r="B56" s="81" t="str">
        <f ca="1">'Translation Table'!H1034</f>
        <v>Pump Seals</v>
      </c>
      <c r="C56" s="81" t="str">
        <f ca="1">'Translation Table'!H1036</f>
        <v>Heavy Liquid</v>
      </c>
      <c r="D56" s="82" t="str">
        <f>IF(OR($E56="N/A",$F56="N/A",$G56="N/A"),"N/A",IF($F56-$G56&gt;0,($E56-$G56)/($F56-$G56),"N/A"))</f>
        <v>N/A</v>
      </c>
      <c r="E56" s="83" t="str">
        <f t="shared" si="7"/>
        <v>N/A</v>
      </c>
      <c r="F56" s="88" t="s">
        <v>2754</v>
      </c>
      <c r="G56" s="88" t="s">
        <v>2754</v>
      </c>
      <c r="H56" s="82" t="str">
        <f t="shared" si="8"/>
        <v>N/A</v>
      </c>
      <c r="I56" s="83" t="str">
        <f t="shared" si="9"/>
        <v>N/A</v>
      </c>
      <c r="J56" s="84" t="str">
        <f t="shared" si="10"/>
        <v>N/A</v>
      </c>
      <c r="K56" s="83" t="str">
        <f t="shared" si="11"/>
        <v>N/A</v>
      </c>
      <c r="L56" s="83" t="str">
        <f t="shared" si="12"/>
        <v>N/A</v>
      </c>
      <c r="M56" s="83" t="str">
        <f t="shared" si="13"/>
        <v>N/A</v>
      </c>
      <c r="N56" s="65"/>
      <c r="O56" s="549" t="str">
        <f>IF(ISBLANK('Setup - Facility Details'!$C$35),P56,0)</f>
        <v>N/A</v>
      </c>
      <c r="P56" s="90" t="s">
        <v>2754</v>
      </c>
      <c r="Q56" s="73"/>
      <c r="R56" s="90" t="s">
        <v>2754</v>
      </c>
      <c r="S56" s="90" t="s">
        <v>2754</v>
      </c>
      <c r="T56" s="325" t="s">
        <v>1366</v>
      </c>
      <c r="V56" s="325">
        <v>3</v>
      </c>
    </row>
    <row r="57" spans="2:22" x14ac:dyDescent="0.3">
      <c r="B57" s="48" t="str">
        <f ca="1">'Translation Table'!H1037</f>
        <v xml:space="preserve">Compressor Seals (Reciprocating - Operating) </v>
      </c>
      <c r="C57" s="48" t="str">
        <f ca="1">'Translation Table'!H1038</f>
        <v>Gas</v>
      </c>
      <c r="D57" s="242">
        <v>0.67</v>
      </c>
      <c r="E57" s="71">
        <f t="shared" si="7"/>
        <v>1.7917648000000002</v>
      </c>
      <c r="F57" s="243">
        <v>2.6739999999999999</v>
      </c>
      <c r="G57" s="243">
        <v>5.5999999999999995E-4</v>
      </c>
      <c r="H57" s="70">
        <f t="shared" si="8"/>
        <v>0.67</v>
      </c>
      <c r="I57" s="71">
        <f t="shared" si="9"/>
        <v>1.7917648000000002</v>
      </c>
      <c r="J57" s="72">
        <f t="shared" si="10"/>
        <v>1</v>
      </c>
      <c r="K57" s="71">
        <f t="shared" si="11"/>
        <v>1.7917648000000002</v>
      </c>
      <c r="L57" s="71">
        <f t="shared" ca="1" si="12"/>
        <v>2.2746208654855575</v>
      </c>
      <c r="M57" s="71">
        <f t="shared" ca="1" si="13"/>
        <v>1.978920152972435</v>
      </c>
      <c r="N57" s="65"/>
      <c r="O57" s="550">
        <f>IF(ISBLANK('Setup - Facility Details'!$C$36),P57,0)</f>
        <v>0.67</v>
      </c>
      <c r="P57" s="218">
        <v>0.67</v>
      </c>
      <c r="Q57" s="73"/>
      <c r="R57" s="218">
        <v>0</v>
      </c>
      <c r="S57" s="74" cm="1">
        <f t="array" ref="S57">INDEX(ValidCompSealCF_V,V57)/100</f>
        <v>0</v>
      </c>
      <c r="T57" s="325" t="s">
        <v>1367</v>
      </c>
      <c r="V57" s="325">
        <v>3</v>
      </c>
    </row>
    <row r="58" spans="2:22" x14ac:dyDescent="0.3">
      <c r="B58" s="81" t="str">
        <f ca="1">'Translation Table'!H1039</f>
        <v>Compressor Seals (Reciprocating - Standby &amp; Pressurized)</v>
      </c>
      <c r="C58" s="81" t="str">
        <f ca="1">'Translation Table'!H1040</f>
        <v>Gas</v>
      </c>
      <c r="D58" s="82">
        <v>0.67</v>
      </c>
      <c r="E58" s="83">
        <f>IF(OR(F58="N/A",G58="N/A"),"N/A",D58*F58+(1-D58)*G58)</f>
        <v>1.7917648000000002</v>
      </c>
      <c r="F58" s="88">
        <v>2.6739999999999999</v>
      </c>
      <c r="G58" s="88">
        <v>5.5999999999999995E-4</v>
      </c>
      <c r="H58" s="82">
        <f>O58</f>
        <v>1</v>
      </c>
      <c r="I58" s="83">
        <f>IF(OR($E58="N/A",$F58="N/A",$G58="N/A"),"N/A",H58*F58+(1-H58)*G58)</f>
        <v>2.6739999999999999</v>
      </c>
      <c r="J58" s="84">
        <f>IF(OR(I58="N/A",S58="N/A"),"N/A",R58*(1-S58)+(1-R58))</f>
        <v>1</v>
      </c>
      <c r="K58" s="83">
        <f>IF(OR(I58="N/A",J58="N/A"),"N/A",J58*I58)</f>
        <v>2.6739999999999999</v>
      </c>
      <c r="L58" s="83">
        <f ca="1">IF(OR(I58="N/A",J58="N/A"),"N/A",K58/IF(C58=Gas,ProcessGas_M,Vapor_M)*Vstp)</f>
        <v>3.3946063648021099</v>
      </c>
      <c r="M58" s="83">
        <f ca="1">IF(K58="N/A","N/A",L58*IF(OR(C58=Gas,C58=All),ProcessGas_CH4,Vapor_CH4))</f>
        <v>2.9533075373778357</v>
      </c>
      <c r="N58" s="65"/>
      <c r="O58" s="549">
        <f>IF(ISBLANK('Setup - Facility Details'!$C$36),P58,0)</f>
        <v>1</v>
      </c>
      <c r="P58" s="546">
        <v>1</v>
      </c>
      <c r="Q58" s="73"/>
      <c r="R58" s="546">
        <v>0</v>
      </c>
      <c r="S58" s="90" cm="1">
        <f t="array" ref="S58">INDEX(ValidCompSealCF_V,V58)/100</f>
        <v>0</v>
      </c>
      <c r="T58" s="325" t="s">
        <v>1367</v>
      </c>
      <c r="V58" s="325">
        <v>3</v>
      </c>
    </row>
    <row r="59" spans="2:22" x14ac:dyDescent="0.3">
      <c r="B59" s="48" t="str">
        <f ca="1">'Translation Table'!H1041</f>
        <v>Compressor Seals (Reciprocating - Depressurized)</v>
      </c>
      <c r="C59" s="48" t="str">
        <f ca="1">'Translation Table'!H1042</f>
        <v>Gas</v>
      </c>
      <c r="D59" s="70" t="str">
        <f>IF(OR($E59="N/A",$F59="N/A",$G59="N/A"),"N/A",IF($F59-$G59&gt;0,($E59-$G59)/($F59-$G59),"N/A"))</f>
        <v>N/A</v>
      </c>
      <c r="E59" s="71">
        <v>0</v>
      </c>
      <c r="F59" s="71">
        <v>0</v>
      </c>
      <c r="G59" s="71">
        <v>0</v>
      </c>
      <c r="H59" s="70">
        <f t="shared" si="8"/>
        <v>1</v>
      </c>
      <c r="I59" s="71">
        <f t="shared" si="9"/>
        <v>0</v>
      </c>
      <c r="J59" s="72">
        <f t="shared" si="10"/>
        <v>1</v>
      </c>
      <c r="K59" s="71">
        <f t="shared" si="11"/>
        <v>0</v>
      </c>
      <c r="L59" s="71">
        <f t="shared" ca="1" si="12"/>
        <v>0</v>
      </c>
      <c r="M59" s="71">
        <f t="shared" ca="1" si="13"/>
        <v>0</v>
      </c>
      <c r="N59" s="65"/>
      <c r="O59" s="550">
        <f>IF(ISBLANK('Setup - Facility Details'!$C$36),P59,0)</f>
        <v>1</v>
      </c>
      <c r="P59" s="546">
        <v>1</v>
      </c>
      <c r="Q59" s="73"/>
      <c r="R59" s="546">
        <v>0</v>
      </c>
      <c r="S59" s="76" cm="1">
        <f t="array" ref="S59">INDEX(ValidCompSealCF_V,V59)/100</f>
        <v>0</v>
      </c>
      <c r="T59" s="325" t="s">
        <v>1367</v>
      </c>
      <c r="V59" s="325">
        <v>3</v>
      </c>
    </row>
    <row r="60" spans="2:22" x14ac:dyDescent="0.3">
      <c r="B60" s="81" t="str">
        <f ca="1">'Translation Table'!H1043</f>
        <v>Compressor Wet Seals (Centrifugal - Operating)</v>
      </c>
      <c r="C60" s="81" t="str">
        <f ca="1">'Translation Table'!H1044</f>
        <v>Gas</v>
      </c>
      <c r="D60" s="82">
        <v>0.66</v>
      </c>
      <c r="E60" s="83">
        <v>32.340000000000003</v>
      </c>
      <c r="F60" s="88">
        <v>32.340000000000003</v>
      </c>
      <c r="G60" s="88">
        <v>0</v>
      </c>
      <c r="H60" s="82">
        <f>O60</f>
        <v>1</v>
      </c>
      <c r="I60" s="83">
        <f t="shared" si="9"/>
        <v>32.340000000000003</v>
      </c>
      <c r="J60" s="84">
        <f t="shared" si="10"/>
        <v>1</v>
      </c>
      <c r="K60" s="83">
        <f t="shared" si="11"/>
        <v>32.340000000000003</v>
      </c>
      <c r="L60" s="83">
        <f t="shared" ca="1" si="12"/>
        <v>41.055186925093594</v>
      </c>
      <c r="M60" s="83">
        <f t="shared" ca="1" si="13"/>
        <v>35.718012624831424</v>
      </c>
      <c r="N60" s="65"/>
      <c r="O60" s="549">
        <f>IF(ISBLANK('Setup - Facility Details'!$C$36),P60,0)</f>
        <v>1</v>
      </c>
      <c r="P60" s="218">
        <v>1</v>
      </c>
      <c r="Q60" s="73"/>
      <c r="R60" s="218">
        <v>0</v>
      </c>
      <c r="S60" s="90" cm="1">
        <f t="array" ref="S60">INDEX(ValidCompSealCF_V,V60)/100</f>
        <v>0</v>
      </c>
      <c r="T60" s="325" t="s">
        <v>1367</v>
      </c>
      <c r="V60" s="325">
        <v>3</v>
      </c>
    </row>
    <row r="61" spans="2:22" x14ac:dyDescent="0.3">
      <c r="B61" s="48" t="str">
        <f ca="1">'Translation Table'!H1045</f>
        <v>Compressor Wet Seals (Centrifugal - Standby &amp; Pressurized)</v>
      </c>
      <c r="C61" s="48" t="str">
        <f ca="1">'Translation Table'!H1046</f>
        <v>Gas</v>
      </c>
      <c r="D61" s="70" t="str">
        <f>IF(OR($E61="N/A",$F61="N/A",$G61="N/A"),"N/A",IF($F61-$G61&gt;0,($E61-$G61)/($F61-$G61),"N/A"))</f>
        <v>N/A</v>
      </c>
      <c r="E61" s="71">
        <v>0</v>
      </c>
      <c r="F61" s="71">
        <v>0</v>
      </c>
      <c r="G61" s="71">
        <v>0</v>
      </c>
      <c r="H61" s="70">
        <f t="shared" ref="H61:H82" si="14">O61</f>
        <v>1</v>
      </c>
      <c r="I61" s="71">
        <f t="shared" si="9"/>
        <v>0</v>
      </c>
      <c r="J61" s="72">
        <f t="shared" si="10"/>
        <v>1</v>
      </c>
      <c r="K61" s="71">
        <f t="shared" si="11"/>
        <v>0</v>
      </c>
      <c r="L61" s="71">
        <f t="shared" ca="1" si="12"/>
        <v>0</v>
      </c>
      <c r="M61" s="71">
        <f t="shared" ca="1" si="13"/>
        <v>0</v>
      </c>
      <c r="N61" s="65"/>
      <c r="O61" s="550">
        <f>IF(ISBLANK('Setup - Facility Details'!$C$36),P61,0)</f>
        <v>1</v>
      </c>
      <c r="P61" s="546">
        <v>1</v>
      </c>
      <c r="Q61" s="73"/>
      <c r="R61" s="546">
        <v>0</v>
      </c>
      <c r="S61" s="76" cm="1">
        <f t="array" ref="S61">INDEX(ValidCompSealCF_V,V61)/100</f>
        <v>0</v>
      </c>
      <c r="T61" s="325" t="s">
        <v>1367</v>
      </c>
      <c r="V61" s="325">
        <v>3</v>
      </c>
    </row>
    <row r="62" spans="2:22" x14ac:dyDescent="0.3">
      <c r="B62" s="81" t="str">
        <f ca="1">'Translation Table'!H1047</f>
        <v>Compressor Wet Seals (Centrifugal - Depressurized)</v>
      </c>
      <c r="C62" s="81" t="str">
        <f ca="1">'Translation Table'!H1051</f>
        <v>Gas</v>
      </c>
      <c r="D62" s="82" t="str">
        <f>IF(OR($E62="N/A",$F62="N/A",$G62="N/A"),"N/A",IF($F62-$G62&gt;0,($E62-$G62)/($F62-$G62),"N/A"))</f>
        <v>N/A</v>
      </c>
      <c r="E62" s="83">
        <v>0</v>
      </c>
      <c r="F62" s="83">
        <v>0</v>
      </c>
      <c r="G62" s="83">
        <v>0</v>
      </c>
      <c r="H62" s="82">
        <f t="shared" si="14"/>
        <v>1</v>
      </c>
      <c r="I62" s="83">
        <f t="shared" si="9"/>
        <v>0</v>
      </c>
      <c r="J62" s="84">
        <f t="shared" si="10"/>
        <v>1</v>
      </c>
      <c r="K62" s="83">
        <f t="shared" si="11"/>
        <v>0</v>
      </c>
      <c r="L62" s="83">
        <f t="shared" ca="1" si="12"/>
        <v>0</v>
      </c>
      <c r="M62" s="83">
        <f t="shared" ca="1" si="13"/>
        <v>0</v>
      </c>
      <c r="N62" s="65"/>
      <c r="O62" s="549">
        <f>IF(ISBLANK('Setup - Facility Details'!$C$36),P62,0)</f>
        <v>1</v>
      </c>
      <c r="P62" s="546">
        <v>1</v>
      </c>
      <c r="Q62" s="73"/>
      <c r="R62" s="546">
        <v>0</v>
      </c>
      <c r="S62" s="90" cm="1">
        <f t="array" ref="S62">INDEX(ValidCompSealCF_V,V62)/100</f>
        <v>0</v>
      </c>
      <c r="T62" s="325" t="s">
        <v>1367</v>
      </c>
      <c r="V62" s="325">
        <v>3</v>
      </c>
    </row>
    <row r="63" spans="2:22" x14ac:dyDescent="0.3">
      <c r="B63" s="48" t="str">
        <f ca="1">'Translation Table'!H1048</f>
        <v>Compressor Dry Seals (Centrifugal - Operating)</v>
      </c>
      <c r="C63" s="48" t="str">
        <f ca="1">'Translation Table'!H1051</f>
        <v>Gas</v>
      </c>
      <c r="D63" s="70">
        <v>0.66</v>
      </c>
      <c r="E63" s="71">
        <v>2.54</v>
      </c>
      <c r="F63" s="75">
        <v>2.2810000000000001</v>
      </c>
      <c r="G63" s="75">
        <v>7.5000000000000002E-6</v>
      </c>
      <c r="H63" s="70">
        <f>O63</f>
        <v>1</v>
      </c>
      <c r="I63" s="71">
        <f>IF(OR($E63="N/A",$F63="N/A",$G63="N/A"),"N/A",H63*F63+(1-H63)*G63)</f>
        <v>2.2810000000000001</v>
      </c>
      <c r="J63" s="72">
        <f>IF(OR(I63="N/A",S63="N/A"),"N/A",R63*(1-S63)+(1-R63))</f>
        <v>1</v>
      </c>
      <c r="K63" s="71">
        <f>IF(OR(I63="N/A",J63="N/A"),"N/A",J63*I63)</f>
        <v>2.2810000000000001</v>
      </c>
      <c r="L63" s="71">
        <f ca="1">IF(OR(I63="N/A",J63="N/A"),"N/A",K63/IF(C63=Gas,ProcessGas_M,Vapor_M)*Vstp)</f>
        <v>2.8956982491075594</v>
      </c>
      <c r="M63" s="71">
        <f ca="1">IF(K63="N/A","N/A",L63*IF(OR(C63=Gas,C63=All),ProcessGas_CH4,Vapor_CH4))</f>
        <v>2.5192574767235767</v>
      </c>
      <c r="N63" s="65"/>
      <c r="O63" s="550">
        <f>IF(ISBLANK('Setup - Facility Details'!$C$36),P63,0)</f>
        <v>1</v>
      </c>
      <c r="P63" s="218">
        <v>1</v>
      </c>
      <c r="Q63" s="73"/>
      <c r="R63" s="218">
        <v>0</v>
      </c>
      <c r="S63" s="74" cm="1">
        <f t="array" ref="S63">INDEX(ValidCompSealCF_V,V63)/100</f>
        <v>0</v>
      </c>
      <c r="T63" s="325" t="s">
        <v>1367</v>
      </c>
      <c r="V63" s="325">
        <v>3</v>
      </c>
    </row>
    <row r="64" spans="2:22" x14ac:dyDescent="0.3">
      <c r="B64" s="81" t="str">
        <f ca="1">'Translation Table'!H1049</f>
        <v>Compressor Dry Seals (Centrifugal - Standby &amp; Pressurized)</v>
      </c>
      <c r="C64" s="81" t="str">
        <f ca="1">'Translation Table'!H1051</f>
        <v>Gas</v>
      </c>
      <c r="D64" s="82">
        <f>IF(OR($E64="N/A",$F64="N/A",$G64="N/A"),"N/A",IF($F64-$G64&gt;0,($E64-$G64)/($F64-$G64),"N/A"))</f>
        <v>1</v>
      </c>
      <c r="E64" s="88">
        <v>2.54</v>
      </c>
      <c r="F64" s="88">
        <v>2.54</v>
      </c>
      <c r="G64" s="88">
        <v>0</v>
      </c>
      <c r="H64" s="82">
        <f>O64</f>
        <v>1</v>
      </c>
      <c r="I64" s="83">
        <f>IF(OR($E64="N/A",$F64="N/A",$G64="N/A"),"N/A",H64*F64+(1-H64)*G64)</f>
        <v>2.54</v>
      </c>
      <c r="J64" s="84">
        <f>IF(OR(I64="N/A",S64="N/A"),"N/A",R64*(1-S64)+(1-R64))</f>
        <v>1</v>
      </c>
      <c r="K64" s="83">
        <f>IF(OR(I64="N/A",J64="N/A"),"N/A",J64*I64)</f>
        <v>2.54</v>
      </c>
      <c r="L64" s="83">
        <f ca="1">IF(OR(I64="N/A",J64="N/A"),"N/A",K64/IF(C64=Gas,ProcessGas_M,Vapor_M)*Vstp)</f>
        <v>3.2244952006721612</v>
      </c>
      <c r="M64" s="83">
        <f ca="1">IF(K64="N/A","N/A",L64*IF(OR(C64=Gas,C64=All),ProcessGas_CH4,Vapor_CH4))</f>
        <v>2.8053108245847804</v>
      </c>
      <c r="N64" s="65"/>
      <c r="O64" s="549">
        <f>IF(ISBLANK('Setup - Facility Details'!$C$36),P64,0)</f>
        <v>1</v>
      </c>
      <c r="P64" s="546">
        <v>1</v>
      </c>
      <c r="Q64" s="73"/>
      <c r="R64" s="546">
        <v>0</v>
      </c>
      <c r="S64" s="90" cm="1">
        <f t="array" ref="S64">INDEX(ValidCompSealCF_V,V64)/100</f>
        <v>0</v>
      </c>
      <c r="T64" s="325" t="s">
        <v>1367</v>
      </c>
      <c r="V64" s="325">
        <v>3</v>
      </c>
    </row>
    <row r="65" spans="2:22" x14ac:dyDescent="0.3">
      <c r="B65" s="48" t="str">
        <f ca="1">'Translation Table'!H1050</f>
        <v>Compressor Dry Seals (Centrifugal - Depressurized)</v>
      </c>
      <c r="C65" s="48" t="str">
        <f ca="1">'Translation Table'!H1051</f>
        <v>Gas</v>
      </c>
      <c r="D65" s="70" t="str">
        <f>IF(OR($E65="N/A",$F65="N/A",$G65="N/A"),"N/A",IF($F65-$G65&gt;0,($E65-$G65)/($F65-$G65),"N/A"))</f>
        <v>N/A</v>
      </c>
      <c r="E65" s="71">
        <v>0</v>
      </c>
      <c r="F65" s="75">
        <v>0</v>
      </c>
      <c r="G65" s="75">
        <v>0</v>
      </c>
      <c r="H65" s="70">
        <f>O65</f>
        <v>1</v>
      </c>
      <c r="I65" s="71">
        <f>IF(OR($E65="N/A",$F65="N/A",$G65="N/A"),"N/A",H65*F65+(1-H65)*G65)</f>
        <v>0</v>
      </c>
      <c r="J65" s="72">
        <f>IF(OR(I65="N/A",S65="N/A"),"N/A",R65*(1-S65)+(1-R65))</f>
        <v>1</v>
      </c>
      <c r="K65" s="71">
        <f>IF(OR(I65="N/A",J65="N/A"),"N/A",J65*I65)</f>
        <v>0</v>
      </c>
      <c r="L65" s="71">
        <f ca="1">IF(OR(I65="N/A",J65="N/A"),"N/A",K65/IF(C65=Gas,ProcessGas_M,Vapor_M)*Vstp)</f>
        <v>0</v>
      </c>
      <c r="M65" s="71">
        <f ca="1">IF(K65="N/A","N/A",L65*IF(OR(C65=Gas,C65=All),ProcessGas_CH4,Vapor_CH4))</f>
        <v>0</v>
      </c>
      <c r="N65" s="65"/>
      <c r="O65" s="550">
        <f>IF(ISBLANK('Setup - Facility Details'!$C$36),P65,0)</f>
        <v>1</v>
      </c>
      <c r="P65" s="546">
        <v>1</v>
      </c>
      <c r="Q65" s="73"/>
      <c r="R65" s="546">
        <v>0</v>
      </c>
      <c r="S65" s="74" cm="1">
        <f t="array" ref="S65">INDEX(ValidCompSealCF_V,V65)/100</f>
        <v>0</v>
      </c>
      <c r="T65" s="325" t="s">
        <v>1367</v>
      </c>
      <c r="V65" s="325">
        <v>3</v>
      </c>
    </row>
    <row r="66" spans="2:22" x14ac:dyDescent="0.3">
      <c r="B66" s="81" t="str">
        <f ca="1">'Translation Table'!H1052</f>
        <v>Compressor (Reciprocating - Crankcase Vent)</v>
      </c>
      <c r="C66" s="81" t="str">
        <f ca="1">'Translation Table'!H1053</f>
        <v>Gas</v>
      </c>
      <c r="D66" s="82" t="str">
        <f>IF(OR($E66="N/A",$F66="N/A",$G66="N/A"),"N/A",IF($F66-$G66&gt;0,($E66-$G66)/($F66-$G66),"N/A"))</f>
        <v>N/A</v>
      </c>
      <c r="E66" s="83" t="str">
        <f t="shared" ref="E66:E82" si="15">IF(OR(F66="N/A",G66="N/A"),"N/A",D66*F66+(1-D66)*G66)</f>
        <v>N/A</v>
      </c>
      <c r="F66" s="88" t="s">
        <v>2754</v>
      </c>
      <c r="G66" s="88" t="s">
        <v>2754</v>
      </c>
      <c r="H66" s="82" t="str">
        <f t="shared" si="14"/>
        <v>N/A</v>
      </c>
      <c r="I66" s="83" t="str">
        <f t="shared" si="9"/>
        <v>N/A</v>
      </c>
      <c r="J66" s="84" t="str">
        <f t="shared" si="10"/>
        <v>N/A</v>
      </c>
      <c r="K66" s="83" t="str">
        <f t="shared" si="11"/>
        <v>N/A</v>
      </c>
      <c r="L66" s="83" t="str">
        <f t="shared" si="12"/>
        <v>N/A</v>
      </c>
      <c r="M66" s="83" t="str">
        <f t="shared" si="13"/>
        <v>N/A</v>
      </c>
      <c r="N66" s="65"/>
      <c r="O66" s="549" t="str">
        <f>IF(ISBLANK('Setup - Facility Details'!$C$35),P66,0)</f>
        <v>N/A</v>
      </c>
      <c r="P66" s="90" t="s">
        <v>2754</v>
      </c>
      <c r="Q66" s="73"/>
      <c r="R66" s="90" t="s">
        <v>2754</v>
      </c>
      <c r="S66" s="90" t="s">
        <v>2754</v>
      </c>
      <c r="T66" s="325" t="s">
        <v>1368</v>
      </c>
      <c r="V66" s="325">
        <v>2</v>
      </c>
    </row>
    <row r="67" spans="2:22" x14ac:dyDescent="0.3">
      <c r="B67" s="48" t="str">
        <f ca="1">'Translation Table'!H1054</f>
        <v>Pressure Relief Valves</v>
      </c>
      <c r="C67" s="48" t="str">
        <f ca="1">'Translation Table'!H1055</f>
        <v>Gas</v>
      </c>
      <c r="D67" s="242">
        <v>0.31209999999999999</v>
      </c>
      <c r="E67" s="71">
        <f t="shared" si="15"/>
        <v>0.16201931009000001</v>
      </c>
      <c r="F67" s="243">
        <v>0.51770000000000005</v>
      </c>
      <c r="G67" s="243">
        <v>6.4709999999999995E-4</v>
      </c>
      <c r="H67" s="70">
        <f t="shared" si="14"/>
        <v>0.31209999999999999</v>
      </c>
      <c r="I67" s="71">
        <f t="shared" si="9"/>
        <v>0.16201931009000001</v>
      </c>
      <c r="J67" s="72">
        <f t="shared" si="10"/>
        <v>1</v>
      </c>
      <c r="K67" s="71">
        <f t="shared" si="11"/>
        <v>0.16201931009000001</v>
      </c>
      <c r="L67" s="71">
        <f t="shared" ca="1" si="12"/>
        <v>0.20568129441000776</v>
      </c>
      <c r="M67" s="71">
        <f t="shared" ca="1" si="13"/>
        <v>0.17894272613670675</v>
      </c>
      <c r="N67" s="65"/>
      <c r="O67" s="550">
        <f>IF(ISBLANK('Setup - Facility Details'!$C$35),P67,0)</f>
        <v>0.31209999999999999</v>
      </c>
      <c r="P67" s="218">
        <v>0.31209999999999999</v>
      </c>
      <c r="Q67" s="73"/>
      <c r="R67" s="218">
        <v>0</v>
      </c>
      <c r="S67" s="74" cm="1">
        <f t="array" ref="S67">INDEX(ValidPRVCF_V,V67)/100</f>
        <v>0</v>
      </c>
      <c r="T67" s="325" t="s">
        <v>1369</v>
      </c>
      <c r="V67" s="325">
        <v>2</v>
      </c>
    </row>
    <row r="68" spans="2:22" x14ac:dyDescent="0.3">
      <c r="B68" s="81" t="str">
        <f ca="1">'Translation Table'!H1056</f>
        <v>Regulators</v>
      </c>
      <c r="C68" s="81" t="str">
        <f ca="1">'Translation Table'!H1057</f>
        <v>Gas</v>
      </c>
      <c r="D68" s="82">
        <v>6.9900000000000004E-2</v>
      </c>
      <c r="E68" s="83">
        <f t="shared" si="15"/>
        <v>7.9007679800000008E-3</v>
      </c>
      <c r="F68" s="88">
        <v>0.1125</v>
      </c>
      <c r="G68" s="88">
        <v>3.9799999999999998E-5</v>
      </c>
      <c r="H68" s="82">
        <f t="shared" si="14"/>
        <v>6.9900000000000004E-2</v>
      </c>
      <c r="I68" s="83">
        <f t="shared" si="9"/>
        <v>7.9007679800000008E-3</v>
      </c>
      <c r="J68" s="84">
        <f t="shared" si="10"/>
        <v>1</v>
      </c>
      <c r="K68" s="83">
        <f t="shared" si="11"/>
        <v>7.9007679800000008E-3</v>
      </c>
      <c r="L68" s="83">
        <f t="shared" ca="1" si="12"/>
        <v>1.0029916705958382E-2</v>
      </c>
      <c r="M68" s="83">
        <f t="shared" ca="1" si="13"/>
        <v>8.7260275341837917E-3</v>
      </c>
      <c r="N68" s="65"/>
      <c r="O68" s="549">
        <f>IF(ISBLANK('Setup - Facility Details'!$C$35),P68,0)</f>
        <v>6.9900000000000004E-2</v>
      </c>
      <c r="P68" s="218">
        <v>6.9900000000000004E-2</v>
      </c>
      <c r="Q68" s="73"/>
      <c r="R68" s="218">
        <v>0</v>
      </c>
      <c r="S68" s="89">
        <f>INDEX(ValidRegulatorCF_V,V68)/100</f>
        <v>0</v>
      </c>
      <c r="T68" s="325" t="s">
        <v>1370</v>
      </c>
      <c r="V68" s="325">
        <v>1</v>
      </c>
    </row>
    <row r="69" spans="2:22" x14ac:dyDescent="0.3">
      <c r="B69" s="48" t="str">
        <f ca="1">'Translation Table'!H1058</f>
        <v>Connectors</v>
      </c>
      <c r="C69" s="48" t="str">
        <f ca="1">'Translation Table'!H1059</f>
        <v>Gas</v>
      </c>
      <c r="D69" s="242">
        <v>8.5000000000000006E-3</v>
      </c>
      <c r="E69" s="71">
        <f t="shared" si="15"/>
        <v>4.4559270000000005E-4</v>
      </c>
      <c r="F69" s="243">
        <v>4.8480000000000002E-2</v>
      </c>
      <c r="G69" s="243">
        <v>3.3800000000000002E-5</v>
      </c>
      <c r="H69" s="70">
        <f t="shared" si="14"/>
        <v>8.5000000000000006E-3</v>
      </c>
      <c r="I69" s="71">
        <f t="shared" si="9"/>
        <v>4.4559270000000005E-4</v>
      </c>
      <c r="J69" s="72">
        <f t="shared" si="10"/>
        <v>1</v>
      </c>
      <c r="K69" s="71">
        <f t="shared" si="11"/>
        <v>4.4559270000000005E-4</v>
      </c>
      <c r="L69" s="71">
        <f t="shared" ca="1" si="12"/>
        <v>5.6567382779706705E-4</v>
      </c>
      <c r="M69" s="71">
        <f t="shared" ca="1" si="13"/>
        <v>4.9213623018344837E-4</v>
      </c>
      <c r="N69" s="65"/>
      <c r="O69" s="550">
        <f>IF(ISBLANK('Setup - Facility Details'!$C$35),P69,0)</f>
        <v>8.5000000000000006E-3</v>
      </c>
      <c r="P69" s="218">
        <v>8.5000000000000006E-3</v>
      </c>
      <c r="Q69" s="73"/>
      <c r="R69" s="218">
        <v>0</v>
      </c>
      <c r="S69" s="74" cm="1">
        <f t="array" ref="S69">INDEX(ValidConnectorCF_V,V69)/100</f>
        <v>0</v>
      </c>
      <c r="T69" s="325" t="s">
        <v>1371</v>
      </c>
      <c r="V69" s="325">
        <v>1</v>
      </c>
    </row>
    <row r="70" spans="2:22" x14ac:dyDescent="0.3">
      <c r="B70" s="81" t="str">
        <f ca="1">'Translation Table'!H1058</f>
        <v>Connectors</v>
      </c>
      <c r="C70" s="81" t="str">
        <f ca="1">'Translation Table'!H1060</f>
        <v>Light Liquid</v>
      </c>
      <c r="D70" s="82" t="str">
        <f>IF(OR($E70="N/A",$F70="N/A",$G70="N/A"),"N/A",IF($F70-$G70&gt;0,($E70-$G70)/($F70-$G70),"N/A"))</f>
        <v>N/A</v>
      </c>
      <c r="E70" s="83" t="str">
        <f t="shared" si="15"/>
        <v>N/A</v>
      </c>
      <c r="F70" s="88" t="s">
        <v>2754</v>
      </c>
      <c r="G70" s="88" t="s">
        <v>2754</v>
      </c>
      <c r="H70" s="82" t="str">
        <f t="shared" si="14"/>
        <v>N/A</v>
      </c>
      <c r="I70" s="83" t="str">
        <f t="shared" si="9"/>
        <v>N/A</v>
      </c>
      <c r="J70" s="84" t="str">
        <f t="shared" si="10"/>
        <v>N/A</v>
      </c>
      <c r="K70" s="83" t="str">
        <f t="shared" si="11"/>
        <v>N/A</v>
      </c>
      <c r="L70" s="83" t="str">
        <f t="shared" si="12"/>
        <v>N/A</v>
      </c>
      <c r="M70" s="83" t="str">
        <f t="shared" si="13"/>
        <v>N/A</v>
      </c>
      <c r="N70" s="65"/>
      <c r="O70" s="549" t="str">
        <f>IF(ISBLANK('Setup - Facility Details'!$C$35),P70,0)</f>
        <v>N/A</v>
      </c>
      <c r="P70" s="90" t="s">
        <v>2754</v>
      </c>
      <c r="Q70" s="73"/>
      <c r="R70" s="90" t="s">
        <v>2754</v>
      </c>
      <c r="S70" s="90" t="s">
        <v>2754</v>
      </c>
      <c r="T70" s="325" t="s">
        <v>1371</v>
      </c>
      <c r="V70" s="325">
        <v>1</v>
      </c>
    </row>
    <row r="71" spans="2:22" x14ac:dyDescent="0.3">
      <c r="B71" s="48" t="str">
        <f ca="1">'Translation Table'!H1058</f>
        <v>Connectors</v>
      </c>
      <c r="C71" s="48" t="str">
        <f ca="1">'Translation Table'!H1061</f>
        <v>Heavy Liquid</v>
      </c>
      <c r="D71" s="70" t="str">
        <f>IF(OR($E71="N/A",$F71="N/A",$G71="N/A"),"N/A",IF($F71-$G71&gt;0,($E71-$G71)/($F71-$G71),"N/A"))</f>
        <v>N/A</v>
      </c>
      <c r="E71" s="71" t="str">
        <f t="shared" si="15"/>
        <v>N/A</v>
      </c>
      <c r="F71" s="75" t="s">
        <v>2754</v>
      </c>
      <c r="G71" s="75" t="s">
        <v>2754</v>
      </c>
      <c r="H71" s="70" t="str">
        <f t="shared" si="14"/>
        <v>N/A</v>
      </c>
      <c r="I71" s="71" t="str">
        <f t="shared" si="9"/>
        <v>N/A</v>
      </c>
      <c r="J71" s="72" t="str">
        <f t="shared" si="10"/>
        <v>N/A</v>
      </c>
      <c r="K71" s="71" t="str">
        <f t="shared" si="11"/>
        <v>N/A</v>
      </c>
      <c r="L71" s="71" t="str">
        <f t="shared" si="12"/>
        <v>N/A</v>
      </c>
      <c r="M71" s="71" t="str">
        <f t="shared" si="13"/>
        <v>N/A</v>
      </c>
      <c r="N71" s="65"/>
      <c r="O71" s="550" t="str">
        <f>IF(ISBLANK('Setup - Facility Details'!$C$35),P71,0)</f>
        <v>N/A</v>
      </c>
      <c r="P71" s="76" t="s">
        <v>2754</v>
      </c>
      <c r="Q71" s="73"/>
      <c r="R71" s="76" t="s">
        <v>2754</v>
      </c>
      <c r="S71" s="76" t="s">
        <v>2754</v>
      </c>
      <c r="T71" s="325" t="s">
        <v>1371</v>
      </c>
      <c r="V71" s="325">
        <v>1</v>
      </c>
    </row>
    <row r="72" spans="2:22" x14ac:dyDescent="0.3">
      <c r="B72" s="81" t="str">
        <f ca="1">'Translation Table'!H1062</f>
        <v>Open-ended Lines</v>
      </c>
      <c r="C72" s="81" t="str">
        <f ca="1">'Translation Table'!H1063</f>
        <v>Gas</v>
      </c>
      <c r="D72" s="82">
        <v>0.58079999999999998</v>
      </c>
      <c r="E72" s="83">
        <f t="shared" si="15"/>
        <v>9.181364384E-2</v>
      </c>
      <c r="F72" s="88">
        <v>0.158</v>
      </c>
      <c r="G72" s="88">
        <v>1.127E-4</v>
      </c>
      <c r="H72" s="82">
        <f t="shared" si="14"/>
        <v>0.58079999999999998</v>
      </c>
      <c r="I72" s="83">
        <f t="shared" si="9"/>
        <v>9.181364384E-2</v>
      </c>
      <c r="J72" s="84">
        <f t="shared" si="10"/>
        <v>1</v>
      </c>
      <c r="K72" s="83">
        <f t="shared" si="11"/>
        <v>9.181364384E-2</v>
      </c>
      <c r="L72" s="83">
        <f t="shared" ca="1" si="12"/>
        <v>0.11655616295996188</v>
      </c>
      <c r="M72" s="83">
        <f t="shared" ca="1" si="13"/>
        <v>0.10140386177516683</v>
      </c>
      <c r="N72" s="65"/>
      <c r="O72" s="549">
        <f>IF(ISBLANK('Setup - Facility Details'!$C$35),P72,0)</f>
        <v>0.58079999999999998</v>
      </c>
      <c r="P72" s="218">
        <v>0.58079999999999998</v>
      </c>
      <c r="Q72" s="73"/>
      <c r="R72" s="218">
        <v>0</v>
      </c>
      <c r="S72" s="89" cm="1">
        <f t="array" ref="S72">INDEX(ValidOELCF_V,V72)/100</f>
        <v>0</v>
      </c>
      <c r="T72" s="325" t="s">
        <v>1372</v>
      </c>
      <c r="V72" s="325">
        <v>2</v>
      </c>
    </row>
    <row r="73" spans="2:22" x14ac:dyDescent="0.3">
      <c r="B73" s="48" t="str">
        <f ca="1">'Translation Table'!H1062</f>
        <v>Open-ended Lines</v>
      </c>
      <c r="C73" s="48" t="str">
        <f ca="1">'Translation Table'!H1064</f>
        <v>Light Liquid</v>
      </c>
      <c r="D73" s="70" t="str">
        <f>IF(OR($E73="N/A",$F73="N/A",$G73="N/A"),"N/A",IF($F73-$G73&gt;0,($E73-$G73)/($F73-$G73),"N/A"))</f>
        <v>N/A</v>
      </c>
      <c r="E73" s="71" t="str">
        <f t="shared" si="15"/>
        <v>N/A</v>
      </c>
      <c r="F73" s="75" t="s">
        <v>2754</v>
      </c>
      <c r="G73" s="75" t="s">
        <v>2754</v>
      </c>
      <c r="H73" s="70" t="str">
        <f t="shared" si="14"/>
        <v>N/A</v>
      </c>
      <c r="I73" s="71" t="str">
        <f t="shared" si="9"/>
        <v>N/A</v>
      </c>
      <c r="J73" s="72" t="str">
        <f t="shared" si="10"/>
        <v>N/A</v>
      </c>
      <c r="K73" s="71" t="str">
        <f t="shared" si="11"/>
        <v>N/A</v>
      </c>
      <c r="L73" s="71" t="str">
        <f t="shared" si="12"/>
        <v>N/A</v>
      </c>
      <c r="M73" s="71" t="str">
        <f t="shared" si="13"/>
        <v>N/A</v>
      </c>
      <c r="N73" s="65"/>
      <c r="O73" s="550" t="str">
        <f>IF(ISBLANK('Setup - Facility Details'!$C$35),P73,0)</f>
        <v>N/A</v>
      </c>
      <c r="P73" s="76" t="s">
        <v>2754</v>
      </c>
      <c r="Q73" s="73"/>
      <c r="R73" s="76" t="s">
        <v>2754</v>
      </c>
      <c r="S73" s="76" t="s">
        <v>2754</v>
      </c>
      <c r="T73" s="325" t="s">
        <v>1372</v>
      </c>
      <c r="V73" s="325">
        <v>2</v>
      </c>
    </row>
    <row r="74" spans="2:22" x14ac:dyDescent="0.3">
      <c r="B74" s="81" t="str">
        <f ca="1">'Translation Table'!H1062</f>
        <v>Open-ended Lines</v>
      </c>
      <c r="C74" s="81" t="str">
        <f ca="1">'Translation Table'!H1065</f>
        <v>Heavy Liquid</v>
      </c>
      <c r="D74" s="82" t="str">
        <f>IF(OR($E74="N/A",$F74="N/A",$G74="N/A"),"N/A",IF($F74-$G74&gt;0,($E74-$G74)/($F74-$G74),"N/A"))</f>
        <v>N/A</v>
      </c>
      <c r="E74" s="83" t="str">
        <f t="shared" si="15"/>
        <v>N/A</v>
      </c>
      <c r="F74" s="88" t="s">
        <v>2754</v>
      </c>
      <c r="G74" s="88" t="s">
        <v>2754</v>
      </c>
      <c r="H74" s="82" t="str">
        <f t="shared" si="14"/>
        <v>N/A</v>
      </c>
      <c r="I74" s="83" t="str">
        <f t="shared" si="9"/>
        <v>N/A</v>
      </c>
      <c r="J74" s="84" t="str">
        <f t="shared" si="10"/>
        <v>N/A</v>
      </c>
      <c r="K74" s="83" t="str">
        <f t="shared" si="11"/>
        <v>N/A</v>
      </c>
      <c r="L74" s="83" t="str">
        <f t="shared" si="12"/>
        <v>N/A</v>
      </c>
      <c r="M74" s="83" t="str">
        <f t="shared" si="13"/>
        <v>N/A</v>
      </c>
      <c r="N74" s="65"/>
      <c r="O74" s="549" t="str">
        <f>IF(ISBLANK('Setup - Facility Details'!$C$35),P74,0)</f>
        <v>N/A</v>
      </c>
      <c r="P74" s="90" t="s">
        <v>2754</v>
      </c>
      <c r="Q74" s="73"/>
      <c r="R74" s="90" t="s">
        <v>2754</v>
      </c>
      <c r="S74" s="90" t="s">
        <v>2754</v>
      </c>
      <c r="T74" s="325" t="s">
        <v>1372</v>
      </c>
      <c r="V74" s="325">
        <v>2</v>
      </c>
    </row>
    <row r="75" spans="2:22" x14ac:dyDescent="0.3">
      <c r="B75" s="48" t="str">
        <f ca="1">'Translation Table'!H1066</f>
        <v>Sampling Connections</v>
      </c>
      <c r="C75" s="48" t="str">
        <f ca="1">'Translation Table'!H1067</f>
        <v>All</v>
      </c>
      <c r="D75" s="70" t="str">
        <f>IF(OR($E75="N/A",$F75="N/A",$G75="N/A"),"N/A",IF($F75-$G75&gt;0,($E75-$G75)/($F75-$G75),"N/A"))</f>
        <v>N/A</v>
      </c>
      <c r="E75" s="71" t="str">
        <f t="shared" si="15"/>
        <v>N/A</v>
      </c>
      <c r="F75" s="75" t="s">
        <v>2754</v>
      </c>
      <c r="G75" s="75" t="s">
        <v>2754</v>
      </c>
      <c r="H75" s="70" t="str">
        <f t="shared" si="14"/>
        <v>N/A</v>
      </c>
      <c r="I75" s="71" t="str">
        <f t="shared" si="9"/>
        <v>N/A</v>
      </c>
      <c r="J75" s="72" t="str">
        <f t="shared" si="10"/>
        <v>N/A</v>
      </c>
      <c r="K75" s="71" t="str">
        <f t="shared" si="11"/>
        <v>N/A</v>
      </c>
      <c r="L75" s="71" t="str">
        <f t="shared" si="12"/>
        <v>N/A</v>
      </c>
      <c r="M75" s="71" t="str">
        <f t="shared" si="13"/>
        <v>N/A</v>
      </c>
      <c r="N75" s="77"/>
      <c r="O75" s="550" t="str">
        <f>IF(ISBLANK('Setup - Facility Details'!$C$35),P75,0)</f>
        <v>N/A</v>
      </c>
      <c r="P75" s="76" t="s">
        <v>2754</v>
      </c>
      <c r="Q75" s="73"/>
      <c r="R75" s="76" t="s">
        <v>2754</v>
      </c>
      <c r="S75" s="76" t="s">
        <v>2754</v>
      </c>
      <c r="T75" s="325" t="s">
        <v>1373</v>
      </c>
      <c r="V75" s="325">
        <v>2</v>
      </c>
    </row>
    <row r="76" spans="2:22" x14ac:dyDescent="0.3">
      <c r="B76" s="81" t="str">
        <f ca="1">'Translation Table'!H1068</f>
        <v>Drains</v>
      </c>
      <c r="C76" s="81" t="str">
        <f ca="1">'Translation Table'!H1069</f>
        <v>All</v>
      </c>
      <c r="D76" s="82" t="str">
        <f>IF(OR($E76="N/A",$F76="N/A",$G76="N/A"),"N/A",IF($F76-$G76&gt;0,($E76-$G76)/($F76-$G76),"N/A"))</f>
        <v>N/A</v>
      </c>
      <c r="E76" s="83" t="str">
        <f t="shared" si="15"/>
        <v>N/A</v>
      </c>
      <c r="F76" s="88" t="s">
        <v>2754</v>
      </c>
      <c r="G76" s="88" t="s">
        <v>2754</v>
      </c>
      <c r="H76" s="82" t="str">
        <f t="shared" si="14"/>
        <v>N/A</v>
      </c>
      <c r="I76" s="83" t="str">
        <f t="shared" si="9"/>
        <v>N/A</v>
      </c>
      <c r="J76" s="84" t="str">
        <f t="shared" si="10"/>
        <v>N/A</v>
      </c>
      <c r="K76" s="83" t="str">
        <f t="shared" si="11"/>
        <v>N/A</v>
      </c>
      <c r="L76" s="83" t="str">
        <f t="shared" si="12"/>
        <v>N/A</v>
      </c>
      <c r="M76" s="83" t="str">
        <f t="shared" si="13"/>
        <v>N/A</v>
      </c>
      <c r="N76" s="77"/>
      <c r="O76" s="549" t="str">
        <f>IF(ISBLANK('Setup - Facility Details'!$C$35),P76,0)</f>
        <v>N/A</v>
      </c>
      <c r="P76" s="90" t="s">
        <v>2754</v>
      </c>
      <c r="Q76" s="73"/>
      <c r="R76" s="90" t="s">
        <v>2754</v>
      </c>
      <c r="S76" s="90" t="s">
        <v>2754</v>
      </c>
      <c r="T76" s="325" t="s">
        <v>1374</v>
      </c>
      <c r="V76" s="325">
        <v>2</v>
      </c>
    </row>
    <row r="77" spans="2:22" x14ac:dyDescent="0.3">
      <c r="B77" s="48" t="str">
        <f ca="1">'Translation Table'!H1070</f>
        <v>Meter (Orifice)</v>
      </c>
      <c r="C77" s="48" t="str">
        <f ca="1">'Translation Table'!H1071</f>
        <v>Gas</v>
      </c>
      <c r="D77" s="242">
        <v>0.22700000000000001</v>
      </c>
      <c r="E77" s="71">
        <f t="shared" si="15"/>
        <v>4.8613225000000003E-2</v>
      </c>
      <c r="F77" s="243">
        <v>0.20760000000000001</v>
      </c>
      <c r="G77" s="243">
        <v>1.9250000000000001E-3</v>
      </c>
      <c r="H77" s="70">
        <f t="shared" si="14"/>
        <v>0.22700000000000001</v>
      </c>
      <c r="I77" s="71">
        <f t="shared" si="9"/>
        <v>4.8613225000000003E-2</v>
      </c>
      <c r="J77" s="72">
        <f t="shared" si="10"/>
        <v>1</v>
      </c>
      <c r="K77" s="71">
        <f t="shared" si="11"/>
        <v>4.8613225000000003E-2</v>
      </c>
      <c r="L77" s="71">
        <f t="shared" ca="1" si="12"/>
        <v>6.1713823110903919E-2</v>
      </c>
      <c r="M77" s="71">
        <f t="shared" ca="1" si="13"/>
        <v>5.3691026106486406E-2</v>
      </c>
      <c r="N77" s="77"/>
      <c r="O77" s="550">
        <f>IF(ISBLANK('Setup - Facility Details'!$C$35),P77,0)</f>
        <v>0.22700000000000001</v>
      </c>
      <c r="P77" s="218">
        <v>0.22700000000000001</v>
      </c>
      <c r="Q77" s="73"/>
      <c r="R77" s="218">
        <v>0</v>
      </c>
      <c r="S77" s="74" cm="1">
        <f t="array" ref="S77">INDEX(ValidValveCF_V,V77)/100</f>
        <v>0</v>
      </c>
      <c r="T77" s="325" t="s">
        <v>1365</v>
      </c>
      <c r="V77" s="325">
        <v>1</v>
      </c>
    </row>
    <row r="78" spans="2:22" x14ac:dyDescent="0.3">
      <c r="B78" s="81" t="str">
        <f ca="1">'Translation Table'!H1072</f>
        <v>Meter (Other)</v>
      </c>
      <c r="C78" s="81" t="str">
        <f ca="1">'Translation Table'!H1073</f>
        <v>Gas</v>
      </c>
      <c r="D78" s="82">
        <v>1.8100000000000002E-2</v>
      </c>
      <c r="E78" s="83">
        <f t="shared" si="15"/>
        <v>9.9553600000000002E-6</v>
      </c>
      <c r="F78" s="88">
        <v>3.4929999999999998E-4</v>
      </c>
      <c r="G78" s="88">
        <v>3.7000000000000002E-6</v>
      </c>
      <c r="H78" s="82">
        <f t="shared" si="14"/>
        <v>1.8100000000000002E-2</v>
      </c>
      <c r="I78" s="83">
        <f t="shared" si="9"/>
        <v>9.9553600000000002E-6</v>
      </c>
      <c r="J78" s="84">
        <f t="shared" si="10"/>
        <v>1</v>
      </c>
      <c r="K78" s="83">
        <f t="shared" si="11"/>
        <v>9.9553600000000002E-6</v>
      </c>
      <c r="L78" s="83">
        <f t="shared" ca="1" si="12"/>
        <v>1.2638193126363626E-5</v>
      </c>
      <c r="M78" s="83">
        <f t="shared" ca="1" si="13"/>
        <v>1.0995228019936355E-5</v>
      </c>
      <c r="N78" s="77"/>
      <c r="O78" s="549">
        <f>IF(ISBLANK('Setup - Facility Details'!$C$35),P78,0)</f>
        <v>1.8100000000000002E-2</v>
      </c>
      <c r="P78" s="218">
        <v>1.8100000000000002E-2</v>
      </c>
      <c r="Q78" s="73"/>
      <c r="R78" s="218">
        <v>0</v>
      </c>
      <c r="S78" s="89" cm="1">
        <f t="array" ref="S78">INDEX(ValidValveCF_V,V78)/100</f>
        <v>0</v>
      </c>
      <c r="T78" s="325" t="s">
        <v>1365</v>
      </c>
      <c r="V78" s="325">
        <v>1</v>
      </c>
    </row>
    <row r="79" spans="2:22" x14ac:dyDescent="0.3">
      <c r="B79" s="48" t="str">
        <f ca="1">'Translation Table'!H1074</f>
        <v>Blowdown System</v>
      </c>
      <c r="C79" s="48" t="str">
        <f ca="1">'Translation Table'!H1075</f>
        <v>Gas</v>
      </c>
      <c r="D79" s="242">
        <v>0.59819999999999995</v>
      </c>
      <c r="E79" s="71">
        <f t="shared" si="15"/>
        <v>3.4046058383399997</v>
      </c>
      <c r="F79" s="243">
        <v>5.6909999999999998</v>
      </c>
      <c r="G79" s="243">
        <v>6.2129999999999998E-4</v>
      </c>
      <c r="H79" s="70">
        <f t="shared" si="14"/>
        <v>0.59819999999999995</v>
      </c>
      <c r="I79" s="71">
        <f t="shared" si="9"/>
        <v>3.4046058383399997</v>
      </c>
      <c r="J79" s="72">
        <f t="shared" si="10"/>
        <v>1</v>
      </c>
      <c r="K79" s="71">
        <f t="shared" si="11"/>
        <v>3.4046058383399997</v>
      </c>
      <c r="L79" s="71">
        <f t="shared" ca="1" si="12"/>
        <v>4.3221004668928149</v>
      </c>
      <c r="M79" s="71">
        <f t="shared" ca="1" si="13"/>
        <v>3.7602274061967491</v>
      </c>
      <c r="N79" s="77"/>
      <c r="O79" s="550">
        <f>IF(ISBLANK('Setup - Facility Details'!$C$35),P79,0)</f>
        <v>0.59819999999999995</v>
      </c>
      <c r="P79" s="218">
        <v>0.59819999999999995</v>
      </c>
      <c r="Q79" s="73"/>
      <c r="R79" s="218">
        <v>0</v>
      </c>
      <c r="S79" s="74" cm="1">
        <f t="array" ref="S79">INDEX(ValidValveCF_V,V79)/100</f>
        <v>0</v>
      </c>
      <c r="T79" s="325" t="s">
        <v>1365</v>
      </c>
      <c r="V79" s="325">
        <v>1</v>
      </c>
    </row>
    <row r="80" spans="2:22" x14ac:dyDescent="0.3">
      <c r="B80" s="81" t="str">
        <f ca="1">'Translation Table'!H1076</f>
        <v>Others</v>
      </c>
      <c r="C80" s="81" t="str">
        <f ca="1">'Translation Table'!H1077</f>
        <v>Gas</v>
      </c>
      <c r="D80" s="82" t="str">
        <f>IF(OR($E80="N/A",$F80="N/A",$G80="N/A"),"N/A",IF($F80-$G80&gt;0,($E80-$G80)/($F80-$G80),"N/A"))</f>
        <v>N/A</v>
      </c>
      <c r="E80" s="83" t="str">
        <f t="shared" si="15"/>
        <v>N/A</v>
      </c>
      <c r="F80" s="88" t="s">
        <v>2754</v>
      </c>
      <c r="G80" s="88" t="s">
        <v>2754</v>
      </c>
      <c r="H80" s="82" t="str">
        <f t="shared" si="14"/>
        <v>N/A</v>
      </c>
      <c r="I80" s="83" t="str">
        <f t="shared" si="9"/>
        <v>N/A</v>
      </c>
      <c r="J80" s="84" t="str">
        <f t="shared" si="10"/>
        <v>N/A</v>
      </c>
      <c r="K80" s="83" t="str">
        <f t="shared" si="11"/>
        <v>N/A</v>
      </c>
      <c r="L80" s="83" t="str">
        <f t="shared" si="12"/>
        <v>N/A</v>
      </c>
      <c r="M80" s="83" t="str">
        <f t="shared" si="13"/>
        <v>N/A</v>
      </c>
      <c r="N80" s="77"/>
      <c r="O80" s="549" t="str">
        <f>IF(ISBLANK('Setup - Facility Details'!$C$35),P80,0)</f>
        <v>N/A</v>
      </c>
      <c r="P80" s="90" t="s">
        <v>2754</v>
      </c>
      <c r="Q80" s="73"/>
      <c r="R80" s="90" t="s">
        <v>2754</v>
      </c>
      <c r="S80" s="90" t="s">
        <v>2754</v>
      </c>
      <c r="T80" s="325" t="s">
        <v>1375</v>
      </c>
      <c r="V80" s="325">
        <v>1</v>
      </c>
    </row>
    <row r="81" spans="1:22" x14ac:dyDescent="0.3">
      <c r="B81" s="48" t="str">
        <f ca="1">'Translation Table'!H1076</f>
        <v>Others</v>
      </c>
      <c r="C81" s="48" t="str">
        <f ca="1">'Translation Table'!H1078</f>
        <v>Light Liquid</v>
      </c>
      <c r="D81" s="70" t="str">
        <f>IF(OR($E81="N/A",$F81="N/A",$G81="N/A"),"N/A",IF($F81-$G81&gt;0,($E81-$G81)/($F81-$G81),"N/A"))</f>
        <v>N/A</v>
      </c>
      <c r="E81" s="71" t="str">
        <f t="shared" si="15"/>
        <v>N/A</v>
      </c>
      <c r="F81" s="75" t="s">
        <v>2754</v>
      </c>
      <c r="G81" s="75" t="s">
        <v>2754</v>
      </c>
      <c r="H81" s="70" t="str">
        <f t="shared" si="14"/>
        <v>N/A</v>
      </c>
      <c r="I81" s="71" t="str">
        <f t="shared" si="9"/>
        <v>N/A</v>
      </c>
      <c r="J81" s="72" t="str">
        <f t="shared" si="10"/>
        <v>N/A</v>
      </c>
      <c r="K81" s="71" t="str">
        <f t="shared" si="11"/>
        <v>N/A</v>
      </c>
      <c r="L81" s="71" t="str">
        <f t="shared" si="12"/>
        <v>N/A</v>
      </c>
      <c r="M81" s="71" t="str">
        <f t="shared" si="13"/>
        <v>N/A</v>
      </c>
      <c r="N81" s="77"/>
      <c r="O81" s="550" t="str">
        <f>IF(ISBLANK('Setup - Facility Details'!$C$35),P81,0)</f>
        <v>N/A</v>
      </c>
      <c r="P81" s="76" t="s">
        <v>2754</v>
      </c>
      <c r="Q81" s="73"/>
      <c r="R81" s="76" t="s">
        <v>2754</v>
      </c>
      <c r="S81" s="76" t="s">
        <v>2754</v>
      </c>
      <c r="T81" s="325" t="s">
        <v>1375</v>
      </c>
      <c r="V81" s="325">
        <v>1</v>
      </c>
    </row>
    <row r="82" spans="1:22" x14ac:dyDescent="0.3">
      <c r="B82" s="81" t="str">
        <f ca="1">'Translation Table'!H1076</f>
        <v>Others</v>
      </c>
      <c r="C82" s="81" t="str">
        <f ca="1">'Translation Table'!H1079</f>
        <v>Heavy Liquid</v>
      </c>
      <c r="D82" s="82" t="str">
        <f>IF(OR($E82="N/A",$F82="N/A",$G82="N/A"),"N/A",IF($F82-$G82&gt;0,($E82-$G82)/($F82-$G82),"N/A"))</f>
        <v>N/A</v>
      </c>
      <c r="E82" s="83" t="str">
        <f t="shared" si="15"/>
        <v>N/A</v>
      </c>
      <c r="F82" s="88" t="s">
        <v>2754</v>
      </c>
      <c r="G82" s="88" t="s">
        <v>2754</v>
      </c>
      <c r="H82" s="82" t="str">
        <f t="shared" si="14"/>
        <v>N/A</v>
      </c>
      <c r="I82" s="83" t="str">
        <f t="shared" si="9"/>
        <v>N/A</v>
      </c>
      <c r="J82" s="84" t="str">
        <f t="shared" si="10"/>
        <v>N/A</v>
      </c>
      <c r="K82" s="83" t="str">
        <f t="shared" si="11"/>
        <v>N/A</v>
      </c>
      <c r="L82" s="83" t="str">
        <f t="shared" si="12"/>
        <v>N/A</v>
      </c>
      <c r="M82" s="83" t="str">
        <f t="shared" si="13"/>
        <v>N/A</v>
      </c>
      <c r="N82" s="77"/>
      <c r="O82" s="549" t="str">
        <f>IF(ISBLANK('Setup - Facility Details'!$C$35),P82,0)</f>
        <v>N/A</v>
      </c>
      <c r="P82" s="90" t="s">
        <v>2754</v>
      </c>
      <c r="Q82" s="73"/>
      <c r="R82" s="90" t="s">
        <v>2754</v>
      </c>
      <c r="S82" s="90" t="s">
        <v>2754</v>
      </c>
      <c r="T82" s="325" t="s">
        <v>1375</v>
      </c>
      <c r="V82" s="325">
        <v>1</v>
      </c>
    </row>
    <row r="86" spans="1:22" ht="15.5" x14ac:dyDescent="0.35">
      <c r="A86" s="325" t="s">
        <v>34</v>
      </c>
      <c r="B86" s="1073" t="str">
        <f ca="1">'Translation Table'!H1080</f>
        <v>Natural Gas Distribution</v>
      </c>
      <c r="C86" s="1074"/>
      <c r="D86" s="1074"/>
      <c r="E86" s="1074"/>
      <c r="F86" s="1074"/>
      <c r="G86" s="1074"/>
      <c r="H86" s="1074"/>
      <c r="I86" s="1074"/>
      <c r="J86" s="1074"/>
      <c r="K86" s="1074"/>
      <c r="L86" s="1075"/>
      <c r="M86" s="1076"/>
      <c r="N86" s="62"/>
      <c r="O86" s="62"/>
      <c r="P86" s="62"/>
      <c r="Q86" s="62"/>
      <c r="R86" s="62"/>
      <c r="S86" s="62"/>
    </row>
    <row r="87" spans="1:22" x14ac:dyDescent="0.3">
      <c r="B87" s="1080" t="str">
        <f ca="1">'Translation Table'!H1081</f>
        <v>Equipment Component Type</v>
      </c>
      <c r="C87" s="1080" t="str">
        <f ca="1">'Translation Table'!H1082</f>
        <v>Service</v>
      </c>
      <c r="D87" s="1081" t="str">
        <f ca="1">'Translation Table'!H1083</f>
        <v>CEPEI (2016) Factors</v>
      </c>
      <c r="E87" s="1081"/>
      <c r="F87" s="1081"/>
      <c r="G87" s="1081"/>
      <c r="H87" s="1081" t="str">
        <f ca="1">'Translation Table'!H1084</f>
        <v>Developed Average Emission Factor</v>
      </c>
      <c r="I87" s="1081"/>
      <c r="J87" s="1081"/>
      <c r="K87" s="1081"/>
      <c r="L87" s="1081"/>
      <c r="M87" s="1081"/>
      <c r="N87" s="64"/>
      <c r="O87" s="64"/>
      <c r="P87" s="64"/>
      <c r="Q87" s="64"/>
      <c r="R87" s="64"/>
      <c r="S87" s="65"/>
    </row>
    <row r="88" spans="1:22" ht="15.5" x14ac:dyDescent="0.35">
      <c r="B88" s="1080"/>
      <c r="C88" s="1080"/>
      <c r="D88" s="85" t="str">
        <f ca="1">'Translation Table'!H1085</f>
        <v>Implied Leak</v>
      </c>
      <c r="E88" s="85" t="str">
        <f ca="1">'Translation Table'!H1086</f>
        <v>Average</v>
      </c>
      <c r="F88" s="85" t="str">
        <f ca="1">'Translation Table'!H1087</f>
        <v>Leak</v>
      </c>
      <c r="G88" s="85" t="str">
        <f ca="1">'Translation Table'!H1088</f>
        <v>No-Leak</v>
      </c>
      <c r="H88" s="85" t="str">
        <f ca="1">'Translation Table'!H1089</f>
        <v xml:space="preserve">Leak </v>
      </c>
      <c r="I88" s="85" t="str">
        <f ca="1">'Translation Table'!H1090</f>
        <v>Uncontrolled</v>
      </c>
      <c r="J88" s="85" t="str">
        <f ca="1">'Translation Table'!H1091</f>
        <v>Control</v>
      </c>
      <c r="K88" s="1081" t="str">
        <f ca="1">'Translation Table'!H1092</f>
        <v>Controlled</v>
      </c>
      <c r="L88" s="1081"/>
      <c r="M88" s="1081"/>
      <c r="N88" s="66"/>
      <c r="O88" s="63" t="str">
        <f ca="1">'Translation Table'!H889</f>
        <v>Applied Leak</v>
      </c>
      <c r="P88" s="63" t="str">
        <f ca="1">'Translation Table'!H890</f>
        <v>Actual Leak</v>
      </c>
      <c r="Q88" s="1077" t="str">
        <f ca="1">'Translation Table'!H1094</f>
        <v xml:space="preserve">Equipment Modification </v>
      </c>
      <c r="R88" s="1078"/>
      <c r="S88" s="1079"/>
    </row>
    <row r="89" spans="1:22" ht="15.5" x14ac:dyDescent="0.35">
      <c r="B89" s="1080"/>
      <c r="C89" s="1080"/>
      <c r="D89" s="85" t="str">
        <f ca="1">'Translation Table'!$H1095</f>
        <v>Frequency</v>
      </c>
      <c r="E89" s="85" t="str">
        <f ca="1">'Translation Table'!$H1096</f>
        <v>(kg/h/source)</v>
      </c>
      <c r="F89" s="85" t="str">
        <f ca="1">'Translation Table'!$H1097</f>
        <v>(kg/h/source)</v>
      </c>
      <c r="G89" s="85" t="str">
        <f ca="1">'Translation Table'!$H1098</f>
        <v>(kg/h/source)</v>
      </c>
      <c r="H89" s="85" t="str">
        <f ca="1">'Translation Table'!$H1099</f>
        <v>Frequency</v>
      </c>
      <c r="I89" s="85" t="str">
        <f ca="1">'Translation Table'!$H1100</f>
        <v>Emission Factor</v>
      </c>
      <c r="J89" s="85" t="str">
        <f ca="1">'Translation Table'!$H1101</f>
        <v>Adjustment</v>
      </c>
      <c r="K89" s="1081" t="str">
        <f ca="1">'Translation Table'!H1102</f>
        <v>Emission Factor</v>
      </c>
      <c r="L89" s="1081"/>
      <c r="M89" s="1081"/>
      <c r="N89" s="66"/>
      <c r="O89" s="63" t="str">
        <f ca="1">'Translation Table'!H1103</f>
        <v>Frequency</v>
      </c>
      <c r="P89" s="63" t="str">
        <f ca="1">'Translation Table'!H1103</f>
        <v>Frequency</v>
      </c>
      <c r="Q89" s="217" t="str">
        <f ca="1">'Translation Table'!H1104</f>
        <v>Modification</v>
      </c>
      <c r="R89" s="63" t="str">
        <f ca="1">'Translation Table'!H1105</f>
        <v xml:space="preserve">Percent of </v>
      </c>
      <c r="S89" s="63" t="str">
        <f ca="1">'Translation Table'!H1106</f>
        <v>Control Factor</v>
      </c>
    </row>
    <row r="90" spans="1:22" ht="15.5" x14ac:dyDescent="0.35">
      <c r="B90" s="1080"/>
      <c r="C90" s="1080"/>
      <c r="D90" s="85" t="str">
        <f ca="1">'Translation Table'!H1107</f>
        <v>(%)</v>
      </c>
      <c r="E90" s="85"/>
      <c r="F90" s="85"/>
      <c r="G90" s="85"/>
      <c r="H90" s="85" t="str">
        <f ca="1">'Translation Table'!H1108</f>
        <v>(%)</v>
      </c>
      <c r="I90" s="85" t="str">
        <f ca="1">'Translation Table'!H1109</f>
        <v>(kg/h/source)</v>
      </c>
      <c r="J90" s="85" t="str">
        <f ca="1">'Translation Table'!H1110</f>
        <v>(%)</v>
      </c>
      <c r="K90" s="85" t="str">
        <f ca="1">'Translation Table'!H1111</f>
        <v>(kg/h/source)</v>
      </c>
      <c r="L90" s="85" t="str">
        <f ca="1">'Translation Table'!H1112</f>
        <v>(Nm3/h/source)</v>
      </c>
      <c r="M90" s="85" t="str">
        <f ca="1">'Translation Table'!H1113</f>
        <v>(Nm3 CH4/h/source)</v>
      </c>
      <c r="N90" s="66"/>
      <c r="O90" s="63" t="str">
        <f ca="1">'Translation Table'!H1114</f>
        <v>(%)</v>
      </c>
      <c r="P90" s="63" t="str">
        <f ca="1">'Translation Table'!H1114</f>
        <v>(%)</v>
      </c>
      <c r="Q90" s="63"/>
      <c r="R90" s="63" t="str">
        <f ca="1">'Translation Table'!H1115</f>
        <v>Components Controlled</v>
      </c>
      <c r="S90" s="63" t="str">
        <f ca="1">'Translation Table'!H1116</f>
        <v>(%)</v>
      </c>
    </row>
    <row r="91" spans="1:22" ht="70" x14ac:dyDescent="0.3">
      <c r="A91" s="514"/>
      <c r="B91" s="86" t="str">
        <f ca="1">'Translation Table'!H1126</f>
        <v>Calculation Method</v>
      </c>
      <c r="C91" s="86"/>
      <c r="D91" s="87" t="str">
        <f ca="1">'Translation Table'!H1117</f>
        <v>Calculated (use as default)</v>
      </c>
      <c r="E91" s="87"/>
      <c r="F91" s="87"/>
      <c r="G91" s="87"/>
      <c r="H91" s="86"/>
      <c r="I91" s="87" t="str">
        <f ca="1">'Translation Table'!H1118</f>
        <v>Calculated based on Leak, No-Leak factors and adjustable leak frequency</v>
      </c>
      <c r="J91" s="86"/>
      <c r="K91" s="87" t="str">
        <f ca="1">'Translation Table'!H1119</f>
        <v>Calculated based on uncontrolled factors and adjustable control factor</v>
      </c>
      <c r="L91" s="87" t="str">
        <f ca="1">'Translation Table'!H1120</f>
        <v>Calculated based on uncontrolled factors and adjustable control factor</v>
      </c>
      <c r="M91" s="87" t="str">
        <f ca="1">'Translation Table'!H1121</f>
        <v>Calculated based on uncontrolled factors and adjustable control factor</v>
      </c>
      <c r="N91" s="69"/>
      <c r="O91" s="67"/>
      <c r="P91" s="67" t="str">
        <f ca="1">'Translation Table'!H1122</f>
        <v>Adjustable Input (Assume to be zero if not entered)</v>
      </c>
      <c r="Q91" s="67" t="str">
        <f ca="1">'Translation Table'!H1123</f>
        <v>Adjustable Input (Assume to be zero if not entered)</v>
      </c>
      <c r="R91" s="67" t="str">
        <f ca="1">'Translation Table'!H1124</f>
        <v>Adjustable Input (Assume to be zero if not entered)</v>
      </c>
      <c r="S91" s="67" t="str">
        <f ca="1">'Translation Table'!H1125</f>
        <v>Determined from Lookup Table</v>
      </c>
    </row>
    <row r="92" spans="1:22" x14ac:dyDescent="0.3">
      <c r="B92" s="81" t="str">
        <f ca="1">'Translation Table'!H1127</f>
        <v>Valves (All)</v>
      </c>
      <c r="C92" s="81" t="str">
        <f ca="1">'Translation Table'!H1128</f>
        <v>Gas</v>
      </c>
      <c r="D92" s="82" t="str">
        <f>IF(OR($E92="N/A",$F92="N/A",$G92="N/A"),"N/A",IF($F92-$G92&gt;0,($E92-$G92)/($F92-$G92),"N/A"))</f>
        <v>N/A</v>
      </c>
      <c r="E92" s="83" t="str">
        <f t="shared" ref="E92:E98" si="16">IF(OR(F92="N/A",G92="N/A"),"N/A",D92*F92+(1-D92)*G92)</f>
        <v>N/A</v>
      </c>
      <c r="F92" s="88" t="s">
        <v>2754</v>
      </c>
      <c r="G92" s="88" t="s">
        <v>2754</v>
      </c>
      <c r="H92" s="82" t="str">
        <f t="shared" ref="H92:H124" si="17">O92</f>
        <v>N/A</v>
      </c>
      <c r="I92" s="83" t="str">
        <f t="shared" ref="I92:I124" si="18">IF(OR($E92="N/A",$F92="N/A",$G92="N/A"),"N/A",H92*F92+(1-H92)*G92)</f>
        <v>N/A</v>
      </c>
      <c r="J92" s="84" t="str">
        <f t="shared" ref="J92:J124" si="19">IF(OR(I92="N/A",S92="N/A"),"N/A",R92*(1-S92)+(1-R92))</f>
        <v>N/A</v>
      </c>
      <c r="K92" s="83" t="str">
        <f t="shared" ref="K92:K124" si="20">IF(OR(I92="N/A",J92="N/A"),"N/A",J92*I92)</f>
        <v>N/A</v>
      </c>
      <c r="L92" s="83" t="str">
        <f t="shared" ref="L92:L124" si="21">IF(OR(I92="N/A",J92="N/A"),"N/A",K92/IF(C92=Gas,ProcessGas_M,Vapor_M)*Vstp)</f>
        <v>N/A</v>
      </c>
      <c r="M92" s="83" t="str">
        <f t="shared" ref="M92:M124" si="22">IF(K92="N/A","N/A",L92*IF(OR(C92=Gas,C92=All),ProcessGas_CH4,Vapor_CH4))</f>
        <v>N/A</v>
      </c>
      <c r="N92" s="65"/>
      <c r="O92" s="549" t="str">
        <f>IF(ISBLANK('Setup - Facility Details'!$C$35),P92,0)</f>
        <v>N/A</v>
      </c>
      <c r="P92" s="90" t="s">
        <v>2754</v>
      </c>
      <c r="Q92" s="73"/>
      <c r="R92" s="90" t="s">
        <v>2754</v>
      </c>
      <c r="S92" s="90" t="s">
        <v>2754</v>
      </c>
      <c r="T92" s="325" t="s">
        <v>1365</v>
      </c>
      <c r="V92" s="325">
        <v>1</v>
      </c>
    </row>
    <row r="93" spans="1:22" x14ac:dyDescent="0.3">
      <c r="B93" s="48" t="str">
        <f ca="1">'Translation Table'!H1127</f>
        <v>Valves (All)</v>
      </c>
      <c r="C93" s="48" t="str">
        <f ca="1">'Translation Table'!H1129</f>
        <v>Light Liquid</v>
      </c>
      <c r="D93" s="70" t="str">
        <f>IF(OR($E93="N/A",$F93="N/A",$G93="N/A"),"N/A",IF($F93-$G93&gt;0,($E93-$G93)/($F93-$G93),"N/A"))</f>
        <v>N/A</v>
      </c>
      <c r="E93" s="71" t="str">
        <f t="shared" si="16"/>
        <v>N/A</v>
      </c>
      <c r="F93" s="75" t="s">
        <v>2754</v>
      </c>
      <c r="G93" s="75" t="s">
        <v>2754</v>
      </c>
      <c r="H93" s="70" t="str">
        <f t="shared" si="17"/>
        <v>N/A</v>
      </c>
      <c r="I93" s="71" t="str">
        <f t="shared" si="18"/>
        <v>N/A</v>
      </c>
      <c r="J93" s="72" t="str">
        <f t="shared" si="19"/>
        <v>N/A</v>
      </c>
      <c r="K93" s="71" t="str">
        <f t="shared" si="20"/>
        <v>N/A</v>
      </c>
      <c r="L93" s="71" t="str">
        <f t="shared" si="21"/>
        <v>N/A</v>
      </c>
      <c r="M93" s="71" t="str">
        <f t="shared" si="22"/>
        <v>N/A</v>
      </c>
      <c r="N93" s="65"/>
      <c r="O93" s="550" t="str">
        <f>IF(ISBLANK('Setup - Facility Details'!$C$35),P93,0)</f>
        <v>N/A</v>
      </c>
      <c r="P93" s="76" t="s">
        <v>2754</v>
      </c>
      <c r="Q93" s="73"/>
      <c r="R93" s="76" t="s">
        <v>2754</v>
      </c>
      <c r="S93" s="76" t="s">
        <v>2754</v>
      </c>
      <c r="T93" s="325" t="s">
        <v>1365</v>
      </c>
      <c r="V93" s="325">
        <v>1</v>
      </c>
    </row>
    <row r="94" spans="1:22" x14ac:dyDescent="0.3">
      <c r="B94" s="81" t="str">
        <f ca="1">'Translation Table'!H1127</f>
        <v>Valves (All)</v>
      </c>
      <c r="C94" s="81" t="str">
        <f ca="1">'Translation Table'!H1130</f>
        <v>Heavy Liquid</v>
      </c>
      <c r="D94" s="82" t="str">
        <f>IF(OR($E94="N/A",$F94="N/A",$G94="N/A"),"N/A",IF($F94-$G94&gt;0,($E94-$G94)/($F94-$G94),"N/A"))</f>
        <v>N/A</v>
      </c>
      <c r="E94" s="83" t="str">
        <f t="shared" si="16"/>
        <v>N/A</v>
      </c>
      <c r="F94" s="88" t="s">
        <v>2754</v>
      </c>
      <c r="G94" s="88" t="s">
        <v>2754</v>
      </c>
      <c r="H94" s="82" t="str">
        <f t="shared" si="17"/>
        <v>N/A</v>
      </c>
      <c r="I94" s="83" t="str">
        <f t="shared" si="18"/>
        <v>N/A</v>
      </c>
      <c r="J94" s="84" t="str">
        <f t="shared" si="19"/>
        <v>N/A</v>
      </c>
      <c r="K94" s="83" t="str">
        <f t="shared" si="20"/>
        <v>N/A</v>
      </c>
      <c r="L94" s="83" t="str">
        <f t="shared" si="21"/>
        <v>N/A</v>
      </c>
      <c r="M94" s="83" t="str">
        <f t="shared" si="22"/>
        <v>N/A</v>
      </c>
      <c r="N94" s="65"/>
      <c r="O94" s="549" t="str">
        <f>IF(ISBLANK('Setup - Facility Details'!$C$35),P94,0)</f>
        <v>N/A</v>
      </c>
      <c r="P94" s="90" t="s">
        <v>2754</v>
      </c>
      <c r="Q94" s="73"/>
      <c r="R94" s="90" t="s">
        <v>2754</v>
      </c>
      <c r="S94" s="90" t="s">
        <v>2754</v>
      </c>
      <c r="T94" s="325" t="s">
        <v>1365</v>
      </c>
      <c r="V94" s="325">
        <v>1</v>
      </c>
    </row>
    <row r="95" spans="1:22" x14ac:dyDescent="0.3">
      <c r="B95" s="48" t="str">
        <f ca="1">'Translation Table'!H1131</f>
        <v>Valves (Block)</v>
      </c>
      <c r="C95" s="48" t="str">
        <f ca="1">'Translation Table'!H1132</f>
        <v>Gas</v>
      </c>
      <c r="D95" s="242">
        <v>2.0400000000000001E-2</v>
      </c>
      <c r="E95" s="71">
        <f t="shared" si="16"/>
        <v>3.1222796000000006E-4</v>
      </c>
      <c r="F95" s="243">
        <v>1.41E-2</v>
      </c>
      <c r="G95" s="243">
        <v>2.51E-5</v>
      </c>
      <c r="H95" s="70">
        <f t="shared" si="17"/>
        <v>2.0400000000000001E-2</v>
      </c>
      <c r="I95" s="71">
        <f t="shared" si="18"/>
        <v>3.1222796000000006E-4</v>
      </c>
      <c r="J95" s="72">
        <f t="shared" si="19"/>
        <v>1</v>
      </c>
      <c r="K95" s="71">
        <f t="shared" si="20"/>
        <v>3.1222796000000006E-4</v>
      </c>
      <c r="L95" s="71">
        <f t="shared" ca="1" si="21"/>
        <v>3.9636911753372433E-4</v>
      </c>
      <c r="M95" s="71">
        <f t="shared" ca="1" si="22"/>
        <v>3.4484113225434016E-4</v>
      </c>
      <c r="N95" s="65"/>
      <c r="O95" s="550">
        <f>IF(ISBLANK('Setup - Facility Details'!$C$35),P95,0)</f>
        <v>2.0400000000000001E-2</v>
      </c>
      <c r="P95" s="218">
        <v>2.0400000000000001E-2</v>
      </c>
      <c r="Q95" s="73"/>
      <c r="R95" s="218">
        <v>0</v>
      </c>
      <c r="S95" s="74" cm="1">
        <f t="array" ref="S95">INDEX(ValidValveCF_V,V95)/100</f>
        <v>0</v>
      </c>
      <c r="T95" s="325" t="s">
        <v>1365</v>
      </c>
      <c r="V95" s="325">
        <v>1</v>
      </c>
    </row>
    <row r="96" spans="1:22" x14ac:dyDescent="0.3">
      <c r="B96" s="81" t="str">
        <f ca="1">'Translation Table'!H1133</f>
        <v>Valves (Control)</v>
      </c>
      <c r="C96" s="81" t="str">
        <f ca="1">'Translation Table'!H1134</f>
        <v>Gas</v>
      </c>
      <c r="D96" s="82">
        <v>0.13719999999999999</v>
      </c>
      <c r="E96" s="83">
        <f t="shared" si="16"/>
        <v>1.9492499999999999E-2</v>
      </c>
      <c r="F96" s="88">
        <v>7.8810000000000005E-2</v>
      </c>
      <c r="G96" s="88">
        <v>1.0059999999999999E-2</v>
      </c>
      <c r="H96" s="82">
        <f t="shared" si="17"/>
        <v>0.13719999999999999</v>
      </c>
      <c r="I96" s="83">
        <f t="shared" si="18"/>
        <v>1.9492499999999999E-2</v>
      </c>
      <c r="J96" s="84">
        <f t="shared" si="19"/>
        <v>1</v>
      </c>
      <c r="K96" s="83">
        <f t="shared" si="20"/>
        <v>1.9492499999999999E-2</v>
      </c>
      <c r="L96" s="83">
        <f t="shared" ca="1" si="21"/>
        <v>2.4745461692559881E-2</v>
      </c>
      <c r="M96" s="83">
        <f t="shared" ca="1" si="22"/>
        <v>2.1528551672527096E-2</v>
      </c>
      <c r="N96" s="65"/>
      <c r="O96" s="549">
        <f>IF(ISBLANK('Setup - Facility Details'!$C$35),P96,0)</f>
        <v>0.13719999999999999</v>
      </c>
      <c r="P96" s="218">
        <v>0.13719999999999999</v>
      </c>
      <c r="Q96" s="73"/>
      <c r="R96" s="218">
        <v>0</v>
      </c>
      <c r="S96" s="89" cm="1">
        <f t="array" ref="S96">INDEX(ValidValveCF_V,V96)/100</f>
        <v>0</v>
      </c>
      <c r="T96" s="325" t="s">
        <v>1365</v>
      </c>
      <c r="V96" s="325">
        <v>1</v>
      </c>
    </row>
    <row r="97" spans="2:22" x14ac:dyDescent="0.3">
      <c r="B97" s="48" t="str">
        <f ca="1">'Translation Table'!H1135</f>
        <v>Pump Seals</v>
      </c>
      <c r="C97" s="48" t="str">
        <f ca="1">'Translation Table'!H1136</f>
        <v>Light Liquid</v>
      </c>
      <c r="D97" s="70" t="str">
        <f>IF(OR($E97="N/A",$F97="N/A",$G97="N/A"),"N/A",IF($F97-$G97&gt;0,($E97-$G97)/($F97-$G97),"N/A"))</f>
        <v>N/A</v>
      </c>
      <c r="E97" s="71" t="str">
        <f t="shared" si="16"/>
        <v>N/A</v>
      </c>
      <c r="F97" s="75" t="s">
        <v>2754</v>
      </c>
      <c r="G97" s="75" t="s">
        <v>2754</v>
      </c>
      <c r="H97" s="70" t="str">
        <f t="shared" si="17"/>
        <v>N/A</v>
      </c>
      <c r="I97" s="71" t="str">
        <f t="shared" si="18"/>
        <v>N/A</v>
      </c>
      <c r="J97" s="72" t="str">
        <f t="shared" si="19"/>
        <v>N/A</v>
      </c>
      <c r="K97" s="71" t="str">
        <f t="shared" si="20"/>
        <v>N/A</v>
      </c>
      <c r="L97" s="71" t="str">
        <f t="shared" si="21"/>
        <v>N/A</v>
      </c>
      <c r="M97" s="71" t="str">
        <f t="shared" si="22"/>
        <v>N/A</v>
      </c>
      <c r="N97" s="65"/>
      <c r="O97" s="550" t="str">
        <f>IF(ISBLANK('Setup - Facility Details'!$C$35),P97,0)</f>
        <v>N/A</v>
      </c>
      <c r="P97" s="76" t="s">
        <v>2754</v>
      </c>
      <c r="Q97" s="73"/>
      <c r="R97" s="548">
        <v>0</v>
      </c>
      <c r="S97" s="547" t="s">
        <v>2754</v>
      </c>
      <c r="T97" s="325" t="s">
        <v>1366</v>
      </c>
      <c r="V97" s="325">
        <v>3</v>
      </c>
    </row>
    <row r="98" spans="2:22" x14ac:dyDescent="0.3">
      <c r="B98" s="81" t="str">
        <f ca="1">'Translation Table'!H1135</f>
        <v>Pump Seals</v>
      </c>
      <c r="C98" s="81" t="str">
        <f ca="1">'Translation Table'!H1137</f>
        <v>Heavy Liquid</v>
      </c>
      <c r="D98" s="82" t="str">
        <f>IF(OR($E98="N/A",$F98="N/A",$G98="N/A"),"N/A",IF($F98-$G98&gt;0,($E98-$G98)/($F98-$G98),"N/A"))</f>
        <v>N/A</v>
      </c>
      <c r="E98" s="83" t="str">
        <f t="shared" si="16"/>
        <v>N/A</v>
      </c>
      <c r="F98" s="88" t="s">
        <v>2754</v>
      </c>
      <c r="G98" s="88" t="s">
        <v>2754</v>
      </c>
      <c r="H98" s="82" t="str">
        <f t="shared" si="17"/>
        <v>N/A</v>
      </c>
      <c r="I98" s="83" t="str">
        <f t="shared" si="18"/>
        <v>N/A</v>
      </c>
      <c r="J98" s="84" t="str">
        <f t="shared" si="19"/>
        <v>N/A</v>
      </c>
      <c r="K98" s="83" t="str">
        <f t="shared" si="20"/>
        <v>N/A</v>
      </c>
      <c r="L98" s="83" t="str">
        <f t="shared" si="21"/>
        <v>N/A</v>
      </c>
      <c r="M98" s="83" t="str">
        <f t="shared" si="22"/>
        <v>N/A</v>
      </c>
      <c r="N98" s="65"/>
      <c r="O98" s="549" t="str">
        <f>IF(ISBLANK('Setup - Facility Details'!$C$35),P98,0)</f>
        <v>N/A</v>
      </c>
      <c r="P98" s="90" t="s">
        <v>2754</v>
      </c>
      <c r="Q98" s="73"/>
      <c r="R98" s="90" t="s">
        <v>2754</v>
      </c>
      <c r="S98" s="90" t="s">
        <v>2754</v>
      </c>
      <c r="T98" s="325" t="s">
        <v>1366</v>
      </c>
      <c r="V98" s="325">
        <v>3</v>
      </c>
    </row>
    <row r="99" spans="2:22" x14ac:dyDescent="0.3">
      <c r="B99" s="48" t="str">
        <f ca="1">'Translation Table'!H1138</f>
        <v xml:space="preserve">Compressor Seals (Reciprocating - Operating) </v>
      </c>
      <c r="C99" s="48" t="str">
        <f ca="1">'Translation Table'!H1139</f>
        <v>Gas</v>
      </c>
      <c r="D99" s="242">
        <v>0.67</v>
      </c>
      <c r="E99" s="71">
        <f t="shared" ref="E99:G107" si="23">E57</f>
        <v>1.7917648000000002</v>
      </c>
      <c r="F99" s="71">
        <f t="shared" si="23"/>
        <v>2.6739999999999999</v>
      </c>
      <c r="G99" s="71">
        <f t="shared" si="23"/>
        <v>5.5999999999999995E-4</v>
      </c>
      <c r="H99" s="70">
        <f t="shared" si="17"/>
        <v>0.67</v>
      </c>
      <c r="I99" s="71">
        <f t="shared" si="18"/>
        <v>1.7917648000000002</v>
      </c>
      <c r="J99" s="72">
        <f t="shared" si="19"/>
        <v>1</v>
      </c>
      <c r="K99" s="71">
        <f t="shared" si="20"/>
        <v>1.7917648000000002</v>
      </c>
      <c r="L99" s="71">
        <f t="shared" ca="1" si="21"/>
        <v>2.2746208654855575</v>
      </c>
      <c r="M99" s="71">
        <f t="shared" ca="1" si="22"/>
        <v>1.978920152972435</v>
      </c>
      <c r="N99" s="65"/>
      <c r="O99" s="550">
        <f>IF(ISBLANK('Setup - Facility Details'!$C$36),P99,0)</f>
        <v>0.67</v>
      </c>
      <c r="P99" s="218">
        <v>0.67</v>
      </c>
      <c r="Q99" s="73"/>
      <c r="R99" s="218">
        <v>0</v>
      </c>
      <c r="S99" s="74" cm="1">
        <f t="array" ref="S99">INDEX(ValidCompSealCF_V,V99)/100</f>
        <v>0</v>
      </c>
      <c r="T99" s="325" t="s">
        <v>1367</v>
      </c>
      <c r="V99" s="325">
        <v>3</v>
      </c>
    </row>
    <row r="100" spans="2:22" x14ac:dyDescent="0.3">
      <c r="B100" s="81" t="str">
        <f ca="1">'Translation Table'!H1140</f>
        <v>Compressor Seals (Reciprocating - Standby &amp; Pressurized)</v>
      </c>
      <c r="C100" s="81" t="str">
        <f ca="1">'Translation Table'!H1141</f>
        <v>Gas</v>
      </c>
      <c r="D100" s="82">
        <f>IF(OR($E100="N/A",$F100="N/A",$G100="N/A"),"N/A",IF($F100-$G100&gt;0,($E100-$G100)/($F100-$G100),"N/A"))</f>
        <v>0.67000000000000015</v>
      </c>
      <c r="E100" s="83">
        <f t="shared" si="23"/>
        <v>1.7917648000000002</v>
      </c>
      <c r="F100" s="83">
        <f t="shared" si="23"/>
        <v>2.6739999999999999</v>
      </c>
      <c r="G100" s="83">
        <f t="shared" si="23"/>
        <v>5.5999999999999995E-4</v>
      </c>
      <c r="H100" s="82">
        <f t="shared" si="17"/>
        <v>1</v>
      </c>
      <c r="I100" s="83">
        <f t="shared" si="18"/>
        <v>2.6739999999999999</v>
      </c>
      <c r="J100" s="84" t="str">
        <f t="shared" si="19"/>
        <v>N/A</v>
      </c>
      <c r="K100" s="83" t="str">
        <f t="shared" si="20"/>
        <v>N/A</v>
      </c>
      <c r="L100" s="83" t="str">
        <f t="shared" si="21"/>
        <v>N/A</v>
      </c>
      <c r="M100" s="83" t="str">
        <f t="shared" si="22"/>
        <v>N/A</v>
      </c>
      <c r="N100" s="65"/>
      <c r="O100" s="549">
        <f>IF(ISBLANK('Setup - Facility Details'!$C$36),P100,0)</f>
        <v>1</v>
      </c>
      <c r="P100" s="90">
        <v>1</v>
      </c>
      <c r="Q100" s="73"/>
      <c r="R100" s="90" t="s">
        <v>2754</v>
      </c>
      <c r="S100" s="90" t="s">
        <v>2754</v>
      </c>
      <c r="T100" s="325" t="s">
        <v>1367</v>
      </c>
      <c r="V100" s="325">
        <v>3</v>
      </c>
    </row>
    <row r="101" spans="2:22" x14ac:dyDescent="0.3">
      <c r="B101" s="48" t="str">
        <f ca="1">'Translation Table'!H1142</f>
        <v>Compressor Seals (Reciprocating - Depressurized)</v>
      </c>
      <c r="C101" s="48" t="str">
        <f ca="1">'Translation Table'!H1143</f>
        <v>Gas</v>
      </c>
      <c r="D101" s="70" t="str">
        <f>IF(OR($E101="N/A",$F101="N/A",$G101="N/A"),"N/A",IF($F101-$G101&gt;0,($E101-$G101)/($F101-$G101),"N/A"))</f>
        <v>N/A</v>
      </c>
      <c r="E101" s="71">
        <f t="shared" si="23"/>
        <v>0</v>
      </c>
      <c r="F101" s="71">
        <f t="shared" si="23"/>
        <v>0</v>
      </c>
      <c r="G101" s="71">
        <f t="shared" si="23"/>
        <v>0</v>
      </c>
      <c r="H101" s="70">
        <f t="shared" si="17"/>
        <v>1</v>
      </c>
      <c r="I101" s="71">
        <f t="shared" si="18"/>
        <v>0</v>
      </c>
      <c r="J101" s="72" t="str">
        <f t="shared" si="19"/>
        <v>N/A</v>
      </c>
      <c r="K101" s="71" t="str">
        <f t="shared" si="20"/>
        <v>N/A</v>
      </c>
      <c r="L101" s="71" t="str">
        <f t="shared" si="21"/>
        <v>N/A</v>
      </c>
      <c r="M101" s="71" t="str">
        <f t="shared" si="22"/>
        <v>N/A</v>
      </c>
      <c r="N101" s="65"/>
      <c r="O101" s="550">
        <f>IF(ISBLANK('Setup - Facility Details'!$C$36),P101,0)</f>
        <v>1</v>
      </c>
      <c r="P101" s="76">
        <v>1</v>
      </c>
      <c r="Q101" s="73"/>
      <c r="R101" s="76" t="s">
        <v>2754</v>
      </c>
      <c r="S101" s="76" t="s">
        <v>2754</v>
      </c>
      <c r="T101" s="325" t="s">
        <v>1367</v>
      </c>
      <c r="V101" s="325">
        <v>3</v>
      </c>
    </row>
    <row r="102" spans="2:22" x14ac:dyDescent="0.3">
      <c r="B102" s="81" t="str">
        <f ca="1">'Translation Table'!H1144</f>
        <v>Compressor Wet Seals (Centrifugal - Operating)</v>
      </c>
      <c r="C102" s="81" t="str">
        <f ca="1">'Translation Table'!H1143</f>
        <v>Gas</v>
      </c>
      <c r="D102" s="82">
        <v>0.66</v>
      </c>
      <c r="E102" s="83">
        <f t="shared" si="23"/>
        <v>32.340000000000003</v>
      </c>
      <c r="F102" s="83">
        <f t="shared" si="23"/>
        <v>32.340000000000003</v>
      </c>
      <c r="G102" s="83">
        <f t="shared" si="23"/>
        <v>0</v>
      </c>
      <c r="H102" s="82">
        <f t="shared" si="17"/>
        <v>1</v>
      </c>
      <c r="I102" s="83">
        <f t="shared" si="18"/>
        <v>32.340000000000003</v>
      </c>
      <c r="J102" s="84">
        <f t="shared" si="19"/>
        <v>1</v>
      </c>
      <c r="K102" s="83">
        <f t="shared" si="20"/>
        <v>32.340000000000003</v>
      </c>
      <c r="L102" s="83">
        <f t="shared" ca="1" si="21"/>
        <v>41.055186925093594</v>
      </c>
      <c r="M102" s="83">
        <f t="shared" ca="1" si="22"/>
        <v>35.718012624831424</v>
      </c>
      <c r="N102" s="65"/>
      <c r="O102" s="549">
        <f>IF(ISBLANK('Setup - Facility Details'!$C$36),P102,0)</f>
        <v>1</v>
      </c>
      <c r="P102" s="218">
        <v>1</v>
      </c>
      <c r="Q102" s="73"/>
      <c r="R102" s="218">
        <v>0</v>
      </c>
      <c r="S102" s="89" cm="1">
        <f t="array" ref="S102">INDEX(ValidCompSealCF_V,V102)/100</f>
        <v>0</v>
      </c>
      <c r="T102" s="325" t="s">
        <v>1367</v>
      </c>
      <c r="V102" s="325">
        <v>3</v>
      </c>
    </row>
    <row r="103" spans="2:22" x14ac:dyDescent="0.3">
      <c r="B103" s="48" t="str">
        <f ca="1">'Translation Table'!H1145</f>
        <v>Compressor Wet Seals (Centrifugal - Standby &amp; Pressurized)</v>
      </c>
      <c r="C103" s="48" t="str">
        <f ca="1">'Translation Table'!H1143</f>
        <v>Gas</v>
      </c>
      <c r="D103" s="70" t="str">
        <f>IF(OR($E103="N/A",$F103="N/A",$G103="N/A"),"N/A",IF($F103-$G103&gt;0,($E103-$G103)/($F103-$G103),"N/A"))</f>
        <v>N/A</v>
      </c>
      <c r="E103" s="71">
        <f t="shared" si="23"/>
        <v>0</v>
      </c>
      <c r="F103" s="71">
        <f t="shared" si="23"/>
        <v>0</v>
      </c>
      <c r="G103" s="71">
        <f t="shared" si="23"/>
        <v>0</v>
      </c>
      <c r="H103" s="70">
        <f t="shared" si="17"/>
        <v>1</v>
      </c>
      <c r="I103" s="71">
        <f t="shared" si="18"/>
        <v>0</v>
      </c>
      <c r="J103" s="72" t="str">
        <f t="shared" si="19"/>
        <v>N/A</v>
      </c>
      <c r="K103" s="71" t="str">
        <f t="shared" si="20"/>
        <v>N/A</v>
      </c>
      <c r="L103" s="71" t="str">
        <f t="shared" si="21"/>
        <v>N/A</v>
      </c>
      <c r="M103" s="71" t="str">
        <f t="shared" si="22"/>
        <v>N/A</v>
      </c>
      <c r="N103" s="65"/>
      <c r="O103" s="550">
        <f>IF(ISBLANK('Setup - Facility Details'!$C$36),P103,0)</f>
        <v>1</v>
      </c>
      <c r="P103" s="76">
        <v>1</v>
      </c>
      <c r="Q103" s="73"/>
      <c r="R103" s="76" t="s">
        <v>2754</v>
      </c>
      <c r="S103" s="76" t="s">
        <v>2754</v>
      </c>
      <c r="T103" s="325" t="s">
        <v>1367</v>
      </c>
      <c r="V103" s="325">
        <v>3</v>
      </c>
    </row>
    <row r="104" spans="2:22" x14ac:dyDescent="0.3">
      <c r="B104" s="81" t="str">
        <f ca="1">'Translation Table'!H1146</f>
        <v>Compressor Wet Seals (Centrifugal - Depressurized)</v>
      </c>
      <c r="C104" s="81" t="str">
        <f ca="1">'Translation Table'!H1143</f>
        <v>Gas</v>
      </c>
      <c r="D104" s="82" t="str">
        <f>IF(OR($E104="N/A",$F104="N/A",$G104="N/A"),"N/A",IF($F104-$G104&gt;0,($E104-$G104)/($F104-$G104),"N/A"))</f>
        <v>N/A</v>
      </c>
      <c r="E104" s="83">
        <f t="shared" si="23"/>
        <v>0</v>
      </c>
      <c r="F104" s="83">
        <f t="shared" si="23"/>
        <v>0</v>
      </c>
      <c r="G104" s="83">
        <f t="shared" si="23"/>
        <v>0</v>
      </c>
      <c r="H104" s="82">
        <f t="shared" si="17"/>
        <v>1</v>
      </c>
      <c r="I104" s="83">
        <f t="shared" si="18"/>
        <v>0</v>
      </c>
      <c r="J104" s="84" t="str">
        <f t="shared" si="19"/>
        <v>N/A</v>
      </c>
      <c r="K104" s="83" t="str">
        <f t="shared" si="20"/>
        <v>N/A</v>
      </c>
      <c r="L104" s="83" t="str">
        <f t="shared" si="21"/>
        <v>N/A</v>
      </c>
      <c r="M104" s="83" t="str">
        <f t="shared" si="22"/>
        <v>N/A</v>
      </c>
      <c r="N104" s="65"/>
      <c r="O104" s="549">
        <f>IF(ISBLANK('Setup - Facility Details'!$C$36),P104,0)</f>
        <v>1</v>
      </c>
      <c r="P104" s="90">
        <v>1</v>
      </c>
      <c r="Q104" s="73"/>
      <c r="R104" s="90" t="s">
        <v>2754</v>
      </c>
      <c r="S104" s="90" t="s">
        <v>2754</v>
      </c>
      <c r="T104" s="325" t="s">
        <v>1367</v>
      </c>
      <c r="V104" s="325">
        <v>3</v>
      </c>
    </row>
    <row r="105" spans="2:22" x14ac:dyDescent="0.3">
      <c r="B105" s="48" t="str">
        <f ca="1">'Translation Table'!H1147</f>
        <v>Compressor Dry Seals (Centrifugal - Operating)</v>
      </c>
      <c r="C105" s="48" t="str">
        <f ca="1">'Translation Table'!H1143</f>
        <v>Gas</v>
      </c>
      <c r="D105" s="70">
        <v>0.66</v>
      </c>
      <c r="E105" s="71">
        <f t="shared" si="23"/>
        <v>2.54</v>
      </c>
      <c r="F105" s="71">
        <f t="shared" si="23"/>
        <v>2.2810000000000001</v>
      </c>
      <c r="G105" s="71">
        <f t="shared" si="23"/>
        <v>7.5000000000000002E-6</v>
      </c>
      <c r="H105" s="70">
        <f>O105</f>
        <v>1</v>
      </c>
      <c r="I105" s="71">
        <f>IF(OR($E105="N/A",$F105="N/A",$G105="N/A"),"N/A",H105*F105+(1-H105)*G105)</f>
        <v>2.2810000000000001</v>
      </c>
      <c r="J105" s="72">
        <f>IF(OR(I105="N/A",S105="N/A"),"N/A",R105*(1-S105)+(1-R105))</f>
        <v>1</v>
      </c>
      <c r="K105" s="71">
        <f>IF(OR(I105="N/A",J105="N/A"),"N/A",J105*I105)</f>
        <v>2.2810000000000001</v>
      </c>
      <c r="L105" s="71">
        <f ca="1">IF(OR(I105="N/A",J105="N/A"),"N/A",K105/IF(C105=Gas,ProcessGas_M,Vapor_M)*Vstp)</f>
        <v>2.8956982491075594</v>
      </c>
      <c r="M105" s="71">
        <f ca="1">IF(K105="N/A","N/A",L105*IF(OR(C105=Gas,C105=All),ProcessGas_CH4,Vapor_CH4))</f>
        <v>2.5192574767235767</v>
      </c>
      <c r="N105" s="65"/>
      <c r="O105" s="550">
        <f>IF(ISBLANK('Setup - Facility Details'!$C$36),P105,0)</f>
        <v>1</v>
      </c>
      <c r="P105" s="546">
        <v>1</v>
      </c>
      <c r="Q105" s="73"/>
      <c r="R105" s="546">
        <v>0</v>
      </c>
      <c r="S105" s="76" cm="1">
        <f t="array" ref="S105">INDEX(ValidCompSealCF_V,V105)/100</f>
        <v>0</v>
      </c>
      <c r="T105" s="325" t="s">
        <v>1367</v>
      </c>
      <c r="V105" s="325">
        <v>3</v>
      </c>
    </row>
    <row r="106" spans="2:22" x14ac:dyDescent="0.3">
      <c r="B106" s="81" t="str">
        <f ca="1">'Translation Table'!H1148</f>
        <v>Compressor Dry Seals (Centrifugal - Standby &amp; Pressurized)</v>
      </c>
      <c r="C106" s="81" t="str">
        <f ca="1">'Translation Table'!H1143</f>
        <v>Gas</v>
      </c>
      <c r="D106" s="82">
        <f>IF(OR($E106="N/A",$F106="N/A",$G106="N/A"),"N/A",IF($F106-$G106&gt;0,($E106-$G106)/($F106-$G106),"N/A"))</f>
        <v>1</v>
      </c>
      <c r="E106" s="83">
        <f t="shared" si="23"/>
        <v>2.54</v>
      </c>
      <c r="F106" s="83">
        <f t="shared" si="23"/>
        <v>2.54</v>
      </c>
      <c r="G106" s="83">
        <f t="shared" si="23"/>
        <v>0</v>
      </c>
      <c r="H106" s="82">
        <f>O106</f>
        <v>1</v>
      </c>
      <c r="I106" s="83">
        <f>IF(OR($E106="N/A",$F106="N/A",$G106="N/A"),"N/A",H106*F106+(1-H106)*G106)</f>
        <v>2.54</v>
      </c>
      <c r="J106" s="84" t="str">
        <f>IF(OR(I106="N/A",S106="N/A"),"N/A",R106*(1-S106)+(1-R106))</f>
        <v>N/A</v>
      </c>
      <c r="K106" s="83" t="str">
        <f>IF(OR(I106="N/A",J106="N/A"),"N/A",J106*I106)</f>
        <v>N/A</v>
      </c>
      <c r="L106" s="83" t="str">
        <f>IF(OR(I106="N/A",J106="N/A"),"N/A",K106/IF(C106=Gas,ProcessGas_M,Vapor_M)*Vstp)</f>
        <v>N/A</v>
      </c>
      <c r="M106" s="83" t="str">
        <f>IF(K106="N/A","N/A",L106*IF(OR(C106=Gas,C106=All),ProcessGas_CH4,Vapor_CH4))</f>
        <v>N/A</v>
      </c>
      <c r="N106" s="65"/>
      <c r="O106" s="549">
        <f>IF(ISBLANK('Setup - Facility Details'!$C$36),P106,0)</f>
        <v>1</v>
      </c>
      <c r="P106" s="90">
        <v>1</v>
      </c>
      <c r="Q106" s="73"/>
      <c r="R106" s="90" t="s">
        <v>2754</v>
      </c>
      <c r="S106" s="90" t="s">
        <v>2754</v>
      </c>
      <c r="T106" s="325" t="s">
        <v>1367</v>
      </c>
      <c r="V106" s="325">
        <v>3</v>
      </c>
    </row>
    <row r="107" spans="2:22" x14ac:dyDescent="0.3">
      <c r="B107" s="48" t="str">
        <f ca="1">'Translation Table'!H1149</f>
        <v>Compressor Dry Seals (Centrifugal - Depressurized)</v>
      </c>
      <c r="C107" s="48" t="str">
        <f ca="1">'Translation Table'!H1143</f>
        <v>Gas</v>
      </c>
      <c r="D107" s="70" t="str">
        <f>IF(OR($E107="N/A",$F107="N/A",$G107="N/A"),"N/A",IF($F107-$G107&gt;0,($E107-$G107)/($F107-$G107),"N/A"))</f>
        <v>N/A</v>
      </c>
      <c r="E107" s="71">
        <f t="shared" si="23"/>
        <v>0</v>
      </c>
      <c r="F107" s="71">
        <f t="shared" si="23"/>
        <v>0</v>
      </c>
      <c r="G107" s="71">
        <f t="shared" si="23"/>
        <v>0</v>
      </c>
      <c r="H107" s="70">
        <f>O107</f>
        <v>1</v>
      </c>
      <c r="I107" s="71">
        <f>IF(OR($E107="N/A",$F107="N/A",$G107="N/A"),"N/A",H107*F107+(1-H107)*G107)</f>
        <v>0</v>
      </c>
      <c r="J107" s="72" t="str">
        <f>IF(OR(I107="N/A",S107="N/A"),"N/A",R107*(1-S107)+(1-R107))</f>
        <v>N/A</v>
      </c>
      <c r="K107" s="71" t="str">
        <f>IF(OR(I107="N/A",J107="N/A"),"N/A",J107*I107)</f>
        <v>N/A</v>
      </c>
      <c r="L107" s="71" t="str">
        <f>IF(OR(I107="N/A",J107="N/A"),"N/A",K107/IF(C107=Gas,ProcessGas_M,Vapor_M)*Vstp)</f>
        <v>N/A</v>
      </c>
      <c r="M107" s="71" t="str">
        <f>IF(K107="N/A","N/A",L107*IF(OR(C107=Gas,C107=All),ProcessGas_CH4,Vapor_CH4))</f>
        <v>N/A</v>
      </c>
      <c r="N107" s="65"/>
      <c r="O107" s="550">
        <f>IF(ISBLANK('Setup - Facility Details'!$C$36),P107,0)</f>
        <v>1</v>
      </c>
      <c r="P107" s="76">
        <v>1</v>
      </c>
      <c r="Q107" s="73"/>
      <c r="R107" s="76" t="s">
        <v>2754</v>
      </c>
      <c r="S107" s="76" t="s">
        <v>2754</v>
      </c>
      <c r="T107" s="325" t="s">
        <v>1367</v>
      </c>
      <c r="V107" s="325">
        <v>3</v>
      </c>
    </row>
    <row r="108" spans="2:22" x14ac:dyDescent="0.3">
      <c r="B108" s="81" t="str">
        <f ca="1">'Translation Table'!H1150</f>
        <v>Compressor (Reciprocating - Crankcase Vent)</v>
      </c>
      <c r="C108" s="81" t="str">
        <f ca="1">'Translation Table'!H1151</f>
        <v>Gas</v>
      </c>
      <c r="D108" s="82" t="str">
        <f>IF(OR($E108="N/A",$F108="N/A",$G108="N/A"),"N/A",IF($F108-$G108&gt;0,($E108-$G108)/($F108-$G108),"N/A"))</f>
        <v>N/A</v>
      </c>
      <c r="E108" s="83" t="str">
        <f t="shared" ref="E108:E124" si="24">IF(OR(F108="N/A",G108="N/A"),"N/A",D108*F108+(1-D108)*G108)</f>
        <v>N/A</v>
      </c>
      <c r="F108" s="88" t="s">
        <v>2754</v>
      </c>
      <c r="G108" s="88" t="s">
        <v>2754</v>
      </c>
      <c r="H108" s="82" t="str">
        <f t="shared" si="17"/>
        <v>N/A</v>
      </c>
      <c r="I108" s="83" t="str">
        <f t="shared" si="18"/>
        <v>N/A</v>
      </c>
      <c r="J108" s="84" t="str">
        <f t="shared" si="19"/>
        <v>N/A</v>
      </c>
      <c r="K108" s="83" t="str">
        <f t="shared" si="20"/>
        <v>N/A</v>
      </c>
      <c r="L108" s="83" t="str">
        <f t="shared" si="21"/>
        <v>N/A</v>
      </c>
      <c r="M108" s="83" t="str">
        <f t="shared" si="22"/>
        <v>N/A</v>
      </c>
      <c r="N108" s="65"/>
      <c r="O108" s="549" t="str">
        <f>IF(ISBLANK('Setup - Facility Details'!$C$35),P108,0)</f>
        <v>N/A</v>
      </c>
      <c r="P108" s="90" t="s">
        <v>2754</v>
      </c>
      <c r="Q108" s="73"/>
      <c r="R108" s="90" t="s">
        <v>2754</v>
      </c>
      <c r="S108" s="90" t="s">
        <v>2754</v>
      </c>
      <c r="T108" s="325" t="s">
        <v>1368</v>
      </c>
      <c r="V108" s="325">
        <v>2</v>
      </c>
    </row>
    <row r="109" spans="2:22" x14ac:dyDescent="0.3">
      <c r="B109" s="48" t="str">
        <f ca="1">'Translation Table'!H1152</f>
        <v>Pressure Relief Valves</v>
      </c>
      <c r="C109" s="48" t="str">
        <f ca="1">'Translation Table'!H1153</f>
        <v>Gas</v>
      </c>
      <c r="D109" s="242">
        <v>9.5299999999999996E-2</v>
      </c>
      <c r="E109" s="71">
        <f t="shared" si="24"/>
        <v>3.9425367900000003E-3</v>
      </c>
      <c r="F109" s="243">
        <v>3.524E-2</v>
      </c>
      <c r="G109" s="243">
        <v>6.4570000000000003E-4</v>
      </c>
      <c r="H109" s="70">
        <f t="shared" si="17"/>
        <v>9.5299999999999996E-2</v>
      </c>
      <c r="I109" s="71">
        <f t="shared" si="18"/>
        <v>3.9425367900000003E-3</v>
      </c>
      <c r="J109" s="72">
        <f t="shared" si="19"/>
        <v>1</v>
      </c>
      <c r="K109" s="71">
        <f t="shared" si="20"/>
        <v>3.9425367900000003E-3</v>
      </c>
      <c r="L109" s="71">
        <f t="shared" ca="1" si="21"/>
        <v>5.0049964400899335E-3</v>
      </c>
      <c r="M109" s="71">
        <f t="shared" ca="1" si="22"/>
        <v>4.354346902878242E-3</v>
      </c>
      <c r="N109" s="65"/>
      <c r="O109" s="550">
        <f>IF(ISBLANK('Setup - Facility Details'!$C$35),P109,0)</f>
        <v>9.5299999999999996E-2</v>
      </c>
      <c r="P109" s="218">
        <v>9.5299999999999996E-2</v>
      </c>
      <c r="Q109" s="73"/>
      <c r="R109" s="218">
        <v>0</v>
      </c>
      <c r="S109" s="74" cm="1">
        <f t="array" ref="S109">INDEX(ValidPRVCF_V,V109)/100</f>
        <v>0</v>
      </c>
      <c r="T109" s="325" t="s">
        <v>1369</v>
      </c>
      <c r="V109" s="325">
        <v>2</v>
      </c>
    </row>
    <row r="110" spans="2:22" x14ac:dyDescent="0.3">
      <c r="B110" s="81" t="str">
        <f ca="1">'Translation Table'!H1154</f>
        <v>Regulators</v>
      </c>
      <c r="C110" s="81" t="str">
        <f ca="1">'Translation Table'!H1155</f>
        <v>Gas</v>
      </c>
      <c r="D110" s="82">
        <v>2.12E-2</v>
      </c>
      <c r="E110" s="83">
        <f t="shared" si="24"/>
        <v>6.1739756000000004E-4</v>
      </c>
      <c r="F110" s="88">
        <v>2.8490000000000001E-2</v>
      </c>
      <c r="G110" s="88">
        <v>1.3699999999999999E-5</v>
      </c>
      <c r="H110" s="82">
        <f t="shared" si="17"/>
        <v>2.12E-2</v>
      </c>
      <c r="I110" s="83">
        <f t="shared" si="18"/>
        <v>6.1739756000000004E-4</v>
      </c>
      <c r="J110" s="84">
        <f t="shared" si="19"/>
        <v>1</v>
      </c>
      <c r="K110" s="83">
        <f t="shared" si="20"/>
        <v>6.1739756000000004E-4</v>
      </c>
      <c r="L110" s="83">
        <f t="shared" ca="1" si="21"/>
        <v>7.8377774375067047E-4</v>
      </c>
      <c r="M110" s="83">
        <f t="shared" ca="1" si="22"/>
        <v>6.8188663706308331E-4</v>
      </c>
      <c r="N110" s="65"/>
      <c r="O110" s="549">
        <f>IF(ISBLANK('Setup - Facility Details'!$C$35),P110,0)</f>
        <v>2.12E-2</v>
      </c>
      <c r="P110" s="218">
        <v>2.12E-2</v>
      </c>
      <c r="Q110" s="73"/>
      <c r="R110" s="218">
        <v>0</v>
      </c>
      <c r="S110" s="89">
        <f>INDEX(ValidRegulatorCF_V,V110)/100</f>
        <v>0</v>
      </c>
      <c r="T110" s="325" t="s">
        <v>1370</v>
      </c>
      <c r="V110" s="325">
        <v>1</v>
      </c>
    </row>
    <row r="111" spans="2:22" x14ac:dyDescent="0.3">
      <c r="B111" s="48" t="str">
        <f ca="1">'Translation Table'!H1156</f>
        <v>Connectors</v>
      </c>
      <c r="C111" s="48" t="str">
        <f ca="1">'Translation Table'!H1157</f>
        <v>Gas</v>
      </c>
      <c r="D111" s="242">
        <v>9.2999999999999992E-3</v>
      </c>
      <c r="E111" s="71">
        <f t="shared" si="24"/>
        <v>6.8197509999999993E-5</v>
      </c>
      <c r="F111" s="243">
        <v>6.875E-3</v>
      </c>
      <c r="G111" s="243">
        <v>4.3000000000000003E-6</v>
      </c>
      <c r="H111" s="70">
        <f t="shared" si="17"/>
        <v>9.2999999999999992E-3</v>
      </c>
      <c r="I111" s="71">
        <f t="shared" si="18"/>
        <v>6.8197509999999993E-5</v>
      </c>
      <c r="J111" s="72">
        <f t="shared" si="19"/>
        <v>1</v>
      </c>
      <c r="K111" s="71">
        <f t="shared" si="20"/>
        <v>6.8197509999999993E-5</v>
      </c>
      <c r="L111" s="71">
        <f t="shared" ca="1" si="21"/>
        <v>8.6575804603461308E-5</v>
      </c>
      <c r="M111" s="71">
        <f t="shared" ca="1" si="22"/>
        <v>7.5320950005011334E-5</v>
      </c>
      <c r="N111" s="65"/>
      <c r="O111" s="550">
        <f>IF(ISBLANK('Setup - Facility Details'!$C$35),P111,0)</f>
        <v>9.2999999999999992E-3</v>
      </c>
      <c r="P111" s="218">
        <v>9.2999999999999992E-3</v>
      </c>
      <c r="Q111" s="73"/>
      <c r="R111" s="218">
        <v>0</v>
      </c>
      <c r="S111" s="74" cm="1">
        <f t="array" ref="S111">INDEX(ValidConnectorCF_V,V111)/100</f>
        <v>0</v>
      </c>
      <c r="T111" s="325" t="s">
        <v>1371</v>
      </c>
      <c r="V111" s="325">
        <v>1</v>
      </c>
    </row>
    <row r="112" spans="2:22" x14ac:dyDescent="0.3">
      <c r="B112" s="81" t="str">
        <f ca="1">'Translation Table'!H1156</f>
        <v>Connectors</v>
      </c>
      <c r="C112" s="81" t="str">
        <f ca="1">'Translation Table'!H1158</f>
        <v>Light Liquid</v>
      </c>
      <c r="D112" s="82" t="str">
        <f>IF(OR($E112="N/A",$F112="N/A",$G112="N/A"),"N/A",IF($F112-$G112&gt;0,($E112-$G112)/($F112-$G112),"N/A"))</f>
        <v>N/A</v>
      </c>
      <c r="E112" s="83" t="str">
        <f t="shared" si="24"/>
        <v>N/A</v>
      </c>
      <c r="F112" s="88" t="s">
        <v>2754</v>
      </c>
      <c r="G112" s="88" t="s">
        <v>2754</v>
      </c>
      <c r="H112" s="82" t="str">
        <f t="shared" si="17"/>
        <v>N/A</v>
      </c>
      <c r="I112" s="83" t="str">
        <f t="shared" si="18"/>
        <v>N/A</v>
      </c>
      <c r="J112" s="84" t="str">
        <f t="shared" si="19"/>
        <v>N/A</v>
      </c>
      <c r="K112" s="83" t="str">
        <f t="shared" si="20"/>
        <v>N/A</v>
      </c>
      <c r="L112" s="83" t="str">
        <f t="shared" si="21"/>
        <v>N/A</v>
      </c>
      <c r="M112" s="83" t="str">
        <f t="shared" si="22"/>
        <v>N/A</v>
      </c>
      <c r="N112" s="65"/>
      <c r="O112" s="549" t="str">
        <f>IF(ISBLANK('Setup - Facility Details'!$C$35),P112,0)</f>
        <v>N/A</v>
      </c>
      <c r="P112" s="90" t="s">
        <v>2754</v>
      </c>
      <c r="Q112" s="73"/>
      <c r="R112" s="90" t="s">
        <v>2754</v>
      </c>
      <c r="S112" s="90" t="s">
        <v>2754</v>
      </c>
      <c r="T112" s="325" t="s">
        <v>1371</v>
      </c>
      <c r="V112" s="325">
        <v>1</v>
      </c>
    </row>
    <row r="113" spans="1:22" x14ac:dyDescent="0.3">
      <c r="B113" s="48" t="str">
        <f ca="1">'Translation Table'!H1156</f>
        <v>Connectors</v>
      </c>
      <c r="C113" s="48" t="str">
        <f ca="1">'Translation Table'!H1159</f>
        <v>Heavy Liquid</v>
      </c>
      <c r="D113" s="70" t="str">
        <f>IF(OR($E113="N/A",$F113="N/A",$G113="N/A"),"N/A",IF($F113-$G113&gt;0,($E113-$G113)/($F113-$G113),"N/A"))</f>
        <v>N/A</v>
      </c>
      <c r="E113" s="71" t="str">
        <f t="shared" si="24"/>
        <v>N/A</v>
      </c>
      <c r="F113" s="75" t="s">
        <v>2754</v>
      </c>
      <c r="G113" s="75" t="s">
        <v>2754</v>
      </c>
      <c r="H113" s="70" t="str">
        <f t="shared" si="17"/>
        <v>N/A</v>
      </c>
      <c r="I113" s="71" t="str">
        <f t="shared" si="18"/>
        <v>N/A</v>
      </c>
      <c r="J113" s="72" t="str">
        <f t="shared" si="19"/>
        <v>N/A</v>
      </c>
      <c r="K113" s="71" t="str">
        <f t="shared" si="20"/>
        <v>N/A</v>
      </c>
      <c r="L113" s="71" t="str">
        <f t="shared" si="21"/>
        <v>N/A</v>
      </c>
      <c r="M113" s="71" t="str">
        <f t="shared" si="22"/>
        <v>N/A</v>
      </c>
      <c r="N113" s="65"/>
      <c r="O113" s="550" t="str">
        <f>IF(ISBLANK('Setup - Facility Details'!$C$35),P113,0)</f>
        <v>N/A</v>
      </c>
      <c r="P113" s="76" t="s">
        <v>2754</v>
      </c>
      <c r="Q113" s="73"/>
      <c r="R113" s="76" t="s">
        <v>2754</v>
      </c>
      <c r="S113" s="76" t="s">
        <v>2754</v>
      </c>
      <c r="T113" s="325" t="s">
        <v>1371</v>
      </c>
      <c r="V113" s="325">
        <v>1</v>
      </c>
    </row>
    <row r="114" spans="1:22" x14ac:dyDescent="0.3">
      <c r="B114" s="81" t="str">
        <f ca="1">'Translation Table'!H1160</f>
        <v>Open-ended Lines</v>
      </c>
      <c r="C114" s="81" t="str">
        <f ca="1">'Translation Table'!H1161</f>
        <v>Gas</v>
      </c>
      <c r="D114" s="82">
        <v>0.4995</v>
      </c>
      <c r="E114" s="83">
        <f t="shared" si="24"/>
        <v>6.0795606350000003E-2</v>
      </c>
      <c r="F114" s="88">
        <v>0.1216</v>
      </c>
      <c r="G114" s="88">
        <v>1.127E-4</v>
      </c>
      <c r="H114" s="82">
        <f t="shared" si="17"/>
        <v>0.4995</v>
      </c>
      <c r="I114" s="83">
        <f t="shared" si="18"/>
        <v>6.0795606350000003E-2</v>
      </c>
      <c r="J114" s="84">
        <f t="shared" si="19"/>
        <v>1</v>
      </c>
      <c r="K114" s="83">
        <f t="shared" si="20"/>
        <v>6.0795606350000003E-2</v>
      </c>
      <c r="L114" s="83">
        <f t="shared" ca="1" si="21"/>
        <v>7.7179189329735831E-2</v>
      </c>
      <c r="M114" s="83">
        <f t="shared" ca="1" si="22"/>
        <v>6.7145894716870172E-2</v>
      </c>
      <c r="N114" s="65"/>
      <c r="O114" s="549">
        <f>IF(ISBLANK('Setup - Facility Details'!$C$35),P114,0)</f>
        <v>0.4995</v>
      </c>
      <c r="P114" s="218">
        <v>0.4995</v>
      </c>
      <c r="Q114" s="73"/>
      <c r="R114" s="218">
        <v>0</v>
      </c>
      <c r="S114" s="89" cm="1">
        <f t="array" ref="S114">INDEX(ValidOELCF_V,V114)/100</f>
        <v>0</v>
      </c>
      <c r="T114" s="325" t="s">
        <v>1372</v>
      </c>
      <c r="V114" s="325">
        <v>2</v>
      </c>
    </row>
    <row r="115" spans="1:22" x14ac:dyDescent="0.3">
      <c r="B115" s="48" t="str">
        <f ca="1">'Translation Table'!H1160</f>
        <v>Open-ended Lines</v>
      </c>
      <c r="C115" s="48" t="str">
        <f ca="1">'Translation Table'!H1162</f>
        <v>Light Liquid</v>
      </c>
      <c r="D115" s="70" t="str">
        <f>IF(OR($E115="N/A",$F115="N/A",$G115="N/A"),"N/A",IF($F115-$G115&gt;0,($E115-$G115)/($F115-$G115),"N/A"))</f>
        <v>N/A</v>
      </c>
      <c r="E115" s="71" t="str">
        <f t="shared" si="24"/>
        <v>N/A</v>
      </c>
      <c r="F115" s="75" t="s">
        <v>2754</v>
      </c>
      <c r="G115" s="75" t="s">
        <v>2754</v>
      </c>
      <c r="H115" s="70" t="str">
        <f t="shared" si="17"/>
        <v>N/A</v>
      </c>
      <c r="I115" s="71" t="str">
        <f t="shared" si="18"/>
        <v>N/A</v>
      </c>
      <c r="J115" s="72" t="str">
        <f t="shared" si="19"/>
        <v>N/A</v>
      </c>
      <c r="K115" s="71" t="str">
        <f t="shared" si="20"/>
        <v>N/A</v>
      </c>
      <c r="L115" s="71" t="str">
        <f t="shared" si="21"/>
        <v>N/A</v>
      </c>
      <c r="M115" s="71" t="str">
        <f t="shared" si="22"/>
        <v>N/A</v>
      </c>
      <c r="N115" s="65"/>
      <c r="O115" s="550" t="str">
        <f>IF(ISBLANK('Setup - Facility Details'!$C$35),P115,0)</f>
        <v>N/A</v>
      </c>
      <c r="P115" s="76" t="s">
        <v>2754</v>
      </c>
      <c r="Q115" s="73"/>
      <c r="R115" s="76" t="s">
        <v>2754</v>
      </c>
      <c r="S115" s="76" t="s">
        <v>2754</v>
      </c>
      <c r="T115" s="325" t="s">
        <v>1372</v>
      </c>
      <c r="V115" s="325">
        <v>2</v>
      </c>
    </row>
    <row r="116" spans="1:22" x14ac:dyDescent="0.3">
      <c r="B116" s="81" t="str">
        <f ca="1">'Translation Table'!H1160</f>
        <v>Open-ended Lines</v>
      </c>
      <c r="C116" s="81" t="str">
        <f ca="1">'Translation Table'!H1163</f>
        <v>Heavy Liquid</v>
      </c>
      <c r="D116" s="82" t="str">
        <f>IF(OR($E116="N/A",$F116="N/A",$G116="N/A"),"N/A",IF($F116-$G116&gt;0,($E116-$G116)/($F116-$G116),"N/A"))</f>
        <v>N/A</v>
      </c>
      <c r="E116" s="83" t="str">
        <f t="shared" si="24"/>
        <v>N/A</v>
      </c>
      <c r="F116" s="88" t="s">
        <v>2754</v>
      </c>
      <c r="G116" s="88" t="s">
        <v>2754</v>
      </c>
      <c r="H116" s="82" t="str">
        <f t="shared" si="17"/>
        <v>N/A</v>
      </c>
      <c r="I116" s="83" t="str">
        <f t="shared" si="18"/>
        <v>N/A</v>
      </c>
      <c r="J116" s="84" t="str">
        <f t="shared" si="19"/>
        <v>N/A</v>
      </c>
      <c r="K116" s="83" t="str">
        <f t="shared" si="20"/>
        <v>N/A</v>
      </c>
      <c r="L116" s="83" t="str">
        <f t="shared" si="21"/>
        <v>N/A</v>
      </c>
      <c r="M116" s="83" t="str">
        <f t="shared" si="22"/>
        <v>N/A</v>
      </c>
      <c r="N116" s="65"/>
      <c r="O116" s="549" t="str">
        <f>IF(ISBLANK('Setup - Facility Details'!$C$35),P116,0)</f>
        <v>N/A</v>
      </c>
      <c r="P116" s="90" t="s">
        <v>2754</v>
      </c>
      <c r="Q116" s="73"/>
      <c r="R116" s="90" t="s">
        <v>2754</v>
      </c>
      <c r="S116" s="90" t="s">
        <v>2754</v>
      </c>
      <c r="T116" s="325" t="s">
        <v>1372</v>
      </c>
      <c r="V116" s="325">
        <v>2</v>
      </c>
    </row>
    <row r="117" spans="1:22" x14ac:dyDescent="0.3">
      <c r="B117" s="48" t="str">
        <f ca="1">'Translation Table'!H1164</f>
        <v>Sampling Connections</v>
      </c>
      <c r="C117" s="48" t="str">
        <f ca="1">'Translation Table'!H1165</f>
        <v>All</v>
      </c>
      <c r="D117" s="70" t="str">
        <f>IF(OR($E117="N/A",$F117="N/A",$G117="N/A"),"N/A",IF($F117-$G117&gt;0,($E117-$G117)/($F117-$G117),"N/A"))</f>
        <v>N/A</v>
      </c>
      <c r="E117" s="71" t="str">
        <f t="shared" si="24"/>
        <v>N/A</v>
      </c>
      <c r="F117" s="75" t="s">
        <v>2754</v>
      </c>
      <c r="G117" s="75" t="s">
        <v>2754</v>
      </c>
      <c r="H117" s="70" t="str">
        <f t="shared" si="17"/>
        <v>N/A</v>
      </c>
      <c r="I117" s="71" t="str">
        <f t="shared" si="18"/>
        <v>N/A</v>
      </c>
      <c r="J117" s="72" t="str">
        <f t="shared" si="19"/>
        <v>N/A</v>
      </c>
      <c r="K117" s="71" t="str">
        <f t="shared" si="20"/>
        <v>N/A</v>
      </c>
      <c r="L117" s="71" t="str">
        <f t="shared" si="21"/>
        <v>N/A</v>
      </c>
      <c r="M117" s="71" t="str">
        <f t="shared" si="22"/>
        <v>N/A</v>
      </c>
      <c r="N117" s="77"/>
      <c r="O117" s="550" t="str">
        <f>IF(ISBLANK('Setup - Facility Details'!$C$35),P117,0)</f>
        <v>N/A</v>
      </c>
      <c r="P117" s="76" t="s">
        <v>2754</v>
      </c>
      <c r="Q117" s="73"/>
      <c r="R117" s="76" t="s">
        <v>2754</v>
      </c>
      <c r="S117" s="76" t="s">
        <v>2754</v>
      </c>
      <c r="T117" s="325" t="s">
        <v>1373</v>
      </c>
      <c r="V117" s="325">
        <v>2</v>
      </c>
    </row>
    <row r="118" spans="1:22" x14ac:dyDescent="0.3">
      <c r="B118" s="81" t="str">
        <f ca="1">'Translation Table'!H1166</f>
        <v>Drains</v>
      </c>
      <c r="C118" s="81" t="str">
        <f ca="1">'Translation Table'!H1167</f>
        <v>All</v>
      </c>
      <c r="D118" s="82" t="str">
        <f>IF(OR($E118="N/A",$F118="N/A",$G118="N/A"),"N/A",IF($F118-$G118&gt;0,($E118-$G118)/($F118-$G118),"N/A"))</f>
        <v>N/A</v>
      </c>
      <c r="E118" s="83" t="str">
        <f t="shared" si="24"/>
        <v>N/A</v>
      </c>
      <c r="F118" s="88" t="s">
        <v>2754</v>
      </c>
      <c r="G118" s="88" t="s">
        <v>2754</v>
      </c>
      <c r="H118" s="82" t="str">
        <f t="shared" si="17"/>
        <v>N/A</v>
      </c>
      <c r="I118" s="83" t="str">
        <f t="shared" si="18"/>
        <v>N/A</v>
      </c>
      <c r="J118" s="84" t="str">
        <f t="shared" si="19"/>
        <v>N/A</v>
      </c>
      <c r="K118" s="83" t="str">
        <f t="shared" si="20"/>
        <v>N/A</v>
      </c>
      <c r="L118" s="83" t="str">
        <f t="shared" si="21"/>
        <v>N/A</v>
      </c>
      <c r="M118" s="83" t="str">
        <f t="shared" si="22"/>
        <v>N/A</v>
      </c>
      <c r="N118" s="77"/>
      <c r="O118" s="549" t="str">
        <f>IF(ISBLANK('Setup - Facility Details'!$C$35),P118,0)</f>
        <v>N/A</v>
      </c>
      <c r="P118" s="90" t="s">
        <v>2754</v>
      </c>
      <c r="Q118" s="73"/>
      <c r="R118" s="90" t="s">
        <v>2754</v>
      </c>
      <c r="S118" s="90" t="s">
        <v>2754</v>
      </c>
      <c r="T118" s="325" t="s">
        <v>1374</v>
      </c>
      <c r="V118" s="325">
        <v>2</v>
      </c>
    </row>
    <row r="119" spans="1:22" x14ac:dyDescent="0.3">
      <c r="B119" s="48" t="str">
        <f ca="1">'Translation Table'!H1168</f>
        <v>Meter (Orifice)</v>
      </c>
      <c r="C119" s="48" t="str">
        <f ca="1">'Translation Table'!H1169</f>
        <v>Gas</v>
      </c>
      <c r="D119" s="242">
        <v>0.17610000000000001</v>
      </c>
      <c r="E119" s="71">
        <f t="shared" si="24"/>
        <v>3.0108325999999999E-3</v>
      </c>
      <c r="F119" s="243">
        <v>8.0909999999999992E-3</v>
      </c>
      <c r="G119" s="243">
        <v>1.9250000000000001E-3</v>
      </c>
      <c r="H119" s="70">
        <f t="shared" si="17"/>
        <v>0.17610000000000001</v>
      </c>
      <c r="I119" s="71">
        <f t="shared" si="18"/>
        <v>3.0108325999999999E-3</v>
      </c>
      <c r="J119" s="72">
        <f t="shared" si="19"/>
        <v>1</v>
      </c>
      <c r="K119" s="71">
        <f t="shared" si="20"/>
        <v>3.0108325999999999E-3</v>
      </c>
      <c r="L119" s="71">
        <f t="shared" ca="1" si="21"/>
        <v>3.8222107357194042E-3</v>
      </c>
      <c r="M119" s="71">
        <f t="shared" ca="1" si="22"/>
        <v>3.3253233400758818E-3</v>
      </c>
      <c r="N119" s="77"/>
      <c r="O119" s="550">
        <f>IF(ISBLANK('Setup - Facility Details'!$C$35),P119,0)</f>
        <v>0.17610000000000001</v>
      </c>
      <c r="P119" s="218">
        <v>0.17610000000000001</v>
      </c>
      <c r="Q119" s="73"/>
      <c r="R119" s="218">
        <v>0</v>
      </c>
      <c r="S119" s="74" cm="1">
        <f t="array" ref="S119">INDEX(ValidValveCF_V,V119)/100</f>
        <v>0</v>
      </c>
      <c r="T119" s="325" t="s">
        <v>1365</v>
      </c>
      <c r="V119" s="325">
        <v>1</v>
      </c>
    </row>
    <row r="120" spans="1:22" x14ac:dyDescent="0.3">
      <c r="B120" s="81" t="str">
        <f ca="1">'Translation Table'!H1170</f>
        <v>Meter (Other)</v>
      </c>
      <c r="C120" s="81" t="str">
        <f ca="1">'Translation Table'!H1171</f>
        <v>Gas</v>
      </c>
      <c r="D120" s="82">
        <v>2.01E-2</v>
      </c>
      <c r="E120" s="83">
        <f t="shared" si="24"/>
        <v>2.0232573000000001E-4</v>
      </c>
      <c r="F120" s="88">
        <v>3.7000000000000002E-6</v>
      </c>
      <c r="G120" s="88">
        <v>2.064E-4</v>
      </c>
      <c r="H120" s="82">
        <f t="shared" si="17"/>
        <v>2.01E-2</v>
      </c>
      <c r="I120" s="83">
        <f t="shared" si="18"/>
        <v>2.0232573000000001E-4</v>
      </c>
      <c r="J120" s="84">
        <f t="shared" si="19"/>
        <v>1</v>
      </c>
      <c r="K120" s="83">
        <f t="shared" si="20"/>
        <v>2.0232573000000001E-4</v>
      </c>
      <c r="L120" s="83">
        <f t="shared" ca="1" si="21"/>
        <v>2.56849742266729E-4</v>
      </c>
      <c r="M120" s="83">
        <f t="shared" ca="1" si="22"/>
        <v>2.2345927577205424E-4</v>
      </c>
      <c r="N120" s="77"/>
      <c r="O120" s="549">
        <f>IF(ISBLANK('Setup - Facility Details'!$C$35),P120,0)</f>
        <v>2.01E-2</v>
      </c>
      <c r="P120" s="218">
        <v>2.01E-2</v>
      </c>
      <c r="Q120" s="73"/>
      <c r="R120" s="218">
        <v>0</v>
      </c>
      <c r="S120" s="89" cm="1">
        <f t="array" ref="S120">INDEX(ValidValveCF_V,V120)/100</f>
        <v>0</v>
      </c>
      <c r="T120" s="325" t="s">
        <v>1365</v>
      </c>
      <c r="V120" s="325">
        <v>1</v>
      </c>
    </row>
    <row r="121" spans="1:22" x14ac:dyDescent="0.3">
      <c r="B121" s="48" t="str">
        <f ca="1">'Translation Table'!H1172</f>
        <v>Blowdown System</v>
      </c>
      <c r="C121" s="48" t="str">
        <f ca="1">'Translation Table'!H1173</f>
        <v>Gas</v>
      </c>
      <c r="D121" s="242">
        <v>9.5200000000000007E-2</v>
      </c>
      <c r="E121" s="71">
        <f t="shared" si="24"/>
        <v>5.8752642399999997E-3</v>
      </c>
      <c r="F121" s="243">
        <v>5.5809999999999998E-2</v>
      </c>
      <c r="G121" s="243">
        <v>6.2129999999999998E-4</v>
      </c>
      <c r="H121" s="70">
        <f t="shared" si="17"/>
        <v>9.5200000000000007E-2</v>
      </c>
      <c r="I121" s="71">
        <f t="shared" si="18"/>
        <v>5.8752642399999997E-3</v>
      </c>
      <c r="J121" s="72">
        <f t="shared" si="19"/>
        <v>1</v>
      </c>
      <c r="K121" s="71">
        <f t="shared" si="20"/>
        <v>5.8752642399999997E-3</v>
      </c>
      <c r="L121" s="71">
        <f t="shared" ca="1" si="21"/>
        <v>7.4585674584884938E-3</v>
      </c>
      <c r="M121" s="71">
        <f t="shared" ca="1" si="22"/>
        <v>6.4889536888849894E-3</v>
      </c>
      <c r="N121" s="77"/>
      <c r="O121" s="550">
        <f>IF(ISBLANK('Setup - Facility Details'!$C$35),P121,0)</f>
        <v>9.5200000000000007E-2</v>
      </c>
      <c r="P121" s="218">
        <v>9.5200000000000007E-2</v>
      </c>
      <c r="Q121" s="73"/>
      <c r="R121" s="218">
        <v>0</v>
      </c>
      <c r="S121" s="74" cm="1">
        <f t="array" ref="S121">INDEX(ValidValveCF_V,V121)/100</f>
        <v>0</v>
      </c>
      <c r="T121" s="325" t="s">
        <v>1365</v>
      </c>
      <c r="V121" s="325">
        <v>1</v>
      </c>
    </row>
    <row r="122" spans="1:22" x14ac:dyDescent="0.3">
      <c r="B122" s="81" t="str">
        <f ca="1">'Translation Table'!H1174</f>
        <v>Others</v>
      </c>
      <c r="C122" s="81" t="str">
        <f ca="1">'Translation Table'!H1175</f>
        <v>Gas</v>
      </c>
      <c r="D122" s="82" t="str">
        <f>IF(OR($E122="N/A",$F122="N/A",$G122="N/A"),"N/A",IF($F122-$G122&gt;0,($E122-$G122)/($F122-$G122),"N/A"))</f>
        <v>N/A</v>
      </c>
      <c r="E122" s="83" t="str">
        <f t="shared" si="24"/>
        <v>N/A</v>
      </c>
      <c r="F122" s="88" t="s">
        <v>2754</v>
      </c>
      <c r="G122" s="88" t="s">
        <v>2754</v>
      </c>
      <c r="H122" s="82" t="str">
        <f t="shared" si="17"/>
        <v>N/A</v>
      </c>
      <c r="I122" s="83" t="str">
        <f t="shared" si="18"/>
        <v>N/A</v>
      </c>
      <c r="J122" s="84" t="str">
        <f t="shared" si="19"/>
        <v>N/A</v>
      </c>
      <c r="K122" s="83" t="str">
        <f t="shared" si="20"/>
        <v>N/A</v>
      </c>
      <c r="L122" s="83" t="str">
        <f t="shared" si="21"/>
        <v>N/A</v>
      </c>
      <c r="M122" s="83" t="str">
        <f t="shared" si="22"/>
        <v>N/A</v>
      </c>
      <c r="N122" s="77"/>
      <c r="O122" s="549" t="str">
        <f>IF(ISBLANK('Setup - Facility Details'!$C$35),P122,0)</f>
        <v>N/A</v>
      </c>
      <c r="P122" s="90" t="s">
        <v>2754</v>
      </c>
      <c r="Q122" s="73"/>
      <c r="R122" s="90" t="s">
        <v>2754</v>
      </c>
      <c r="S122" s="90" t="s">
        <v>2754</v>
      </c>
      <c r="T122" s="325" t="s">
        <v>1375</v>
      </c>
      <c r="V122" s="325">
        <v>1</v>
      </c>
    </row>
    <row r="123" spans="1:22" x14ac:dyDescent="0.3">
      <c r="B123" s="48" t="str">
        <f ca="1">'Translation Table'!H1174</f>
        <v>Others</v>
      </c>
      <c r="C123" s="48" t="str">
        <f ca="1">'Translation Table'!H1176</f>
        <v>Light Liquid</v>
      </c>
      <c r="D123" s="70" t="str">
        <f>IF(OR($E123="N/A",$F123="N/A",$G123="N/A"),"N/A",IF($F123-$G123&gt;0,($E123-$G123)/($F123-$G123),"N/A"))</f>
        <v>N/A</v>
      </c>
      <c r="E123" s="71" t="str">
        <f t="shared" si="24"/>
        <v>N/A</v>
      </c>
      <c r="F123" s="75" t="s">
        <v>2754</v>
      </c>
      <c r="G123" s="75" t="s">
        <v>2754</v>
      </c>
      <c r="H123" s="70" t="str">
        <f t="shared" si="17"/>
        <v>N/A</v>
      </c>
      <c r="I123" s="71" t="str">
        <f t="shared" si="18"/>
        <v>N/A</v>
      </c>
      <c r="J123" s="72" t="str">
        <f t="shared" si="19"/>
        <v>N/A</v>
      </c>
      <c r="K123" s="71" t="str">
        <f t="shared" si="20"/>
        <v>N/A</v>
      </c>
      <c r="L123" s="71" t="str">
        <f t="shared" si="21"/>
        <v>N/A</v>
      </c>
      <c r="M123" s="71" t="str">
        <f t="shared" si="22"/>
        <v>N/A</v>
      </c>
      <c r="N123" s="77"/>
      <c r="O123" s="550" t="str">
        <f>IF(ISBLANK('Setup - Facility Details'!$C$35),P123,0)</f>
        <v>N/A</v>
      </c>
      <c r="P123" s="76" t="s">
        <v>2754</v>
      </c>
      <c r="Q123" s="73"/>
      <c r="R123" s="76" t="s">
        <v>2754</v>
      </c>
      <c r="S123" s="76" t="s">
        <v>2754</v>
      </c>
      <c r="T123" s="325" t="s">
        <v>1375</v>
      </c>
      <c r="V123" s="325">
        <v>1</v>
      </c>
    </row>
    <row r="124" spans="1:22" x14ac:dyDescent="0.3">
      <c r="B124" s="81" t="str">
        <f ca="1">'Translation Table'!H1174</f>
        <v>Others</v>
      </c>
      <c r="C124" s="81" t="str">
        <f ca="1">'Translation Table'!H1177</f>
        <v>Heavy Liquid</v>
      </c>
      <c r="D124" s="82" t="str">
        <f>IF(OR($E124="N/A",$F124="N/A",$G124="N/A"),"N/A",IF($F124-$G124&gt;0,($E124-$G124)/($F124-$G124),"N/A"))</f>
        <v>N/A</v>
      </c>
      <c r="E124" s="83" t="str">
        <f t="shared" si="24"/>
        <v>N/A</v>
      </c>
      <c r="F124" s="88" t="s">
        <v>2754</v>
      </c>
      <c r="G124" s="88" t="s">
        <v>2754</v>
      </c>
      <c r="H124" s="82" t="str">
        <f t="shared" si="17"/>
        <v>N/A</v>
      </c>
      <c r="I124" s="83" t="str">
        <f t="shared" si="18"/>
        <v>N/A</v>
      </c>
      <c r="J124" s="84" t="str">
        <f t="shared" si="19"/>
        <v>N/A</v>
      </c>
      <c r="K124" s="83" t="str">
        <f t="shared" si="20"/>
        <v>N/A</v>
      </c>
      <c r="L124" s="83" t="str">
        <f t="shared" si="21"/>
        <v>N/A</v>
      </c>
      <c r="M124" s="83" t="str">
        <f t="shared" si="22"/>
        <v>N/A</v>
      </c>
      <c r="N124" s="77"/>
      <c r="O124" s="549" t="str">
        <f>IF(ISBLANK('Setup - Facility Details'!$C$35),P124,0)</f>
        <v>N/A</v>
      </c>
      <c r="P124" s="90" t="s">
        <v>2754</v>
      </c>
      <c r="Q124" s="73"/>
      <c r="R124" s="90" t="s">
        <v>2754</v>
      </c>
      <c r="S124" s="90" t="s">
        <v>2754</v>
      </c>
      <c r="T124" s="325" t="s">
        <v>1375</v>
      </c>
      <c r="V124" s="325">
        <v>1</v>
      </c>
    </row>
    <row r="128" spans="1:22" ht="15.5" x14ac:dyDescent="0.35">
      <c r="A128" s="325" t="s">
        <v>262</v>
      </c>
      <c r="B128" s="1073" t="str">
        <f ca="1">'Translation Table'!H1178</f>
        <v>Natural Gas Distribution (Commercial Meter Sites)</v>
      </c>
      <c r="C128" s="1074"/>
      <c r="D128" s="1074"/>
      <c r="E128" s="1074"/>
      <c r="F128" s="1074"/>
      <c r="G128" s="1074"/>
      <c r="H128" s="1074"/>
      <c r="I128" s="1074"/>
      <c r="J128" s="1074"/>
      <c r="K128" s="1074"/>
      <c r="L128" s="1075"/>
      <c r="M128" s="1076"/>
      <c r="N128" s="62"/>
      <c r="O128" s="62"/>
      <c r="P128" s="62"/>
      <c r="Q128" s="62"/>
      <c r="R128" s="62"/>
      <c r="S128" s="62"/>
    </row>
    <row r="129" spans="2:22" x14ac:dyDescent="0.3">
      <c r="B129" s="1080" t="str">
        <f ca="1">'Translation Table'!H1179</f>
        <v>Equipment Component Type</v>
      </c>
      <c r="C129" s="1080" t="str">
        <f ca="1">'Translation Table'!H1180</f>
        <v>Service</v>
      </c>
      <c r="D129" s="1081" t="str">
        <f ca="1">'Translation Table'!H1181</f>
        <v>CEPEI (2016) Factors</v>
      </c>
      <c r="E129" s="1081"/>
      <c r="F129" s="1081"/>
      <c r="G129" s="1081"/>
      <c r="H129" s="1081" t="str">
        <f ca="1">'Translation Table'!H1182</f>
        <v>Developed Average Emission Factor</v>
      </c>
      <c r="I129" s="1081"/>
      <c r="J129" s="1081"/>
      <c r="K129" s="1081"/>
      <c r="L129" s="1081"/>
      <c r="M129" s="1081"/>
      <c r="N129" s="64"/>
      <c r="O129" s="64"/>
      <c r="P129" s="64"/>
      <c r="Q129" s="64"/>
      <c r="R129" s="64"/>
      <c r="S129" s="65"/>
    </row>
    <row r="130" spans="2:22" ht="15.5" x14ac:dyDescent="0.35">
      <c r="B130" s="1080"/>
      <c r="C130" s="1080"/>
      <c r="D130" s="85" t="str">
        <f ca="1">'Translation Table'!H1183</f>
        <v>Implied Leak</v>
      </c>
      <c r="E130" s="85" t="str">
        <f ca="1">'Translation Table'!H1184</f>
        <v>Average</v>
      </c>
      <c r="F130" s="85" t="str">
        <f ca="1">'Translation Table'!H1185</f>
        <v>Leak</v>
      </c>
      <c r="G130" s="85" t="str">
        <f ca="1">'Translation Table'!H1186</f>
        <v>No-Leak</v>
      </c>
      <c r="H130" s="85" t="str">
        <f ca="1">'Translation Table'!H1187</f>
        <v xml:space="preserve">Leak </v>
      </c>
      <c r="I130" s="85" t="str">
        <f ca="1">'Translation Table'!H1188</f>
        <v>Uncontrolled</v>
      </c>
      <c r="J130" s="85" t="str">
        <f ca="1">'Translation Table'!H1189</f>
        <v>Control</v>
      </c>
      <c r="K130" s="1081" t="str">
        <f ca="1">'Translation Table'!H1190</f>
        <v>Controlled</v>
      </c>
      <c r="L130" s="1081"/>
      <c r="M130" s="1081"/>
      <c r="N130" s="66"/>
      <c r="O130" s="63" t="str">
        <f ca="1">'Translation Table'!H889</f>
        <v>Applied Leak</v>
      </c>
      <c r="P130" s="63" t="str">
        <f ca="1">'Translation Table'!H890</f>
        <v>Actual Leak</v>
      </c>
      <c r="Q130" s="1077" t="str">
        <f ca="1">'Translation Table'!H1192</f>
        <v xml:space="preserve">Equipment Modification </v>
      </c>
      <c r="R130" s="1078"/>
      <c r="S130" s="1079"/>
    </row>
    <row r="131" spans="2:22" ht="15.5" x14ac:dyDescent="0.35">
      <c r="B131" s="1080"/>
      <c r="C131" s="1080"/>
      <c r="D131" s="85" t="str">
        <f ca="1">'Translation Table'!H1193</f>
        <v>Frequency</v>
      </c>
      <c r="E131" s="85" t="str">
        <f ca="1">'Translation Table'!H1194</f>
        <v>(kg/h/source)</v>
      </c>
      <c r="F131" s="85" t="str">
        <f ca="1">'Translation Table'!H1195</f>
        <v>(kg/h/source)</v>
      </c>
      <c r="G131" s="85" t="str">
        <f ca="1">'Translation Table'!H1196</f>
        <v>(kg/h/source)</v>
      </c>
      <c r="H131" s="85" t="str">
        <f ca="1">'Translation Table'!H1201</f>
        <v>Frequency</v>
      </c>
      <c r="I131" s="85" t="str">
        <f ca="1">'Translation Table'!H1198</f>
        <v>Emission Factor</v>
      </c>
      <c r="J131" s="85" t="str">
        <f ca="1">'Translation Table'!H1199</f>
        <v>Adjustment</v>
      </c>
      <c r="K131" s="1081" t="str">
        <f ca="1">'Translation Table'!H1200</f>
        <v>Emission Factor</v>
      </c>
      <c r="L131" s="1081"/>
      <c r="M131" s="1081"/>
      <c r="N131" s="66"/>
      <c r="O131" s="63" t="str">
        <f ca="1">'Translation Table'!H1201</f>
        <v>Frequency</v>
      </c>
      <c r="P131" s="63" t="str">
        <f ca="1">'Translation Table'!H1201</f>
        <v>Frequency</v>
      </c>
      <c r="Q131" s="217" t="str">
        <f ca="1">'Translation Table'!H1202</f>
        <v>Modification</v>
      </c>
      <c r="R131" s="63" t="str">
        <f ca="1">'Translation Table'!H1203</f>
        <v xml:space="preserve">Percent of </v>
      </c>
      <c r="S131" s="63" t="str">
        <f ca="1">'Translation Table'!H1204</f>
        <v>Control Factor</v>
      </c>
    </row>
    <row r="132" spans="2:22" ht="15.5" x14ac:dyDescent="0.35">
      <c r="B132" s="1080"/>
      <c r="C132" s="1080"/>
      <c r="D132" s="85" t="str">
        <f ca="1">'Translation Table'!H1205</f>
        <v>(%)</v>
      </c>
      <c r="E132" s="85"/>
      <c r="F132" s="85"/>
      <c r="G132" s="85"/>
      <c r="H132" s="85" t="str">
        <f ca="1">'Translation Table'!H1206</f>
        <v>(%)</v>
      </c>
      <c r="I132" s="85" t="str">
        <f ca="1">'Translation Table'!H1207</f>
        <v>(kg/h/source)</v>
      </c>
      <c r="J132" s="85" t="str">
        <f ca="1">'Translation Table'!H1208</f>
        <v>(%)</v>
      </c>
      <c r="K132" s="85" t="str">
        <f ca="1">'Translation Table'!H1209</f>
        <v>(kg/h/source)</v>
      </c>
      <c r="L132" s="85" t="str">
        <f ca="1">'Translation Table'!H1210</f>
        <v>(Nm3/h/source)</v>
      </c>
      <c r="M132" s="85" t="str">
        <f ca="1">'Translation Table'!H1211</f>
        <v>(Nm3 CH4/h/source)</v>
      </c>
      <c r="N132" s="66"/>
      <c r="O132" s="63" t="str">
        <f ca="1">'Translation Table'!H1212</f>
        <v>(%)</v>
      </c>
      <c r="P132" s="63" t="str">
        <f ca="1">'Translation Table'!H1212</f>
        <v>(%)</v>
      </c>
      <c r="Q132" s="63"/>
      <c r="R132" s="63" t="str">
        <f ca="1">'Translation Table'!H1213</f>
        <v>Components Controlled</v>
      </c>
      <c r="S132" s="63" t="str">
        <f ca="1">'Translation Table'!H1214</f>
        <v>(%)</v>
      </c>
    </row>
    <row r="133" spans="2:22" ht="70" x14ac:dyDescent="0.3">
      <c r="B133" s="86" t="str">
        <f ca="1">'Translation Table'!H1224</f>
        <v>Calculation Method</v>
      </c>
      <c r="C133" s="86"/>
      <c r="D133" s="87" t="str">
        <f ca="1">'Translation Table'!H1215</f>
        <v>Calculated (use as default)</v>
      </c>
      <c r="E133" s="87"/>
      <c r="F133" s="87"/>
      <c r="G133" s="87"/>
      <c r="H133" s="86"/>
      <c r="I133" s="87" t="str">
        <f ca="1">'Translation Table'!H1216</f>
        <v>Calculated based on Leak, No-Leak factors and adjustable leak frequency</v>
      </c>
      <c r="J133" s="86"/>
      <c r="K133" s="87" t="str">
        <f ca="1">'Translation Table'!H1217</f>
        <v>Calculated based on uncontrolled factors and adjustable control factor</v>
      </c>
      <c r="L133" s="87" t="str">
        <f ca="1">'Translation Table'!H1218</f>
        <v>Calculated based on uncontrolled factors and adjustable control factor</v>
      </c>
      <c r="M133" s="87" t="str">
        <f ca="1">'Translation Table'!H1219</f>
        <v>Calculated based on uncontrolled factors and adjustable control factor</v>
      </c>
      <c r="N133" s="69"/>
      <c r="O133" s="67"/>
      <c r="P133" s="67" t="str">
        <f ca="1">'Translation Table'!H1220</f>
        <v>Adjustable Input (Assume to be zero if not entered)</v>
      </c>
      <c r="Q133" s="67" t="str">
        <f ca="1">'Translation Table'!H1221</f>
        <v>Adjustable Input (Assume to be zero if not entered)</v>
      </c>
      <c r="R133" s="67" t="str">
        <f ca="1">'Translation Table'!H1222</f>
        <v>Adjustable Input (Assume to be zero if not entered)</v>
      </c>
      <c r="S133" s="67" t="str">
        <f ca="1">'Translation Table'!H1223</f>
        <v>Determined from Lookup Table</v>
      </c>
    </row>
    <row r="134" spans="2:22" x14ac:dyDescent="0.3">
      <c r="B134" s="81" t="str">
        <f ca="1">'Translation Table'!H1225</f>
        <v>Valves (All)</v>
      </c>
      <c r="C134" s="81" t="str">
        <f ca="1">'Translation Table'!H1226</f>
        <v>Gas</v>
      </c>
      <c r="D134" s="82" t="str">
        <f>IF(OR($E134="N/A",$F134="N/A",$G134="N/A"),"N/A",IF($F134-$G134&gt;0,($E134-$G134)/($F134-$G134),"N/A"))</f>
        <v>N/A</v>
      </c>
      <c r="E134" s="83" t="str">
        <f t="shared" ref="E134:E166" si="25">IF(OR(F134="N/A",G134="N/A"),"N/A",D134*F134+(1-D134)*G134)</f>
        <v>N/A</v>
      </c>
      <c r="F134" s="88" t="s">
        <v>2754</v>
      </c>
      <c r="G134" s="88" t="s">
        <v>2754</v>
      </c>
      <c r="H134" s="82" t="str">
        <f t="shared" ref="H134:H140" si="26">O134</f>
        <v>N/A</v>
      </c>
      <c r="I134" s="83" t="str">
        <f t="shared" ref="I134:I166" si="27">IF(OR($E134="N/A",$F134="N/A",$G134="N/A"),"N/A",H134*F134+(1-H134)*G134)</f>
        <v>N/A</v>
      </c>
      <c r="J134" s="84" t="str">
        <f t="shared" ref="J134:J166" si="28">IF(OR(I134="N/A",S134="N/A"),"N/A",R134*(1-S134)+(1-R134))</f>
        <v>N/A</v>
      </c>
      <c r="K134" s="83" t="str">
        <f t="shared" ref="K134:K166" si="29">IF(OR(I134="N/A",J134="N/A"),"N/A",J134*I134)</f>
        <v>N/A</v>
      </c>
      <c r="L134" s="83" t="str">
        <f t="shared" ref="L134:L166" si="30">IF(OR(I134="N/A",J134="N/A"),"N/A",K134/IF(C134=Gas,ProcessGas_M,Vapor_M)*Vstp)</f>
        <v>N/A</v>
      </c>
      <c r="M134" s="83" t="str">
        <f t="shared" ref="M134:M166" si="31">IF(K134="N/A","N/A",L134*IF(OR(C134=Gas,C134=All),ProcessGas_CH4,Vapor_CH4))</f>
        <v>N/A</v>
      </c>
      <c r="N134" s="65"/>
      <c r="O134" s="549" t="str">
        <f>IF(ISBLANK('Setup - Facility Details'!$C$35),P134,0)</f>
        <v>N/A</v>
      </c>
      <c r="P134" s="76" t="s">
        <v>2754</v>
      </c>
      <c r="Q134" s="73"/>
      <c r="R134" s="76" t="s">
        <v>2754</v>
      </c>
      <c r="S134" s="90" t="s">
        <v>2754</v>
      </c>
      <c r="T134" s="325" t="s">
        <v>1365</v>
      </c>
      <c r="V134" s="325">
        <v>1</v>
      </c>
    </row>
    <row r="135" spans="2:22" x14ac:dyDescent="0.3">
      <c r="B135" s="48" t="str">
        <f ca="1">'Translation Table'!H1225</f>
        <v>Valves (All)</v>
      </c>
      <c r="C135" s="48" t="str">
        <f ca="1">'Translation Table'!H1227</f>
        <v>Light Liquid</v>
      </c>
      <c r="D135" s="70" t="str">
        <f>IF(OR($E135="N/A",$F135="N/A",$G135="N/A"),"N/A",IF($F135-$G135&gt;0,($E135-$G135)/($F135-$G135),"N/A"))</f>
        <v>N/A</v>
      </c>
      <c r="E135" s="71" t="str">
        <f t="shared" si="25"/>
        <v>N/A</v>
      </c>
      <c r="F135" s="75" t="s">
        <v>2754</v>
      </c>
      <c r="G135" s="75" t="s">
        <v>2754</v>
      </c>
      <c r="H135" s="70" t="str">
        <f t="shared" si="26"/>
        <v>N/A</v>
      </c>
      <c r="I135" s="71" t="str">
        <f t="shared" si="27"/>
        <v>N/A</v>
      </c>
      <c r="J135" s="72" t="str">
        <f t="shared" si="28"/>
        <v>N/A</v>
      </c>
      <c r="K135" s="71" t="str">
        <f t="shared" si="29"/>
        <v>N/A</v>
      </c>
      <c r="L135" s="71" t="str">
        <f t="shared" si="30"/>
        <v>N/A</v>
      </c>
      <c r="M135" s="71" t="str">
        <f t="shared" si="31"/>
        <v>N/A</v>
      </c>
      <c r="N135" s="65"/>
      <c r="O135" s="550" t="str">
        <f>IF(ISBLANK('Setup - Facility Details'!$C$35),P135,0)</f>
        <v>N/A</v>
      </c>
      <c r="P135" s="76" t="s">
        <v>2754</v>
      </c>
      <c r="Q135" s="73"/>
      <c r="R135" s="76" t="s">
        <v>2754</v>
      </c>
      <c r="S135" s="76" t="s">
        <v>2754</v>
      </c>
      <c r="T135" s="325" t="s">
        <v>1365</v>
      </c>
      <c r="V135" s="325">
        <v>1</v>
      </c>
    </row>
    <row r="136" spans="2:22" x14ac:dyDescent="0.3">
      <c r="B136" s="81" t="str">
        <f ca="1">'Translation Table'!H1225</f>
        <v>Valves (All)</v>
      </c>
      <c r="C136" s="81" t="str">
        <f ca="1">'Translation Table'!H1228</f>
        <v>Heavy Liquid</v>
      </c>
      <c r="D136" s="82" t="str">
        <f>IF(OR($E136="N/A",$F136="N/A",$G136="N/A"),"N/A",IF($F136-$G136&gt;0,($E136-$G136)/($F136-$G136),"N/A"))</f>
        <v>N/A</v>
      </c>
      <c r="E136" s="83" t="str">
        <f t="shared" si="25"/>
        <v>N/A</v>
      </c>
      <c r="F136" s="88" t="s">
        <v>2754</v>
      </c>
      <c r="G136" s="88" t="s">
        <v>2754</v>
      </c>
      <c r="H136" s="82" t="str">
        <f t="shared" si="26"/>
        <v>N/A</v>
      </c>
      <c r="I136" s="83" t="str">
        <f t="shared" si="27"/>
        <v>N/A</v>
      </c>
      <c r="J136" s="84" t="str">
        <f t="shared" si="28"/>
        <v>N/A</v>
      </c>
      <c r="K136" s="83" t="str">
        <f t="shared" si="29"/>
        <v>N/A</v>
      </c>
      <c r="L136" s="83" t="str">
        <f t="shared" si="30"/>
        <v>N/A</v>
      </c>
      <c r="M136" s="83" t="str">
        <f t="shared" si="31"/>
        <v>N/A</v>
      </c>
      <c r="N136" s="65"/>
      <c r="O136" s="549" t="str">
        <f>IF(ISBLANK('Setup - Facility Details'!$C$35),P136,0)</f>
        <v>N/A</v>
      </c>
      <c r="P136" s="90" t="s">
        <v>2754</v>
      </c>
      <c r="Q136" s="73"/>
      <c r="R136" s="90" t="s">
        <v>2754</v>
      </c>
      <c r="S136" s="90" t="s">
        <v>2754</v>
      </c>
      <c r="T136" s="325" t="s">
        <v>1365</v>
      </c>
      <c r="V136" s="325">
        <v>1</v>
      </c>
    </row>
    <row r="137" spans="2:22" x14ac:dyDescent="0.3">
      <c r="B137" s="48" t="str">
        <f ca="1">'Translation Table'!H1229</f>
        <v>Valves (Block)</v>
      </c>
      <c r="C137" s="48" t="str">
        <f ca="1">'Translation Table'!H1230</f>
        <v>Gas</v>
      </c>
      <c r="D137" s="242">
        <v>6.9999999999999999E-4</v>
      </c>
      <c r="E137" s="71">
        <f t="shared" si="25"/>
        <v>2.1685300000000001E-6</v>
      </c>
      <c r="F137" s="243">
        <v>1E-4</v>
      </c>
      <c r="G137" s="243">
        <v>2.0999999999999998E-6</v>
      </c>
      <c r="H137" s="70">
        <f t="shared" si="26"/>
        <v>6.9999999999999999E-4</v>
      </c>
      <c r="I137" s="71">
        <f t="shared" si="27"/>
        <v>2.1685300000000001E-6</v>
      </c>
      <c r="J137" s="72">
        <f t="shared" si="28"/>
        <v>1</v>
      </c>
      <c r="K137" s="71">
        <f t="shared" si="29"/>
        <v>2.1685300000000001E-6</v>
      </c>
      <c r="L137" s="71">
        <f t="shared" ca="1" si="30"/>
        <v>2.7529191250053555E-6</v>
      </c>
      <c r="M137" s="71">
        <f t="shared" ca="1" si="31"/>
        <v>2.3950396387546593E-6</v>
      </c>
      <c r="N137" s="65"/>
      <c r="O137" s="550">
        <f>IF(ISBLANK('Setup - Facility Details'!$C$35),P137,0)</f>
        <v>6.9999999999999999E-4</v>
      </c>
      <c r="P137" s="218">
        <v>6.9999999999999999E-4</v>
      </c>
      <c r="Q137" s="73"/>
      <c r="R137" s="218">
        <v>0</v>
      </c>
      <c r="S137" s="74" cm="1">
        <f t="array" ref="S137">INDEX(ValidValveCF_V,V137)/100</f>
        <v>0</v>
      </c>
      <c r="T137" s="325" t="s">
        <v>1365</v>
      </c>
      <c r="V137" s="325">
        <v>1</v>
      </c>
    </row>
    <row r="138" spans="2:22" x14ac:dyDescent="0.3">
      <c r="B138" s="81" t="str">
        <f ca="1">'Translation Table'!H1231</f>
        <v>Valves (Control)</v>
      </c>
      <c r="C138" s="81" t="str">
        <f ca="1">'Translation Table'!H1232</f>
        <v>Gas</v>
      </c>
      <c r="D138" s="82">
        <v>0</v>
      </c>
      <c r="E138" s="83">
        <f t="shared" si="25"/>
        <v>1.0059999999999999E-2</v>
      </c>
      <c r="F138" s="88">
        <v>1.0059999999999999E-2</v>
      </c>
      <c r="G138" s="88">
        <v>1.0059999999999999E-2</v>
      </c>
      <c r="H138" s="82">
        <f t="shared" si="26"/>
        <v>0</v>
      </c>
      <c r="I138" s="83">
        <f t="shared" si="27"/>
        <v>1.0059999999999999E-2</v>
      </c>
      <c r="J138" s="84">
        <f t="shared" si="28"/>
        <v>1</v>
      </c>
      <c r="K138" s="83">
        <f t="shared" si="29"/>
        <v>1.0059999999999999E-2</v>
      </c>
      <c r="L138" s="83">
        <f t="shared" ca="1" si="30"/>
        <v>1.2771032172740924E-2</v>
      </c>
      <c r="M138" s="83">
        <f t="shared" ca="1" si="31"/>
        <v>1.1110797990284603E-2</v>
      </c>
      <c r="N138" s="65"/>
      <c r="O138" s="549">
        <f>IF(ISBLANK('Setup - Facility Details'!$C$35),P138,0)</f>
        <v>0</v>
      </c>
      <c r="P138" s="218">
        <v>0</v>
      </c>
      <c r="Q138" s="73"/>
      <c r="R138" s="218">
        <v>0</v>
      </c>
      <c r="S138" s="89" cm="1">
        <f t="array" ref="S138">INDEX(ValidValveCF_V,V138)/100</f>
        <v>0</v>
      </c>
      <c r="T138" s="325" t="s">
        <v>1365</v>
      </c>
      <c r="V138" s="325">
        <v>1</v>
      </c>
    </row>
    <row r="139" spans="2:22" x14ac:dyDescent="0.3">
      <c r="B139" s="48" t="str">
        <f ca="1">'Translation Table'!H1233</f>
        <v>Pump Seals</v>
      </c>
      <c r="C139" s="48" t="str">
        <f ca="1">'Translation Table'!H1234</f>
        <v>Light Liquid</v>
      </c>
      <c r="D139" s="70" t="str">
        <f t="shared" ref="D139:D150" si="32">IF(OR($E139="N/A",$F139="N/A",$G139="N/A"),"N/A",IF($F139-$G139&gt;0,($E139-$G139)/($F139-$G139),"N/A"))</f>
        <v>N/A</v>
      </c>
      <c r="E139" s="71" t="str">
        <f t="shared" si="25"/>
        <v>N/A</v>
      </c>
      <c r="F139" s="75" t="s">
        <v>2754</v>
      </c>
      <c r="G139" s="75" t="s">
        <v>2754</v>
      </c>
      <c r="H139" s="70" t="str">
        <f t="shared" si="26"/>
        <v>N/A</v>
      </c>
      <c r="I139" s="71" t="str">
        <f t="shared" si="27"/>
        <v>N/A</v>
      </c>
      <c r="J139" s="72" t="str">
        <f t="shared" si="28"/>
        <v>N/A</v>
      </c>
      <c r="K139" s="71" t="str">
        <f t="shared" si="29"/>
        <v>N/A</v>
      </c>
      <c r="L139" s="71" t="str">
        <f t="shared" si="30"/>
        <v>N/A</v>
      </c>
      <c r="M139" s="71" t="str">
        <f t="shared" si="31"/>
        <v>N/A</v>
      </c>
      <c r="N139" s="65"/>
      <c r="O139" s="550" t="str">
        <f>IF(ISBLANK('Setup - Facility Details'!$C$35),P139,0)</f>
        <v>N/A</v>
      </c>
      <c r="P139" s="76" t="s">
        <v>2754</v>
      </c>
      <c r="Q139" s="73"/>
      <c r="R139" s="76" t="s">
        <v>2754</v>
      </c>
      <c r="S139" s="76" t="s">
        <v>2754</v>
      </c>
      <c r="T139" s="325" t="s">
        <v>1366</v>
      </c>
      <c r="V139" s="325">
        <v>3</v>
      </c>
    </row>
    <row r="140" spans="2:22" x14ac:dyDescent="0.3">
      <c r="B140" s="81" t="str">
        <f ca="1">'Translation Table'!H1233</f>
        <v>Pump Seals</v>
      </c>
      <c r="C140" s="81" t="str">
        <f ca="1">'Translation Table'!H1235</f>
        <v>Heavy Liquid</v>
      </c>
      <c r="D140" s="82" t="str">
        <f t="shared" si="32"/>
        <v>N/A</v>
      </c>
      <c r="E140" s="83" t="str">
        <f t="shared" si="25"/>
        <v>N/A</v>
      </c>
      <c r="F140" s="88" t="s">
        <v>2754</v>
      </c>
      <c r="G140" s="88" t="s">
        <v>2754</v>
      </c>
      <c r="H140" s="82" t="str">
        <f t="shared" si="26"/>
        <v>N/A</v>
      </c>
      <c r="I140" s="83" t="str">
        <f t="shared" si="27"/>
        <v>N/A</v>
      </c>
      <c r="J140" s="84" t="str">
        <f t="shared" si="28"/>
        <v>N/A</v>
      </c>
      <c r="K140" s="83" t="str">
        <f t="shared" si="29"/>
        <v>N/A</v>
      </c>
      <c r="L140" s="83" t="str">
        <f t="shared" si="30"/>
        <v>N/A</v>
      </c>
      <c r="M140" s="83" t="str">
        <f t="shared" si="31"/>
        <v>N/A</v>
      </c>
      <c r="N140" s="65"/>
      <c r="O140" s="549" t="str">
        <f>IF(ISBLANK('Setup - Facility Details'!$C$35),P140,0)</f>
        <v>N/A</v>
      </c>
      <c r="P140" s="90" t="s">
        <v>2754</v>
      </c>
      <c r="Q140" s="73"/>
      <c r="R140" s="90" t="s">
        <v>2754</v>
      </c>
      <c r="S140" s="90" t="s">
        <v>2754</v>
      </c>
      <c r="T140" s="325" t="s">
        <v>1366</v>
      </c>
      <c r="V140" s="325">
        <v>3</v>
      </c>
    </row>
    <row r="141" spans="2:22" x14ac:dyDescent="0.3">
      <c r="B141" s="48" t="str">
        <f ca="1">'Translation Table'!H1236</f>
        <v xml:space="preserve">Compressor Seals (Reciprocating - Operating) </v>
      </c>
      <c r="C141" s="48" t="str">
        <f ca="1">'Translation Table'!H1237</f>
        <v>Gas</v>
      </c>
      <c r="D141" s="70" t="str">
        <f t="shared" si="32"/>
        <v>N/A</v>
      </c>
      <c r="E141" s="71" t="str">
        <f t="shared" si="25"/>
        <v>N/A</v>
      </c>
      <c r="F141" s="75" t="s">
        <v>2754</v>
      </c>
      <c r="G141" s="75" t="s">
        <v>2754</v>
      </c>
      <c r="H141" s="70">
        <f t="shared" ref="H141:H146" si="33">O141</f>
        <v>1</v>
      </c>
      <c r="I141" s="71" t="str">
        <f t="shared" si="27"/>
        <v>N/A</v>
      </c>
      <c r="J141" s="72" t="str">
        <f t="shared" si="28"/>
        <v>N/A</v>
      </c>
      <c r="K141" s="71" t="str">
        <f t="shared" si="29"/>
        <v>N/A</v>
      </c>
      <c r="L141" s="71" t="str">
        <f t="shared" si="30"/>
        <v>N/A</v>
      </c>
      <c r="M141" s="71" t="str">
        <f t="shared" si="31"/>
        <v>N/A</v>
      </c>
      <c r="N141" s="65"/>
      <c r="O141" s="550">
        <f>IF(ISBLANK('Setup - Facility Details'!$C$36),P141,0)</f>
        <v>1</v>
      </c>
      <c r="P141" s="76">
        <v>1</v>
      </c>
      <c r="Q141" s="73"/>
      <c r="R141" s="76" t="s">
        <v>2754</v>
      </c>
      <c r="S141" s="76" t="s">
        <v>2754</v>
      </c>
      <c r="T141" s="325" t="s">
        <v>1367</v>
      </c>
      <c r="V141" s="325">
        <v>3</v>
      </c>
    </row>
    <row r="142" spans="2:22" x14ac:dyDescent="0.3">
      <c r="B142" s="81" t="str">
        <f ca="1">'Translation Table'!H1238</f>
        <v>Compressor Seals (Reciprocating - Standby &amp; Pressurized)</v>
      </c>
      <c r="C142" s="81" t="str">
        <f ca="1">'Translation Table'!H1239</f>
        <v>Gas</v>
      </c>
      <c r="D142" s="82" t="str">
        <f t="shared" si="32"/>
        <v>N/A</v>
      </c>
      <c r="E142" s="83" t="str">
        <f t="shared" si="25"/>
        <v>N/A</v>
      </c>
      <c r="F142" s="88" t="s">
        <v>2754</v>
      </c>
      <c r="G142" s="88" t="s">
        <v>2754</v>
      </c>
      <c r="H142" s="82">
        <f t="shared" si="33"/>
        <v>1</v>
      </c>
      <c r="I142" s="83" t="str">
        <f t="shared" si="27"/>
        <v>N/A</v>
      </c>
      <c r="J142" s="84" t="str">
        <f t="shared" si="28"/>
        <v>N/A</v>
      </c>
      <c r="K142" s="83" t="str">
        <f t="shared" si="29"/>
        <v>N/A</v>
      </c>
      <c r="L142" s="83" t="str">
        <f t="shared" si="30"/>
        <v>N/A</v>
      </c>
      <c r="M142" s="83" t="str">
        <f t="shared" si="31"/>
        <v>N/A</v>
      </c>
      <c r="N142" s="65"/>
      <c r="O142" s="549">
        <f>IF(ISBLANK('Setup - Facility Details'!$C$36),P142,0)</f>
        <v>1</v>
      </c>
      <c r="P142" s="90">
        <v>1</v>
      </c>
      <c r="Q142" s="73"/>
      <c r="R142" s="90" t="s">
        <v>2754</v>
      </c>
      <c r="S142" s="90" t="s">
        <v>2754</v>
      </c>
      <c r="T142" s="325" t="s">
        <v>1367</v>
      </c>
      <c r="V142" s="325">
        <v>3</v>
      </c>
    </row>
    <row r="143" spans="2:22" x14ac:dyDescent="0.3">
      <c r="B143" s="48" t="str">
        <f ca="1">'Translation Table'!H1240</f>
        <v>Compressor Seals (Reciprocating - Depressurized)</v>
      </c>
      <c r="C143" s="48" t="str">
        <f ca="1">'Translation Table'!H1239</f>
        <v>Gas</v>
      </c>
      <c r="D143" s="70" t="str">
        <f t="shared" si="32"/>
        <v>N/A</v>
      </c>
      <c r="E143" s="71" t="str">
        <f t="shared" si="25"/>
        <v>N/A</v>
      </c>
      <c r="F143" s="75" t="s">
        <v>2754</v>
      </c>
      <c r="G143" s="75" t="s">
        <v>2754</v>
      </c>
      <c r="H143" s="70">
        <f t="shared" si="33"/>
        <v>1</v>
      </c>
      <c r="I143" s="71" t="str">
        <f t="shared" si="27"/>
        <v>N/A</v>
      </c>
      <c r="J143" s="72" t="str">
        <f t="shared" si="28"/>
        <v>N/A</v>
      </c>
      <c r="K143" s="71" t="str">
        <f t="shared" si="29"/>
        <v>N/A</v>
      </c>
      <c r="L143" s="71" t="str">
        <f t="shared" si="30"/>
        <v>N/A</v>
      </c>
      <c r="M143" s="71" t="str">
        <f t="shared" si="31"/>
        <v>N/A</v>
      </c>
      <c r="N143" s="65"/>
      <c r="O143" s="550">
        <f>IF(ISBLANK('Setup - Facility Details'!$C$36),P143,0)</f>
        <v>1</v>
      </c>
      <c r="P143" s="76">
        <v>1</v>
      </c>
      <c r="Q143" s="73"/>
      <c r="R143" s="76" t="s">
        <v>2754</v>
      </c>
      <c r="S143" s="76" t="s">
        <v>2754</v>
      </c>
      <c r="T143" s="325" t="s">
        <v>1367</v>
      </c>
      <c r="V143" s="325">
        <v>3</v>
      </c>
    </row>
    <row r="144" spans="2:22" x14ac:dyDescent="0.3">
      <c r="B144" s="81" t="str">
        <f ca="1">'Translation Table'!H1241</f>
        <v>Compressor Wet Seals (Centrifugal - Operating)</v>
      </c>
      <c r="C144" s="81" t="str">
        <f ca="1">'Translation Table'!H1239</f>
        <v>Gas</v>
      </c>
      <c r="D144" s="82" t="str">
        <f t="shared" si="32"/>
        <v>N/A</v>
      </c>
      <c r="E144" s="83" t="str">
        <f t="shared" si="25"/>
        <v>N/A</v>
      </c>
      <c r="F144" s="88" t="s">
        <v>2754</v>
      </c>
      <c r="G144" s="88" t="s">
        <v>2754</v>
      </c>
      <c r="H144" s="82">
        <f t="shared" si="33"/>
        <v>1</v>
      </c>
      <c r="I144" s="83" t="str">
        <f t="shared" si="27"/>
        <v>N/A</v>
      </c>
      <c r="J144" s="84" t="str">
        <f t="shared" si="28"/>
        <v>N/A</v>
      </c>
      <c r="K144" s="83" t="str">
        <f t="shared" si="29"/>
        <v>N/A</v>
      </c>
      <c r="L144" s="83" t="str">
        <f t="shared" si="30"/>
        <v>N/A</v>
      </c>
      <c r="M144" s="83" t="str">
        <f t="shared" si="31"/>
        <v>N/A</v>
      </c>
      <c r="N144" s="65"/>
      <c r="O144" s="549">
        <f>IF(ISBLANK('Setup - Facility Details'!$C$36),P144,0)</f>
        <v>1</v>
      </c>
      <c r="P144" s="90">
        <v>1</v>
      </c>
      <c r="Q144" s="73"/>
      <c r="R144" s="90" t="s">
        <v>2754</v>
      </c>
      <c r="S144" s="90" t="s">
        <v>2754</v>
      </c>
      <c r="T144" s="325" t="s">
        <v>1367</v>
      </c>
      <c r="V144" s="325">
        <v>3</v>
      </c>
    </row>
    <row r="145" spans="2:22" x14ac:dyDescent="0.3">
      <c r="B145" s="48" t="str">
        <f ca="1">'Translation Table'!H1242</f>
        <v>Compressor Wet Seals (Centrifugal - Standby &amp; Pressurized)</v>
      </c>
      <c r="C145" s="48" t="str">
        <f ca="1">'Translation Table'!H1239</f>
        <v>Gas</v>
      </c>
      <c r="D145" s="70" t="str">
        <f t="shared" si="32"/>
        <v>N/A</v>
      </c>
      <c r="E145" s="71" t="str">
        <f t="shared" si="25"/>
        <v>N/A</v>
      </c>
      <c r="F145" s="75" t="s">
        <v>2754</v>
      </c>
      <c r="G145" s="75" t="s">
        <v>2754</v>
      </c>
      <c r="H145" s="70">
        <f t="shared" si="33"/>
        <v>1</v>
      </c>
      <c r="I145" s="71" t="str">
        <f t="shared" si="27"/>
        <v>N/A</v>
      </c>
      <c r="J145" s="72" t="str">
        <f t="shared" si="28"/>
        <v>N/A</v>
      </c>
      <c r="K145" s="71" t="str">
        <f t="shared" si="29"/>
        <v>N/A</v>
      </c>
      <c r="L145" s="71" t="str">
        <f t="shared" si="30"/>
        <v>N/A</v>
      </c>
      <c r="M145" s="71" t="str">
        <f t="shared" si="31"/>
        <v>N/A</v>
      </c>
      <c r="N145" s="65"/>
      <c r="O145" s="550">
        <f>IF(ISBLANK('Setup - Facility Details'!$C$36),P145,0)</f>
        <v>1</v>
      </c>
      <c r="P145" s="76">
        <v>1</v>
      </c>
      <c r="Q145" s="73"/>
      <c r="R145" s="76" t="s">
        <v>2754</v>
      </c>
      <c r="S145" s="76" t="s">
        <v>2754</v>
      </c>
      <c r="T145" s="325" t="s">
        <v>1367</v>
      </c>
      <c r="V145" s="325">
        <v>3</v>
      </c>
    </row>
    <row r="146" spans="2:22" x14ac:dyDescent="0.3">
      <c r="B146" s="81" t="str">
        <f ca="1">'Translation Table'!H1243</f>
        <v>Compressor Wet Seals (Centrifugal - Depressurized)</v>
      </c>
      <c r="C146" s="81" t="str">
        <f ca="1">'Translation Table'!H1239</f>
        <v>Gas</v>
      </c>
      <c r="D146" s="82" t="str">
        <f t="shared" si="32"/>
        <v>N/A</v>
      </c>
      <c r="E146" s="83" t="str">
        <f t="shared" si="25"/>
        <v>N/A</v>
      </c>
      <c r="F146" s="88" t="s">
        <v>2754</v>
      </c>
      <c r="G146" s="88" t="s">
        <v>2754</v>
      </c>
      <c r="H146" s="82">
        <f t="shared" si="33"/>
        <v>1</v>
      </c>
      <c r="I146" s="83" t="str">
        <f t="shared" si="27"/>
        <v>N/A</v>
      </c>
      <c r="J146" s="84" t="str">
        <f t="shared" si="28"/>
        <v>N/A</v>
      </c>
      <c r="K146" s="83" t="str">
        <f t="shared" si="29"/>
        <v>N/A</v>
      </c>
      <c r="L146" s="83" t="str">
        <f t="shared" si="30"/>
        <v>N/A</v>
      </c>
      <c r="M146" s="83" t="str">
        <f t="shared" si="31"/>
        <v>N/A</v>
      </c>
      <c r="N146" s="65"/>
      <c r="O146" s="549">
        <f>IF(ISBLANK('Setup - Facility Details'!$C$36),P146,0)</f>
        <v>1</v>
      </c>
      <c r="P146" s="90">
        <v>1</v>
      </c>
      <c r="Q146" s="73"/>
      <c r="R146" s="90" t="s">
        <v>2754</v>
      </c>
      <c r="S146" s="90" t="s">
        <v>2754</v>
      </c>
      <c r="T146" s="325" t="s">
        <v>1367</v>
      </c>
      <c r="V146" s="325">
        <v>3</v>
      </c>
    </row>
    <row r="147" spans="2:22" x14ac:dyDescent="0.3">
      <c r="B147" s="48" t="str">
        <f ca="1">'Translation Table'!H1244</f>
        <v>Compressor Dry Seals (Centrifugal - Operating)</v>
      </c>
      <c r="C147" s="48" t="str">
        <f ca="1">'Translation Table'!H1239</f>
        <v>Gas</v>
      </c>
      <c r="D147" s="70" t="str">
        <f t="shared" si="32"/>
        <v>N/A</v>
      </c>
      <c r="E147" s="71" t="str">
        <f>IF(OR(F147="N/A",G147="N/A"),"N/A",D147*F147+(1-D147)*G147)</f>
        <v>N/A</v>
      </c>
      <c r="F147" s="75" t="s">
        <v>2754</v>
      </c>
      <c r="G147" s="75" t="s">
        <v>2754</v>
      </c>
      <c r="H147" s="70">
        <f>O147</f>
        <v>1</v>
      </c>
      <c r="I147" s="71" t="str">
        <f>IF(OR($E147="N/A",$F147="N/A",$G147="N/A"),"N/A",H147*F147+(1-H147)*G147)</f>
        <v>N/A</v>
      </c>
      <c r="J147" s="72" t="str">
        <f>IF(OR(I147="N/A",S147="N/A"),"N/A",R147*(1-S147)+(1-R147))</f>
        <v>N/A</v>
      </c>
      <c r="K147" s="71" t="str">
        <f>IF(OR(I147="N/A",J147="N/A"),"N/A",J147*I147)</f>
        <v>N/A</v>
      </c>
      <c r="L147" s="71" t="str">
        <f>IF(OR(I147="N/A",J147="N/A"),"N/A",K147/IF(C147=Gas,ProcessGas_M,Vapor_M)*Vstp)</f>
        <v>N/A</v>
      </c>
      <c r="M147" s="71" t="str">
        <f>IF(K147="N/A","N/A",L147*IF(OR(C147=Gas,C147=All),ProcessGas_CH4,Vapor_CH4))</f>
        <v>N/A</v>
      </c>
      <c r="N147" s="65"/>
      <c r="O147" s="550">
        <f>IF(ISBLANK('Setup - Facility Details'!$C$36),P147,0)</f>
        <v>1</v>
      </c>
      <c r="P147" s="76">
        <v>1</v>
      </c>
      <c r="Q147" s="73"/>
      <c r="R147" s="76" t="s">
        <v>2754</v>
      </c>
      <c r="S147" s="76" t="s">
        <v>2754</v>
      </c>
      <c r="T147" s="325" t="s">
        <v>1367</v>
      </c>
      <c r="V147" s="325">
        <v>3</v>
      </c>
    </row>
    <row r="148" spans="2:22" x14ac:dyDescent="0.3">
      <c r="B148" s="81" t="str">
        <f ca="1">'Translation Table'!H1245</f>
        <v>Compressor Dry Seals (Centrifugal - Standby &amp; Pressurized)</v>
      </c>
      <c r="C148" s="81" t="str">
        <f ca="1">'Translation Table'!H1239</f>
        <v>Gas</v>
      </c>
      <c r="D148" s="82" t="str">
        <f t="shared" si="32"/>
        <v>N/A</v>
      </c>
      <c r="E148" s="83" t="str">
        <f>IF(OR(F148="N/A",G148="N/A"),"N/A",D148*F148+(1-D148)*G148)</f>
        <v>N/A</v>
      </c>
      <c r="F148" s="88" t="s">
        <v>2754</v>
      </c>
      <c r="G148" s="88" t="s">
        <v>2754</v>
      </c>
      <c r="H148" s="82">
        <f>O148</f>
        <v>1</v>
      </c>
      <c r="I148" s="83" t="str">
        <f>IF(OR($E148="N/A",$F148="N/A",$G148="N/A"),"N/A",H148*F148+(1-H148)*G148)</f>
        <v>N/A</v>
      </c>
      <c r="J148" s="84" t="str">
        <f>IF(OR(I148="N/A",S148="N/A"),"N/A",R148*(1-S148)+(1-R148))</f>
        <v>N/A</v>
      </c>
      <c r="K148" s="83" t="str">
        <f>IF(OR(I148="N/A",J148="N/A"),"N/A",J148*I148)</f>
        <v>N/A</v>
      </c>
      <c r="L148" s="83" t="str">
        <f>IF(OR(I148="N/A",J148="N/A"),"N/A",K148/IF(C148=Gas,ProcessGas_M,Vapor_M)*Vstp)</f>
        <v>N/A</v>
      </c>
      <c r="M148" s="83" t="str">
        <f>IF(K148="N/A","N/A",L148*IF(OR(C148=Gas,C148=All),ProcessGas_CH4,Vapor_CH4))</f>
        <v>N/A</v>
      </c>
      <c r="N148" s="65"/>
      <c r="O148" s="549">
        <f>IF(ISBLANK('Setup - Facility Details'!$C$36),P148,0)</f>
        <v>1</v>
      </c>
      <c r="P148" s="90">
        <v>1</v>
      </c>
      <c r="Q148" s="73"/>
      <c r="R148" s="90" t="s">
        <v>2754</v>
      </c>
      <c r="S148" s="90" t="s">
        <v>2754</v>
      </c>
      <c r="T148" s="325" t="s">
        <v>1367</v>
      </c>
      <c r="V148" s="325">
        <v>3</v>
      </c>
    </row>
    <row r="149" spans="2:22" x14ac:dyDescent="0.3">
      <c r="B149" s="48" t="str">
        <f ca="1">'Translation Table'!H1246</f>
        <v>Compressor Dry Seals (Centrifugal - Depressurized)</v>
      </c>
      <c r="C149" s="48" t="str">
        <f ca="1">'Translation Table'!H1239</f>
        <v>Gas</v>
      </c>
      <c r="D149" s="70" t="str">
        <f t="shared" si="32"/>
        <v>N/A</v>
      </c>
      <c r="E149" s="71" t="str">
        <f>IF(OR(F149="N/A",G149="N/A"),"N/A",D149*F149+(1-D149)*G149)</f>
        <v>N/A</v>
      </c>
      <c r="F149" s="75" t="s">
        <v>2754</v>
      </c>
      <c r="G149" s="75" t="s">
        <v>2754</v>
      </c>
      <c r="H149" s="70">
        <f>O149</f>
        <v>1</v>
      </c>
      <c r="I149" s="71" t="str">
        <f>IF(OR($E149="N/A",$F149="N/A",$G149="N/A"),"N/A",H149*F149+(1-H149)*G149)</f>
        <v>N/A</v>
      </c>
      <c r="J149" s="72" t="str">
        <f>IF(OR(I149="N/A",S149="N/A"),"N/A",R149*(1-S149)+(1-R149))</f>
        <v>N/A</v>
      </c>
      <c r="K149" s="71" t="str">
        <f>IF(OR(I149="N/A",J149="N/A"),"N/A",J149*I149)</f>
        <v>N/A</v>
      </c>
      <c r="L149" s="71" t="str">
        <f>IF(OR(I149="N/A",J149="N/A"),"N/A",K149/IF(C149=Gas,ProcessGas_M,Vapor_M)*Vstp)</f>
        <v>N/A</v>
      </c>
      <c r="M149" s="71" t="str">
        <f>IF(K149="N/A","N/A",L149*IF(OR(C149=Gas,C149=All),ProcessGas_CH4,Vapor_CH4))</f>
        <v>N/A</v>
      </c>
      <c r="N149" s="65"/>
      <c r="O149" s="550">
        <f>IF(ISBLANK('Setup - Facility Details'!$C$36),P149,0)</f>
        <v>1</v>
      </c>
      <c r="P149" s="76">
        <v>1</v>
      </c>
      <c r="Q149" s="73"/>
      <c r="R149" s="76" t="s">
        <v>2754</v>
      </c>
      <c r="S149" s="76" t="s">
        <v>2754</v>
      </c>
      <c r="T149" s="325" t="s">
        <v>1367</v>
      </c>
      <c r="V149" s="325">
        <v>3</v>
      </c>
    </row>
    <row r="150" spans="2:22" x14ac:dyDescent="0.3">
      <c r="B150" s="81" t="str">
        <f ca="1">'Translation Table'!H1247</f>
        <v>Compressor (Reciprocating - Crankcase Vent)</v>
      </c>
      <c r="C150" s="81" t="str">
        <f ca="1">'Translation Table'!H1248</f>
        <v>Gas</v>
      </c>
      <c r="D150" s="82" t="str">
        <f t="shared" si="32"/>
        <v>N/A</v>
      </c>
      <c r="E150" s="83" t="str">
        <f t="shared" si="25"/>
        <v>N/A</v>
      </c>
      <c r="F150" s="88" t="s">
        <v>2754</v>
      </c>
      <c r="G150" s="88" t="s">
        <v>2754</v>
      </c>
      <c r="H150" s="82" t="str">
        <f t="shared" ref="H150:H166" si="34">O150</f>
        <v>N/A</v>
      </c>
      <c r="I150" s="83" t="str">
        <f t="shared" si="27"/>
        <v>N/A</v>
      </c>
      <c r="J150" s="84" t="str">
        <f t="shared" si="28"/>
        <v>N/A</v>
      </c>
      <c r="K150" s="83" t="str">
        <f t="shared" si="29"/>
        <v>N/A</v>
      </c>
      <c r="L150" s="83" t="str">
        <f t="shared" si="30"/>
        <v>N/A</v>
      </c>
      <c r="M150" s="83" t="str">
        <f t="shared" si="31"/>
        <v>N/A</v>
      </c>
      <c r="N150" s="65"/>
      <c r="O150" s="549" t="str">
        <f>IF(ISBLANK('Setup - Facility Details'!$C$35),P150,0)</f>
        <v>N/A</v>
      </c>
      <c r="P150" s="90" t="s">
        <v>2754</v>
      </c>
      <c r="Q150" s="73"/>
      <c r="R150" s="90" t="s">
        <v>2754</v>
      </c>
      <c r="S150" s="90" t="s">
        <v>2754</v>
      </c>
      <c r="T150" s="325" t="s">
        <v>1368</v>
      </c>
      <c r="V150" s="325">
        <v>2</v>
      </c>
    </row>
    <row r="151" spans="2:22" x14ac:dyDescent="0.3">
      <c r="B151" s="48" t="str">
        <f ca="1">'Translation Table'!H1249</f>
        <v>Pressure Relief Valves</v>
      </c>
      <c r="C151" s="48" t="str">
        <f ca="1">'Translation Table'!H1250</f>
        <v>Gas</v>
      </c>
      <c r="D151" s="242">
        <v>3.85E-2</v>
      </c>
      <c r="E151" s="71">
        <f t="shared" si="25"/>
        <v>1.7508045499999999E-3</v>
      </c>
      <c r="F151" s="243">
        <v>3.8690000000000002E-2</v>
      </c>
      <c r="G151" s="243">
        <v>2.7169999999999999E-4</v>
      </c>
      <c r="H151" s="70">
        <f t="shared" si="34"/>
        <v>3.85E-2</v>
      </c>
      <c r="I151" s="71">
        <f t="shared" si="27"/>
        <v>1.7508045499999999E-3</v>
      </c>
      <c r="J151" s="72">
        <f t="shared" si="28"/>
        <v>1</v>
      </c>
      <c r="K151" s="71">
        <f t="shared" si="29"/>
        <v>1.7508045499999999E-3</v>
      </c>
      <c r="L151" s="71">
        <f t="shared" ca="1" si="30"/>
        <v>2.2226223892873949E-3</v>
      </c>
      <c r="M151" s="71">
        <f t="shared" ca="1" si="31"/>
        <v>1.9336814786800336E-3</v>
      </c>
      <c r="N151" s="65"/>
      <c r="O151" s="550">
        <f>IF(ISBLANK('Setup - Facility Details'!$C$35),P151,0)</f>
        <v>3.85E-2</v>
      </c>
      <c r="P151" s="218">
        <v>3.85E-2</v>
      </c>
      <c r="Q151" s="73"/>
      <c r="R151" s="218">
        <v>0</v>
      </c>
      <c r="S151" s="74" cm="1">
        <f t="array" ref="S151">INDEX(ValidPRVCF_V,V151)/100</f>
        <v>0</v>
      </c>
      <c r="T151" s="325" t="s">
        <v>1369</v>
      </c>
      <c r="V151" s="325">
        <v>2</v>
      </c>
    </row>
    <row r="152" spans="2:22" x14ac:dyDescent="0.3">
      <c r="B152" s="81" t="str">
        <f ca="1">'Translation Table'!H1251</f>
        <v>Regulators</v>
      </c>
      <c r="C152" s="81" t="str">
        <f ca="1">'Translation Table'!H1252</f>
        <v>Gas</v>
      </c>
      <c r="D152" s="82">
        <v>2.3E-2</v>
      </c>
      <c r="E152" s="83">
        <f t="shared" si="25"/>
        <v>2.32935E-5</v>
      </c>
      <c r="F152" s="88">
        <v>6.4320000000000002E-4</v>
      </c>
      <c r="G152" s="88">
        <v>8.6999999999999997E-6</v>
      </c>
      <c r="H152" s="82">
        <f t="shared" si="34"/>
        <v>2.3E-2</v>
      </c>
      <c r="I152" s="83">
        <f t="shared" si="27"/>
        <v>2.32935E-5</v>
      </c>
      <c r="J152" s="84">
        <f t="shared" si="28"/>
        <v>1</v>
      </c>
      <c r="K152" s="83">
        <f t="shared" si="29"/>
        <v>2.32935E-5</v>
      </c>
      <c r="L152" s="83">
        <f t="shared" ca="1" si="30"/>
        <v>2.9570779116872834E-5</v>
      </c>
      <c r="M152" s="83">
        <f t="shared" ca="1" si="31"/>
        <v>2.5726577831679366E-5</v>
      </c>
      <c r="N152" s="65"/>
      <c r="O152" s="549">
        <f>IF(ISBLANK('Setup - Facility Details'!$C$35),P152,0)</f>
        <v>2.3E-2</v>
      </c>
      <c r="P152" s="218">
        <v>2.3E-2</v>
      </c>
      <c r="Q152" s="73"/>
      <c r="R152" s="218">
        <v>0</v>
      </c>
      <c r="S152" s="89">
        <f>INDEX(ValidRegulatorCF_V,V152)/100</f>
        <v>0</v>
      </c>
      <c r="T152" s="325" t="s">
        <v>1370</v>
      </c>
      <c r="V152" s="325">
        <v>1</v>
      </c>
    </row>
    <row r="153" spans="2:22" x14ac:dyDescent="0.3">
      <c r="B153" s="48" t="str">
        <f ca="1">'Translation Table'!H1253</f>
        <v>Connectors</v>
      </c>
      <c r="C153" s="48" t="str">
        <f ca="1">'Translation Table'!H1254</f>
        <v>Gas</v>
      </c>
      <c r="D153" s="242">
        <v>2.2000000000000001E-3</v>
      </c>
      <c r="E153" s="71">
        <f t="shared" si="25"/>
        <v>4.4600999999999999E-6</v>
      </c>
      <c r="F153" s="243">
        <v>1.3470000000000001E-3</v>
      </c>
      <c r="G153" s="243">
        <v>1.5E-6</v>
      </c>
      <c r="H153" s="70">
        <f t="shared" si="34"/>
        <v>2.2000000000000001E-3</v>
      </c>
      <c r="I153" s="71">
        <f t="shared" si="27"/>
        <v>4.4600999999999999E-6</v>
      </c>
      <c r="J153" s="72">
        <f t="shared" si="28"/>
        <v>1</v>
      </c>
      <c r="K153" s="71">
        <f t="shared" si="29"/>
        <v>4.4600999999999999E-6</v>
      </c>
      <c r="L153" s="71">
        <f t="shared" ca="1" si="30"/>
        <v>5.6620358442983887E-6</v>
      </c>
      <c r="M153" s="71">
        <f t="shared" ca="1" si="31"/>
        <v>4.9259711845395985E-6</v>
      </c>
      <c r="N153" s="65"/>
      <c r="O153" s="550">
        <f>IF(ISBLANK('Setup - Facility Details'!$C$35),P153,0)</f>
        <v>2.2000000000000001E-3</v>
      </c>
      <c r="P153" s="218">
        <v>2.2000000000000001E-3</v>
      </c>
      <c r="Q153" s="73"/>
      <c r="R153" s="218">
        <v>0</v>
      </c>
      <c r="S153" s="74" cm="1">
        <f t="array" ref="S153">INDEX(ValidConnectorCF_V,V153)/100</f>
        <v>0</v>
      </c>
      <c r="T153" s="325" t="s">
        <v>1371</v>
      </c>
      <c r="V153" s="325">
        <v>1</v>
      </c>
    </row>
    <row r="154" spans="2:22" x14ac:dyDescent="0.3">
      <c r="B154" s="81" t="str">
        <f ca="1">'Translation Table'!H1253</f>
        <v>Connectors</v>
      </c>
      <c r="C154" s="81" t="str">
        <f ca="1">'Translation Table'!H1255</f>
        <v>Light Liquid</v>
      </c>
      <c r="D154" s="82" t="str">
        <f>IF(OR($E154="N/A",$F154="N/A",$G154="N/A"),"N/A",IF($F154-$G154&gt;0,($E154-$G154)/($F154-$G154),"N/A"))</f>
        <v>N/A</v>
      </c>
      <c r="E154" s="83" t="str">
        <f t="shared" si="25"/>
        <v>N/A</v>
      </c>
      <c r="F154" s="88" t="s">
        <v>2754</v>
      </c>
      <c r="G154" s="88" t="s">
        <v>2754</v>
      </c>
      <c r="H154" s="82" t="str">
        <f t="shared" si="34"/>
        <v>N/A</v>
      </c>
      <c r="I154" s="83" t="str">
        <f t="shared" si="27"/>
        <v>N/A</v>
      </c>
      <c r="J154" s="84" t="str">
        <f t="shared" si="28"/>
        <v>N/A</v>
      </c>
      <c r="K154" s="83" t="str">
        <f t="shared" si="29"/>
        <v>N/A</v>
      </c>
      <c r="L154" s="83" t="str">
        <f t="shared" si="30"/>
        <v>N/A</v>
      </c>
      <c r="M154" s="83" t="str">
        <f t="shared" si="31"/>
        <v>N/A</v>
      </c>
      <c r="N154" s="65"/>
      <c r="O154" s="549" t="str">
        <f>IF(ISBLANK('Setup - Facility Details'!$C$35),P154,0)</f>
        <v>N/A</v>
      </c>
      <c r="P154" s="90" t="s">
        <v>2754</v>
      </c>
      <c r="Q154" s="73"/>
      <c r="R154" s="90" t="s">
        <v>2754</v>
      </c>
      <c r="S154" s="90" t="s">
        <v>2754</v>
      </c>
      <c r="T154" s="325" t="s">
        <v>1371</v>
      </c>
      <c r="V154" s="325">
        <v>1</v>
      </c>
    </row>
    <row r="155" spans="2:22" x14ac:dyDescent="0.3">
      <c r="B155" s="48" t="str">
        <f ca="1">'Translation Table'!H1253</f>
        <v>Connectors</v>
      </c>
      <c r="C155" s="48" t="str">
        <f ca="1">'Translation Table'!H1256</f>
        <v>Heavy Liquid</v>
      </c>
      <c r="D155" s="70" t="str">
        <f>IF(OR($E155="N/A",$F155="N/A",$G155="N/A"),"N/A",IF($F155-$G155&gt;0,($E155-$G155)/($F155-$G155),"N/A"))</f>
        <v>N/A</v>
      </c>
      <c r="E155" s="71" t="str">
        <f t="shared" si="25"/>
        <v>N/A</v>
      </c>
      <c r="F155" s="75" t="s">
        <v>2754</v>
      </c>
      <c r="G155" s="75" t="s">
        <v>2754</v>
      </c>
      <c r="H155" s="70" t="str">
        <f t="shared" si="34"/>
        <v>N/A</v>
      </c>
      <c r="I155" s="71" t="str">
        <f t="shared" si="27"/>
        <v>N/A</v>
      </c>
      <c r="J155" s="72" t="str">
        <f t="shared" si="28"/>
        <v>N/A</v>
      </c>
      <c r="K155" s="71" t="str">
        <f t="shared" si="29"/>
        <v>N/A</v>
      </c>
      <c r="L155" s="71" t="str">
        <f t="shared" si="30"/>
        <v>N/A</v>
      </c>
      <c r="M155" s="71" t="str">
        <f t="shared" si="31"/>
        <v>N/A</v>
      </c>
      <c r="N155" s="65"/>
      <c r="O155" s="550" t="str">
        <f>IF(ISBLANK('Setup - Facility Details'!$C$35),P155,0)</f>
        <v>N/A</v>
      </c>
      <c r="P155" s="76" t="s">
        <v>2754</v>
      </c>
      <c r="Q155" s="73"/>
      <c r="R155" s="76" t="s">
        <v>2754</v>
      </c>
      <c r="S155" s="76" t="s">
        <v>2754</v>
      </c>
      <c r="T155" s="325" t="s">
        <v>1371</v>
      </c>
      <c r="V155" s="325">
        <v>1</v>
      </c>
    </row>
    <row r="156" spans="2:22" x14ac:dyDescent="0.3">
      <c r="B156" s="81" t="str">
        <f ca="1">'Translation Table'!H1257</f>
        <v>Open-ended Lines</v>
      </c>
      <c r="C156" s="81" t="str">
        <f ca="1">'Translation Table'!H1258</f>
        <v>Gas</v>
      </c>
      <c r="D156" s="82">
        <v>0.72119999999999995</v>
      </c>
      <c r="E156" s="83">
        <f t="shared" si="25"/>
        <v>8.3546380759999997E-2</v>
      </c>
      <c r="F156" s="88">
        <v>0.1158</v>
      </c>
      <c r="G156" s="88">
        <v>1.127E-4</v>
      </c>
      <c r="H156" s="82">
        <f t="shared" si="34"/>
        <v>0.72119999999999995</v>
      </c>
      <c r="I156" s="83">
        <f t="shared" si="27"/>
        <v>8.3546380759999997E-2</v>
      </c>
      <c r="J156" s="84">
        <f t="shared" si="28"/>
        <v>1</v>
      </c>
      <c r="K156" s="83">
        <f t="shared" si="29"/>
        <v>8.3546380759999997E-2</v>
      </c>
      <c r="L156" s="83">
        <f t="shared" ca="1" si="30"/>
        <v>0.10606098574572795</v>
      </c>
      <c r="M156" s="83">
        <f t="shared" ca="1" si="31"/>
        <v>9.227305759878332E-2</v>
      </c>
      <c r="N156" s="65"/>
      <c r="O156" s="549">
        <f>IF(ISBLANK('Setup - Facility Details'!$C$35),P156,0)</f>
        <v>0.72119999999999995</v>
      </c>
      <c r="P156" s="218">
        <v>0.72119999999999995</v>
      </c>
      <c r="Q156" s="73"/>
      <c r="R156" s="218">
        <v>0</v>
      </c>
      <c r="S156" s="89" cm="1">
        <f t="array" ref="S156">INDEX(ValidOELCF_V,V156)/100</f>
        <v>0</v>
      </c>
      <c r="T156" s="325" t="s">
        <v>1372</v>
      </c>
      <c r="V156" s="325">
        <v>2</v>
      </c>
    </row>
    <row r="157" spans="2:22" x14ac:dyDescent="0.3">
      <c r="B157" s="48" t="str">
        <f ca="1">'Translation Table'!H1257</f>
        <v>Open-ended Lines</v>
      </c>
      <c r="C157" s="48" t="str">
        <f ca="1">'Translation Table'!H1259</f>
        <v>Light Liquid</v>
      </c>
      <c r="D157" s="70" t="str">
        <f>IF(OR($E157="N/A",$F157="N/A",$G157="N/A"),"N/A",IF($F157-$G157&gt;0,($E157-$G157)/($F157-$G157),"N/A"))</f>
        <v>N/A</v>
      </c>
      <c r="E157" s="71" t="str">
        <f t="shared" si="25"/>
        <v>N/A</v>
      </c>
      <c r="F157" s="75" t="s">
        <v>2754</v>
      </c>
      <c r="G157" s="75" t="s">
        <v>2754</v>
      </c>
      <c r="H157" s="70" t="str">
        <f t="shared" si="34"/>
        <v>N/A</v>
      </c>
      <c r="I157" s="71" t="str">
        <f t="shared" si="27"/>
        <v>N/A</v>
      </c>
      <c r="J157" s="72" t="str">
        <f t="shared" si="28"/>
        <v>N/A</v>
      </c>
      <c r="K157" s="71" t="str">
        <f t="shared" si="29"/>
        <v>N/A</v>
      </c>
      <c r="L157" s="71" t="str">
        <f t="shared" si="30"/>
        <v>N/A</v>
      </c>
      <c r="M157" s="71" t="str">
        <f t="shared" si="31"/>
        <v>N/A</v>
      </c>
      <c r="N157" s="65"/>
      <c r="O157" s="550" t="str">
        <f>IF(ISBLANK('Setup - Facility Details'!$C$35),P157,0)</f>
        <v>N/A</v>
      </c>
      <c r="P157" s="76" t="s">
        <v>2754</v>
      </c>
      <c r="Q157" s="73"/>
      <c r="R157" s="76" t="s">
        <v>2754</v>
      </c>
      <c r="S157" s="76" t="s">
        <v>2754</v>
      </c>
      <c r="T157" s="325" t="s">
        <v>1372</v>
      </c>
      <c r="V157" s="325">
        <v>2</v>
      </c>
    </row>
    <row r="158" spans="2:22" x14ac:dyDescent="0.3">
      <c r="B158" s="81" t="str">
        <f ca="1">'Translation Table'!H1257</f>
        <v>Open-ended Lines</v>
      </c>
      <c r="C158" s="81" t="str">
        <f ca="1">'Translation Table'!H1260</f>
        <v>Heavy Liquid</v>
      </c>
      <c r="D158" s="82" t="str">
        <f>IF(OR($E158="N/A",$F158="N/A",$G158="N/A"),"N/A",IF($F158-$G158&gt;0,($E158-$G158)/($F158-$G158),"N/A"))</f>
        <v>N/A</v>
      </c>
      <c r="E158" s="83" t="str">
        <f t="shared" si="25"/>
        <v>N/A</v>
      </c>
      <c r="F158" s="88" t="s">
        <v>2754</v>
      </c>
      <c r="G158" s="88" t="s">
        <v>2754</v>
      </c>
      <c r="H158" s="82" t="str">
        <f t="shared" si="34"/>
        <v>N/A</v>
      </c>
      <c r="I158" s="83" t="str">
        <f t="shared" si="27"/>
        <v>N/A</v>
      </c>
      <c r="J158" s="84" t="str">
        <f t="shared" si="28"/>
        <v>N/A</v>
      </c>
      <c r="K158" s="83" t="str">
        <f t="shared" si="29"/>
        <v>N/A</v>
      </c>
      <c r="L158" s="83" t="str">
        <f t="shared" si="30"/>
        <v>N/A</v>
      </c>
      <c r="M158" s="83" t="str">
        <f t="shared" si="31"/>
        <v>N/A</v>
      </c>
      <c r="N158" s="65"/>
      <c r="O158" s="549" t="str">
        <f>IF(ISBLANK('Setup - Facility Details'!$C$35),P158,0)</f>
        <v>N/A</v>
      </c>
      <c r="P158" s="90" t="s">
        <v>2754</v>
      </c>
      <c r="Q158" s="73"/>
      <c r="R158" s="90" t="s">
        <v>2754</v>
      </c>
      <c r="S158" s="90" t="s">
        <v>2754</v>
      </c>
      <c r="T158" s="325" t="s">
        <v>1372</v>
      </c>
      <c r="V158" s="325">
        <v>2</v>
      </c>
    </row>
    <row r="159" spans="2:22" x14ac:dyDescent="0.3">
      <c r="B159" s="48" t="str">
        <f ca="1">'Translation Table'!H1261</f>
        <v>Sampling Connections</v>
      </c>
      <c r="C159" s="48" t="str">
        <f ca="1">'Translation Table'!H1262</f>
        <v>All</v>
      </c>
      <c r="D159" s="70" t="str">
        <f>IF(OR($E159="N/A",$F159="N/A",$G159="N/A"),"N/A",IF($F159-$G159&gt;0,($E159-$G159)/($F159-$G159),"N/A"))</f>
        <v>N/A</v>
      </c>
      <c r="E159" s="71" t="str">
        <f t="shared" si="25"/>
        <v>N/A</v>
      </c>
      <c r="F159" s="75" t="s">
        <v>2754</v>
      </c>
      <c r="G159" s="75" t="s">
        <v>2754</v>
      </c>
      <c r="H159" s="70" t="str">
        <f t="shared" si="34"/>
        <v>N/A</v>
      </c>
      <c r="I159" s="71" t="str">
        <f t="shared" si="27"/>
        <v>N/A</v>
      </c>
      <c r="J159" s="72" t="str">
        <f t="shared" si="28"/>
        <v>N/A</v>
      </c>
      <c r="K159" s="71" t="str">
        <f t="shared" si="29"/>
        <v>N/A</v>
      </c>
      <c r="L159" s="71" t="str">
        <f t="shared" si="30"/>
        <v>N/A</v>
      </c>
      <c r="M159" s="71" t="str">
        <f t="shared" si="31"/>
        <v>N/A</v>
      </c>
      <c r="N159" s="77"/>
      <c r="O159" s="550" t="str">
        <f>IF(ISBLANK('Setup - Facility Details'!$C$35),P159,0)</f>
        <v>N/A</v>
      </c>
      <c r="P159" s="76" t="s">
        <v>2754</v>
      </c>
      <c r="Q159" s="73"/>
      <c r="R159" s="76" t="s">
        <v>2754</v>
      </c>
      <c r="S159" s="76" t="s">
        <v>2754</v>
      </c>
      <c r="T159" s="325" t="s">
        <v>1373</v>
      </c>
      <c r="V159" s="325">
        <v>2</v>
      </c>
    </row>
    <row r="160" spans="2:22" x14ac:dyDescent="0.3">
      <c r="B160" s="81" t="str">
        <f ca="1">'Translation Table'!H1263</f>
        <v>Drains</v>
      </c>
      <c r="C160" s="81" t="str">
        <f ca="1">'Translation Table'!H1264</f>
        <v>All</v>
      </c>
      <c r="D160" s="82" t="str">
        <f>IF(OR($E160="N/A",$F160="N/A",$G160="N/A"),"N/A",IF($F160-$G160&gt;0,($E160-$G160)/($F160-$G160),"N/A"))</f>
        <v>N/A</v>
      </c>
      <c r="E160" s="83" t="str">
        <f t="shared" si="25"/>
        <v>N/A</v>
      </c>
      <c r="F160" s="88" t="s">
        <v>2754</v>
      </c>
      <c r="G160" s="88" t="s">
        <v>2754</v>
      </c>
      <c r="H160" s="82" t="str">
        <f t="shared" si="34"/>
        <v>N/A</v>
      </c>
      <c r="I160" s="83" t="str">
        <f t="shared" si="27"/>
        <v>N/A</v>
      </c>
      <c r="J160" s="84" t="str">
        <f t="shared" si="28"/>
        <v>N/A</v>
      </c>
      <c r="K160" s="83" t="str">
        <f t="shared" si="29"/>
        <v>N/A</v>
      </c>
      <c r="L160" s="83" t="str">
        <f t="shared" si="30"/>
        <v>N/A</v>
      </c>
      <c r="M160" s="83" t="str">
        <f t="shared" si="31"/>
        <v>N/A</v>
      </c>
      <c r="N160" s="77"/>
      <c r="O160" s="549" t="str">
        <f>IF(ISBLANK('Setup - Facility Details'!$C$35),P160,0)</f>
        <v>N/A</v>
      </c>
      <c r="P160" s="90" t="s">
        <v>2754</v>
      </c>
      <c r="Q160" s="73"/>
      <c r="R160" s="90" t="s">
        <v>2754</v>
      </c>
      <c r="S160" s="90" t="s">
        <v>2754</v>
      </c>
      <c r="T160" s="325" t="s">
        <v>1374</v>
      </c>
      <c r="V160" s="325">
        <v>2</v>
      </c>
    </row>
    <row r="161" spans="1:22" x14ac:dyDescent="0.3">
      <c r="B161" s="48" t="str">
        <f ca="1">'Translation Table'!H1265</f>
        <v>Meter (Orifice)</v>
      </c>
      <c r="C161" s="48" t="str">
        <f ca="1">'Translation Table'!H1266</f>
        <v>Gas</v>
      </c>
      <c r="D161" s="242">
        <v>0.1963</v>
      </c>
      <c r="E161" s="71">
        <f t="shared" si="25"/>
        <v>3.2745625000000001E-3</v>
      </c>
      <c r="F161" s="243">
        <v>8.8000000000000005E-3</v>
      </c>
      <c r="G161" s="243">
        <v>1.9250000000000001E-3</v>
      </c>
      <c r="H161" s="70">
        <f t="shared" si="34"/>
        <v>0.1963</v>
      </c>
      <c r="I161" s="71">
        <f t="shared" si="27"/>
        <v>3.2745625000000001E-3</v>
      </c>
      <c r="J161" s="72">
        <f t="shared" si="28"/>
        <v>1</v>
      </c>
      <c r="K161" s="71">
        <f t="shared" si="29"/>
        <v>3.2745625000000001E-3</v>
      </c>
      <c r="L161" s="71">
        <f t="shared" ca="1" si="30"/>
        <v>4.1570122305319033E-3</v>
      </c>
      <c r="M161" s="71">
        <f t="shared" ca="1" si="31"/>
        <v>3.6166006405627558E-3</v>
      </c>
      <c r="N161" s="77"/>
      <c r="O161" s="550">
        <f>IF(ISBLANK('Setup - Facility Details'!$C$35),P161,0)</f>
        <v>0.1963</v>
      </c>
      <c r="P161" s="218">
        <v>0.1963</v>
      </c>
      <c r="Q161" s="73"/>
      <c r="R161" s="218">
        <v>0</v>
      </c>
      <c r="S161" s="74" cm="1">
        <f t="array" ref="S161">INDEX(ValidValveCF_V,V161)/100</f>
        <v>0</v>
      </c>
      <c r="T161" s="325" t="s">
        <v>1365</v>
      </c>
      <c r="V161" s="325">
        <v>1</v>
      </c>
    </row>
    <row r="162" spans="1:22" x14ac:dyDescent="0.3">
      <c r="B162" s="81" t="str">
        <f ca="1">'Translation Table'!H1267</f>
        <v>Meter (Other)</v>
      </c>
      <c r="C162" s="81" t="str">
        <f ca="1">'Translation Table'!H1268</f>
        <v>Gas</v>
      </c>
      <c r="D162" s="82">
        <v>1.7299999999999999E-2</v>
      </c>
      <c r="E162" s="83">
        <f t="shared" si="25"/>
        <v>7.2067100000000007E-6</v>
      </c>
      <c r="F162" s="88">
        <v>2.064E-4</v>
      </c>
      <c r="G162" s="88">
        <v>3.7000000000000002E-6</v>
      </c>
      <c r="H162" s="82">
        <f t="shared" si="34"/>
        <v>1.7299999999999999E-2</v>
      </c>
      <c r="I162" s="83">
        <f t="shared" si="27"/>
        <v>7.2067100000000007E-6</v>
      </c>
      <c r="J162" s="84">
        <f t="shared" si="28"/>
        <v>1</v>
      </c>
      <c r="K162" s="83">
        <f t="shared" si="29"/>
        <v>7.2067100000000007E-6</v>
      </c>
      <c r="L162" s="83">
        <f t="shared" ca="1" si="30"/>
        <v>9.1488196093055407E-6</v>
      </c>
      <c r="M162" s="83">
        <f t="shared" ca="1" si="31"/>
        <v>7.9594730600958205E-6</v>
      </c>
      <c r="N162" s="77"/>
      <c r="O162" s="549">
        <f>IF(ISBLANK('Setup - Facility Details'!$C$35),P162,0)</f>
        <v>1.7299999999999999E-2</v>
      </c>
      <c r="P162" s="218">
        <v>1.7299999999999999E-2</v>
      </c>
      <c r="Q162" s="73"/>
      <c r="R162" s="218">
        <v>0</v>
      </c>
      <c r="S162" s="89" cm="1">
        <f t="array" ref="S162">INDEX(ValidValveCF_V,V162)/100</f>
        <v>0</v>
      </c>
      <c r="T162" s="325" t="s">
        <v>1365</v>
      </c>
      <c r="V162" s="325">
        <v>1</v>
      </c>
    </row>
    <row r="163" spans="1:22" x14ac:dyDescent="0.3">
      <c r="B163" s="48" t="str">
        <f ca="1">'Translation Table'!H1269</f>
        <v>Blowdown System</v>
      </c>
      <c r="C163" s="48" t="str">
        <f ca="1">'Translation Table'!H1270</f>
        <v>Gas</v>
      </c>
      <c r="D163" s="70" t="str">
        <f>IF(OR($E163="N/A",$F163="N/A",$G163="N/A"),"N/A",IF($F163-$G163&gt;0,($E163-$G163)/($F163-$G163),"N/A"))</f>
        <v>N/A</v>
      </c>
      <c r="E163" s="71" t="str">
        <f t="shared" si="25"/>
        <v>N/A</v>
      </c>
      <c r="F163" s="75" t="s">
        <v>2754</v>
      </c>
      <c r="G163" s="75" t="s">
        <v>2754</v>
      </c>
      <c r="H163" s="70" t="str">
        <f t="shared" si="34"/>
        <v>N/A</v>
      </c>
      <c r="I163" s="71" t="str">
        <f t="shared" si="27"/>
        <v>N/A</v>
      </c>
      <c r="J163" s="72" t="str">
        <f t="shared" si="28"/>
        <v>N/A</v>
      </c>
      <c r="K163" s="71" t="str">
        <f t="shared" si="29"/>
        <v>N/A</v>
      </c>
      <c r="L163" s="71" t="str">
        <f t="shared" si="30"/>
        <v>N/A</v>
      </c>
      <c r="M163" s="71" t="str">
        <f t="shared" si="31"/>
        <v>N/A</v>
      </c>
      <c r="N163" s="77"/>
      <c r="O163" s="550" t="str">
        <f>IF(ISBLANK('Setup - Facility Details'!$C$35),P163,0)</f>
        <v>N/A</v>
      </c>
      <c r="P163" s="76" t="s">
        <v>2754</v>
      </c>
      <c r="Q163" s="73"/>
      <c r="R163" s="76" t="s">
        <v>2754</v>
      </c>
      <c r="S163" s="76" t="s">
        <v>2754</v>
      </c>
      <c r="T163" s="325" t="s">
        <v>1365</v>
      </c>
      <c r="V163" s="325">
        <v>1</v>
      </c>
    </row>
    <row r="164" spans="1:22" x14ac:dyDescent="0.3">
      <c r="B164" s="81" t="str">
        <f ca="1">'Translation Table'!H1271</f>
        <v>Others</v>
      </c>
      <c r="C164" s="81" t="str">
        <f ca="1">'Translation Table'!H1272</f>
        <v>Gas</v>
      </c>
      <c r="D164" s="82" t="str">
        <f>IF(OR($E164="N/A",$F164="N/A",$G164="N/A"),"N/A",IF($F164-$G164&gt;0,($E164-$G164)/($F164-$G164),"N/A"))</f>
        <v>N/A</v>
      </c>
      <c r="E164" s="83" t="str">
        <f t="shared" si="25"/>
        <v>N/A</v>
      </c>
      <c r="F164" s="88" t="s">
        <v>2754</v>
      </c>
      <c r="G164" s="88" t="s">
        <v>2754</v>
      </c>
      <c r="H164" s="82" t="str">
        <f t="shared" si="34"/>
        <v>N/A</v>
      </c>
      <c r="I164" s="83" t="str">
        <f t="shared" si="27"/>
        <v>N/A</v>
      </c>
      <c r="J164" s="84" t="str">
        <f t="shared" si="28"/>
        <v>N/A</v>
      </c>
      <c r="K164" s="83" t="str">
        <f t="shared" si="29"/>
        <v>N/A</v>
      </c>
      <c r="L164" s="83" t="str">
        <f t="shared" si="30"/>
        <v>N/A</v>
      </c>
      <c r="M164" s="83" t="str">
        <f t="shared" si="31"/>
        <v>N/A</v>
      </c>
      <c r="N164" s="77"/>
      <c r="O164" s="549" t="str">
        <f>IF(ISBLANK('Setup - Facility Details'!$C$35),P164,0)</f>
        <v>N/A</v>
      </c>
      <c r="P164" s="90" t="s">
        <v>2754</v>
      </c>
      <c r="Q164" s="73"/>
      <c r="R164" s="90" t="s">
        <v>2754</v>
      </c>
      <c r="S164" s="90" t="s">
        <v>2754</v>
      </c>
      <c r="T164" s="325" t="s">
        <v>1375</v>
      </c>
      <c r="V164" s="325">
        <v>1</v>
      </c>
    </row>
    <row r="165" spans="1:22" x14ac:dyDescent="0.3">
      <c r="B165" s="48" t="str">
        <f ca="1">'Translation Table'!H1271</f>
        <v>Others</v>
      </c>
      <c r="C165" s="48" t="str">
        <f ca="1">'Translation Table'!H1273</f>
        <v>Light Liquid</v>
      </c>
      <c r="D165" s="70" t="str">
        <f>IF(OR($E165="N/A",$F165="N/A",$G165="N/A"),"N/A",IF($F165-$G165&gt;0,($E165-$G165)/($F165-$G165),"N/A"))</f>
        <v>N/A</v>
      </c>
      <c r="E165" s="71" t="str">
        <f t="shared" si="25"/>
        <v>N/A</v>
      </c>
      <c r="F165" s="75" t="s">
        <v>2754</v>
      </c>
      <c r="G165" s="75" t="s">
        <v>2754</v>
      </c>
      <c r="H165" s="70" t="str">
        <f t="shared" si="34"/>
        <v>N/A</v>
      </c>
      <c r="I165" s="71" t="str">
        <f t="shared" si="27"/>
        <v>N/A</v>
      </c>
      <c r="J165" s="72" t="str">
        <f t="shared" si="28"/>
        <v>N/A</v>
      </c>
      <c r="K165" s="71" t="str">
        <f t="shared" si="29"/>
        <v>N/A</v>
      </c>
      <c r="L165" s="71" t="str">
        <f t="shared" si="30"/>
        <v>N/A</v>
      </c>
      <c r="M165" s="71" t="str">
        <f t="shared" si="31"/>
        <v>N/A</v>
      </c>
      <c r="N165" s="77"/>
      <c r="O165" s="550" t="str">
        <f>IF(ISBLANK('Setup - Facility Details'!$C$35),P165,0)</f>
        <v>N/A</v>
      </c>
      <c r="P165" s="76" t="s">
        <v>2754</v>
      </c>
      <c r="Q165" s="73"/>
      <c r="R165" s="76" t="s">
        <v>2754</v>
      </c>
      <c r="S165" s="76" t="s">
        <v>2754</v>
      </c>
      <c r="T165" s="325" t="s">
        <v>1375</v>
      </c>
      <c r="V165" s="325">
        <v>1</v>
      </c>
    </row>
    <row r="166" spans="1:22" x14ac:dyDescent="0.3">
      <c r="B166" s="81" t="str">
        <f ca="1">'Translation Table'!H1271</f>
        <v>Others</v>
      </c>
      <c r="C166" s="81" t="str">
        <f ca="1">'Translation Table'!H1274</f>
        <v>Heavy Liquid</v>
      </c>
      <c r="D166" s="82" t="str">
        <f>IF(OR($E166="N/A",$F166="N/A",$G166="N/A"),"N/A",IF($F166-$G166&gt;0,($E166-$G166)/($F166-$G166),"N/A"))</f>
        <v>N/A</v>
      </c>
      <c r="E166" s="83" t="str">
        <f t="shared" si="25"/>
        <v>N/A</v>
      </c>
      <c r="F166" s="88" t="s">
        <v>2754</v>
      </c>
      <c r="G166" s="88" t="s">
        <v>2754</v>
      </c>
      <c r="H166" s="82" t="str">
        <f t="shared" si="34"/>
        <v>N/A</v>
      </c>
      <c r="I166" s="83" t="str">
        <f t="shared" si="27"/>
        <v>N/A</v>
      </c>
      <c r="J166" s="84" t="str">
        <f t="shared" si="28"/>
        <v>N/A</v>
      </c>
      <c r="K166" s="83" t="str">
        <f t="shared" si="29"/>
        <v>N/A</v>
      </c>
      <c r="L166" s="83" t="str">
        <f t="shared" si="30"/>
        <v>N/A</v>
      </c>
      <c r="M166" s="83" t="str">
        <f t="shared" si="31"/>
        <v>N/A</v>
      </c>
      <c r="N166" s="77"/>
      <c r="O166" s="549" t="str">
        <f>IF(ISBLANK('Setup - Facility Details'!$C$35),P166,0)</f>
        <v>N/A</v>
      </c>
      <c r="P166" s="90" t="s">
        <v>2754</v>
      </c>
      <c r="Q166" s="73"/>
      <c r="R166" s="90" t="s">
        <v>2754</v>
      </c>
      <c r="S166" s="90" t="s">
        <v>2754</v>
      </c>
      <c r="T166" s="325" t="s">
        <v>1375</v>
      </c>
      <c r="V166" s="325">
        <v>1</v>
      </c>
    </row>
    <row r="170" spans="1:22" ht="15.5" x14ac:dyDescent="0.35">
      <c r="A170" s="325" t="s">
        <v>263</v>
      </c>
      <c r="B170" s="1073" t="str">
        <f ca="1">'Translation Table'!H1275</f>
        <v>Equipment Component Type</v>
      </c>
      <c r="C170" s="1074"/>
      <c r="D170" s="1074"/>
      <c r="E170" s="1074"/>
      <c r="F170" s="1074"/>
      <c r="G170" s="1074"/>
      <c r="H170" s="1074"/>
      <c r="I170" s="1074"/>
      <c r="J170" s="1074"/>
      <c r="K170" s="1074"/>
      <c r="L170" s="1075"/>
      <c r="M170" s="1076"/>
      <c r="N170" s="62"/>
      <c r="O170" s="62"/>
      <c r="P170" s="62"/>
      <c r="Q170" s="62"/>
      <c r="R170" s="62"/>
      <c r="S170" s="62"/>
    </row>
    <row r="171" spans="1:22" x14ac:dyDescent="0.3">
      <c r="B171" s="1080" t="str">
        <f ca="1">'Translation Table'!H1275</f>
        <v>Equipment Component Type</v>
      </c>
      <c r="C171" s="1080" t="str">
        <f ca="1">'Translation Table'!H1276</f>
        <v>Service</v>
      </c>
      <c r="D171" s="1081" t="str">
        <f ca="1">'Translation Table'!H1278</f>
        <v>Developed Average Emission Factor</v>
      </c>
      <c r="E171" s="1081"/>
      <c r="F171" s="1081"/>
      <c r="G171" s="1081"/>
      <c r="H171" s="1081" t="str">
        <f ca="1">'Translation Table'!H1279</f>
        <v>Natural Gas Distribution (Residential Meter Sites)</v>
      </c>
      <c r="I171" s="1081"/>
      <c r="J171" s="1081"/>
      <c r="K171" s="1081"/>
      <c r="L171" s="1081"/>
      <c r="M171" s="1081"/>
      <c r="N171" s="64"/>
      <c r="O171" s="64"/>
      <c r="P171" s="64"/>
      <c r="Q171" s="64"/>
      <c r="R171" s="64"/>
      <c r="S171" s="65"/>
    </row>
    <row r="172" spans="1:22" ht="15.5" x14ac:dyDescent="0.35">
      <c r="B172" s="1080"/>
      <c r="C172" s="1080"/>
      <c r="D172" s="85" t="str">
        <f ca="1">'Translation Table'!H1280</f>
        <v>Implied Leak</v>
      </c>
      <c r="E172" s="85" t="str">
        <f ca="1">'Translation Table'!H1281</f>
        <v>Average</v>
      </c>
      <c r="F172" s="85" t="str">
        <f ca="1">'Translation Table'!H1282</f>
        <v>Leak</v>
      </c>
      <c r="G172" s="85" t="str">
        <f ca="1">'Translation Table'!H1283</f>
        <v>No-Leak</v>
      </c>
      <c r="H172" s="85" t="str">
        <f ca="1">'Translation Table'!H1284</f>
        <v xml:space="preserve">Leak </v>
      </c>
      <c r="I172" s="85" t="str">
        <f ca="1">'Translation Table'!H1285</f>
        <v>Uncontrolled</v>
      </c>
      <c r="J172" s="85" t="str">
        <f ca="1">'Translation Table'!H1286</f>
        <v>Control</v>
      </c>
      <c r="K172" s="1081" t="str">
        <f ca="1">'Translation Table'!H1287</f>
        <v>Controlled</v>
      </c>
      <c r="L172" s="1081"/>
      <c r="M172" s="1081"/>
      <c r="N172" s="66"/>
      <c r="O172" s="63" t="str">
        <f ca="1">'Translation Table'!H889</f>
        <v>Applied Leak</v>
      </c>
      <c r="P172" s="63" t="str">
        <f ca="1">'Translation Table'!H890</f>
        <v>Actual Leak</v>
      </c>
      <c r="Q172" s="1077" t="str">
        <f ca="1">'Translation Table'!H1289</f>
        <v xml:space="preserve">Equipment Modification </v>
      </c>
      <c r="R172" s="1078"/>
      <c r="S172" s="1079"/>
    </row>
    <row r="173" spans="1:22" ht="15.5" x14ac:dyDescent="0.35">
      <c r="B173" s="1080"/>
      <c r="C173" s="1080"/>
      <c r="D173" s="85" t="str">
        <f ca="1">'Translation Table'!H1290</f>
        <v>Frequency</v>
      </c>
      <c r="E173" s="85" t="str">
        <f ca="1">'Translation Table'!H1291</f>
        <v>(kg/h/source)</v>
      </c>
      <c r="F173" s="85" t="str">
        <f ca="1">'Translation Table'!H1292</f>
        <v>(kg/h/source)</v>
      </c>
      <c r="G173" s="85" t="str">
        <f ca="1">'Translation Table'!H1293</f>
        <v>(kg/h/source)</v>
      </c>
      <c r="H173" s="85" t="str">
        <f ca="1">'Translation Table'!H1294</f>
        <v>Frequency</v>
      </c>
      <c r="I173" s="85" t="str">
        <f ca="1">'Translation Table'!H1295</f>
        <v>Emission Factor</v>
      </c>
      <c r="J173" s="85" t="str">
        <f ca="1">'Translation Table'!H1296</f>
        <v>Adjustment</v>
      </c>
      <c r="K173" s="1081" t="str">
        <f ca="1">'Translation Table'!H1297</f>
        <v>Emission Factor</v>
      </c>
      <c r="L173" s="1081"/>
      <c r="M173" s="1081"/>
      <c r="N173" s="66"/>
      <c r="O173" s="63" t="str">
        <f ca="1">'Translation Table'!H1298</f>
        <v>Frequency</v>
      </c>
      <c r="P173" s="63" t="str">
        <f ca="1">'Translation Table'!H1298</f>
        <v>Frequency</v>
      </c>
      <c r="Q173" s="217" t="str">
        <f ca="1">'Translation Table'!H1299</f>
        <v>Modification</v>
      </c>
      <c r="R173" s="63" t="str">
        <f ca="1">'Translation Table'!H1300</f>
        <v xml:space="preserve">Percent of </v>
      </c>
      <c r="S173" s="63" t="str">
        <f ca="1">'Translation Table'!H1301</f>
        <v>Control Factor</v>
      </c>
    </row>
    <row r="174" spans="1:22" ht="15.5" x14ac:dyDescent="0.35">
      <c r="B174" s="1080"/>
      <c r="C174" s="1080"/>
      <c r="D174" s="85" t="str">
        <f ca="1">'Translation Table'!H1302</f>
        <v>(%)</v>
      </c>
      <c r="E174" s="85"/>
      <c r="F174" s="85"/>
      <c r="G174" s="85"/>
      <c r="H174" s="85" t="str">
        <f ca="1">'Translation Table'!H1303</f>
        <v>(%)</v>
      </c>
      <c r="I174" s="85" t="str">
        <f ca="1">'Translation Table'!H1304</f>
        <v>(kg/h/source)</v>
      </c>
      <c r="J174" s="85" t="str">
        <f ca="1">'Translation Table'!H1305</f>
        <v>(%)</v>
      </c>
      <c r="K174" s="85" t="str">
        <f ca="1">'Translation Table'!H1306</f>
        <v>(kg/h/source)</v>
      </c>
      <c r="L174" s="85" t="str">
        <f ca="1">'Translation Table'!H1307</f>
        <v>(Nm3/h/source)</v>
      </c>
      <c r="M174" s="85" t="str">
        <f ca="1">'Translation Table'!H1308</f>
        <v>(Nm3 CH4/h/source)</v>
      </c>
      <c r="N174" s="66"/>
      <c r="O174" s="63" t="str">
        <f ca="1">'Translation Table'!H1309</f>
        <v>(%)</v>
      </c>
      <c r="P174" s="63" t="str">
        <f ca="1">'Translation Table'!H1309</f>
        <v>(%)</v>
      </c>
      <c r="Q174" s="63"/>
      <c r="R174" s="63" t="str">
        <f ca="1">'Translation Table'!H1310</f>
        <v>Components Controlled</v>
      </c>
      <c r="S174" s="63" t="str">
        <f ca="1">'Translation Table'!H1311</f>
        <v>(%)</v>
      </c>
    </row>
    <row r="175" spans="1:22" ht="70" x14ac:dyDescent="0.3">
      <c r="A175" s="514"/>
      <c r="B175" s="86" t="str">
        <f ca="1">'Translation Table'!H1322</f>
        <v>Calculation Method</v>
      </c>
      <c r="C175" s="86"/>
      <c r="D175" s="87" t="str">
        <f ca="1">'Translation Table'!H1312</f>
        <v>Calculated (use as default)</v>
      </c>
      <c r="E175" s="87"/>
      <c r="F175" s="87"/>
      <c r="G175" s="87"/>
      <c r="H175" s="86"/>
      <c r="I175" s="87" t="str">
        <f ca="1">'Translation Table'!H1313</f>
        <v>Calculated based on Leak, No-Leak factors and adjustable leak frequency</v>
      </c>
      <c r="J175" s="86"/>
      <c r="K175" s="87" t="str">
        <f ca="1">'Translation Table'!H1314</f>
        <v>Calculated based on uncontrolled factors and adjustable control factor</v>
      </c>
      <c r="L175" s="87" t="str">
        <f ca="1">'Translation Table'!H1315</f>
        <v>Calculated based on uncontrolled factors and adjustable control factor</v>
      </c>
      <c r="M175" s="87" t="str">
        <f ca="1">'Translation Table'!H1316</f>
        <v>Calculated based on uncontrolled factors and adjustable control factor</v>
      </c>
      <c r="N175" s="69"/>
      <c r="O175" s="67"/>
      <c r="P175" s="67" t="str">
        <f ca="1">'Translation Table'!H1317</f>
        <v>Adjustable Input (Assume to be zero if not entered)</v>
      </c>
      <c r="Q175" s="67" t="str">
        <f ca="1">'Translation Table'!H1318</f>
        <v>Adjustable Input (Assume to be zero if not entered)</v>
      </c>
      <c r="R175" s="67" t="str">
        <f ca="1">'Translation Table'!H1319</f>
        <v>Adjustable Input (Assume to be zero if not entered)</v>
      </c>
      <c r="S175" s="67" t="str">
        <f ca="1">'Translation Table'!H1320</f>
        <v>Determined from Lookup Table</v>
      </c>
    </row>
    <row r="176" spans="1:22" ht="16.5" customHeight="1" x14ac:dyDescent="0.3">
      <c r="B176" s="81" t="str">
        <f ca="1">'Translation Table'!H1323</f>
        <v>Valves (All)</v>
      </c>
      <c r="C176" s="81" t="str">
        <f ca="1">'Translation Table'!H1321</f>
        <v>Gas</v>
      </c>
      <c r="D176" s="82" t="str">
        <f>IF(OR($E176="N/A",$F176="N/A",$G176="N/A"),"N/A",IF($F176-$G176&gt;0,($E176-$G176)/($F176-$G176),"N/A"))</f>
        <v>N/A</v>
      </c>
      <c r="E176" s="83" t="str">
        <f t="shared" ref="E176:E208" si="35">IF(OR(F176="N/A",G176="N/A"),"N/A",D176*F176+(1-D176)*G176)</f>
        <v>N/A</v>
      </c>
      <c r="F176" s="88" t="s">
        <v>2754</v>
      </c>
      <c r="G176" s="88" t="s">
        <v>2754</v>
      </c>
      <c r="H176" s="82" t="str">
        <f t="shared" ref="H176:H188" si="36">O176</f>
        <v>N/A</v>
      </c>
      <c r="I176" s="83" t="str">
        <f t="shared" ref="I176:I208" si="37">IF(OR($E176="N/A",$F176="N/A",$G176="N/A"),"N/A",H176*F176+(1-H176)*G176)</f>
        <v>N/A</v>
      </c>
      <c r="J176" s="84" t="str">
        <f t="shared" ref="J176:J208" si="38">IF(OR(I176="N/A",S176="N/A"),"N/A",R176*(1-S176)+(1-R176))</f>
        <v>N/A</v>
      </c>
      <c r="K176" s="83" t="str">
        <f t="shared" ref="K176:K208" si="39">IF(OR(I176="N/A",J176="N/A"),"N/A",J176*I176)</f>
        <v>N/A</v>
      </c>
      <c r="L176" s="83" t="str">
        <f t="shared" ref="L176:L208" si="40">IF(OR(I176="N/A",J176="N/A"),"N/A",K176/IF(C176=Gas,ProcessGas_M,Vapor_M)*Vstp)</f>
        <v>N/A</v>
      </c>
      <c r="M176" s="83" t="str">
        <f t="shared" ref="M176:M208" si="41">IF(K176="N/A","N/A",L176*IF(OR(C176=Gas,C176=All),ProcessGas_CH4,Vapor_CH4))</f>
        <v>N/A</v>
      </c>
      <c r="N176" s="65"/>
      <c r="O176" s="549" t="str">
        <f>IF(ISBLANK('Setup - Facility Details'!$C$35),P176,0)</f>
        <v>N/A</v>
      </c>
      <c r="P176" s="90" t="s">
        <v>2754</v>
      </c>
      <c r="Q176" s="73"/>
      <c r="R176" s="90" t="s">
        <v>2754</v>
      </c>
      <c r="S176" s="90" t="s">
        <v>2754</v>
      </c>
      <c r="T176" s="325" t="s">
        <v>1365</v>
      </c>
      <c r="V176" s="325">
        <v>1</v>
      </c>
    </row>
    <row r="177" spans="2:22" ht="16.5" customHeight="1" x14ac:dyDescent="0.3">
      <c r="B177" s="48" t="str">
        <f ca="1">'Translation Table'!H1323</f>
        <v>Valves (All)</v>
      </c>
      <c r="C177" s="48" t="str">
        <f ca="1">'Translation Table'!H1324</f>
        <v>Light Liquid</v>
      </c>
      <c r="D177" s="70" t="str">
        <f>IF(OR($E177="N/A",$F177="N/A",$G177="N/A"),"N/A",IF($F177-$G177&gt;0,($E177-$G177)/($F177-$G177),"N/A"))</f>
        <v>N/A</v>
      </c>
      <c r="E177" s="71" t="str">
        <f t="shared" si="35"/>
        <v>N/A</v>
      </c>
      <c r="F177" s="75" t="s">
        <v>2754</v>
      </c>
      <c r="G177" s="75" t="s">
        <v>2754</v>
      </c>
      <c r="H177" s="70" t="str">
        <f t="shared" si="36"/>
        <v>N/A</v>
      </c>
      <c r="I177" s="71" t="str">
        <f t="shared" si="37"/>
        <v>N/A</v>
      </c>
      <c r="J177" s="72" t="str">
        <f t="shared" si="38"/>
        <v>N/A</v>
      </c>
      <c r="K177" s="71" t="str">
        <f t="shared" si="39"/>
        <v>N/A</v>
      </c>
      <c r="L177" s="71" t="str">
        <f t="shared" si="40"/>
        <v>N/A</v>
      </c>
      <c r="M177" s="71" t="str">
        <f t="shared" si="41"/>
        <v>N/A</v>
      </c>
      <c r="N177" s="65"/>
      <c r="O177" s="550" t="str">
        <f>IF(ISBLANK('Setup - Facility Details'!$C$35),P177,0)</f>
        <v>N/A</v>
      </c>
      <c r="P177" s="76" t="s">
        <v>2754</v>
      </c>
      <c r="Q177" s="73"/>
      <c r="R177" s="76" t="s">
        <v>2754</v>
      </c>
      <c r="S177" s="76" t="s">
        <v>2754</v>
      </c>
      <c r="T177" s="325" t="s">
        <v>1365</v>
      </c>
      <c r="V177" s="325">
        <v>1</v>
      </c>
    </row>
    <row r="178" spans="2:22" ht="16.5" customHeight="1" x14ac:dyDescent="0.3">
      <c r="B178" s="81" t="str">
        <f ca="1">'Translation Table'!H1323</f>
        <v>Valves (All)</v>
      </c>
      <c r="C178" s="81" t="str">
        <f ca="1">'Translation Table'!H1325</f>
        <v>Heavy Liquid</v>
      </c>
      <c r="D178" s="82" t="str">
        <f>IF(OR($E178="N/A",$F178="N/A",$G178="N/A"),"N/A",IF($F178-$G178&gt;0,($E178-$G178)/($F178-$G178),"N/A"))</f>
        <v>N/A</v>
      </c>
      <c r="E178" s="83" t="str">
        <f t="shared" si="35"/>
        <v>N/A</v>
      </c>
      <c r="F178" s="88" t="s">
        <v>2754</v>
      </c>
      <c r="G178" s="88" t="s">
        <v>2754</v>
      </c>
      <c r="H178" s="82" t="str">
        <f t="shared" si="36"/>
        <v>N/A</v>
      </c>
      <c r="I178" s="83" t="str">
        <f t="shared" si="37"/>
        <v>N/A</v>
      </c>
      <c r="J178" s="84" t="str">
        <f t="shared" si="38"/>
        <v>N/A</v>
      </c>
      <c r="K178" s="83" t="str">
        <f t="shared" si="39"/>
        <v>N/A</v>
      </c>
      <c r="L178" s="83" t="str">
        <f t="shared" si="40"/>
        <v>N/A</v>
      </c>
      <c r="M178" s="83" t="str">
        <f t="shared" si="41"/>
        <v>N/A</v>
      </c>
      <c r="N178" s="65"/>
      <c r="O178" s="549" t="str">
        <f>IF(ISBLANK('Setup - Facility Details'!$C$35),P178,0)</f>
        <v>N/A</v>
      </c>
      <c r="P178" s="90" t="s">
        <v>2754</v>
      </c>
      <c r="Q178" s="73"/>
      <c r="R178" s="90" t="s">
        <v>2754</v>
      </c>
      <c r="S178" s="90" t="s">
        <v>2754</v>
      </c>
      <c r="T178" s="325" t="s">
        <v>1365</v>
      </c>
      <c r="V178" s="325">
        <v>1</v>
      </c>
    </row>
    <row r="179" spans="2:22" ht="16.5" customHeight="1" x14ac:dyDescent="0.3">
      <c r="B179" s="48" t="str">
        <f ca="1">'Translation Table'!H1327</f>
        <v>Valves (Block)</v>
      </c>
      <c r="C179" s="48" t="str">
        <f ca="1">'Translation Table'!H1326</f>
        <v>Gas</v>
      </c>
      <c r="D179" s="79">
        <v>6.0000000000000001E-3</v>
      </c>
      <c r="E179" s="71">
        <f t="shared" si="35"/>
        <v>1.7399439999999998E-5</v>
      </c>
      <c r="F179" s="515">
        <v>1.7799999999999999E-3</v>
      </c>
      <c r="G179" s="515">
        <v>6.7599999999999997E-6</v>
      </c>
      <c r="H179" s="70">
        <f t="shared" si="36"/>
        <v>6.0000000000000001E-3</v>
      </c>
      <c r="I179" s="71">
        <f t="shared" si="37"/>
        <v>1.7399439999999998E-5</v>
      </c>
      <c r="J179" s="72">
        <f t="shared" si="38"/>
        <v>1</v>
      </c>
      <c r="K179" s="71">
        <f t="shared" si="39"/>
        <v>1.7399439999999998E-5</v>
      </c>
      <c r="L179" s="71">
        <f t="shared" ca="1" si="40"/>
        <v>2.2088350698576075E-5</v>
      </c>
      <c r="M179" s="71">
        <f t="shared" ca="1" si="41"/>
        <v>1.9216865107761185E-5</v>
      </c>
      <c r="N179" s="65"/>
      <c r="O179" s="550">
        <f>IF(ISBLANK('Setup - Facility Details'!$C$35),P179,0)</f>
        <v>6.0000000000000001E-3</v>
      </c>
      <c r="P179" s="218">
        <v>6.0000000000000001E-3</v>
      </c>
      <c r="Q179" s="73"/>
      <c r="R179" s="218">
        <v>0</v>
      </c>
      <c r="S179" s="74" cm="1">
        <f t="array" ref="S179">INDEX(ValidValveCF_V,V179)/100</f>
        <v>0</v>
      </c>
      <c r="T179" s="325" t="s">
        <v>1365</v>
      </c>
      <c r="V179" s="325">
        <v>1</v>
      </c>
    </row>
    <row r="180" spans="2:22" ht="16.5" customHeight="1" x14ac:dyDescent="0.3">
      <c r="B180" s="81" t="str">
        <f ca="1">'Translation Table'!H1329</f>
        <v>Valves (Control)</v>
      </c>
      <c r="C180" s="81" t="str">
        <f ca="1">'Translation Table'!H1328</f>
        <v>Gas</v>
      </c>
      <c r="D180" s="82">
        <v>6.0000000000000001E-3</v>
      </c>
      <c r="E180" s="83">
        <f t="shared" si="35"/>
        <v>1.7399439999999998E-5</v>
      </c>
      <c r="F180" s="88">
        <v>1.7799999999999999E-3</v>
      </c>
      <c r="G180" s="88">
        <v>6.7599999999999997E-6</v>
      </c>
      <c r="H180" s="82">
        <f t="shared" si="36"/>
        <v>6.0000000000000001E-3</v>
      </c>
      <c r="I180" s="83">
        <f t="shared" si="37"/>
        <v>1.7399439999999998E-5</v>
      </c>
      <c r="J180" s="84">
        <f t="shared" si="38"/>
        <v>1</v>
      </c>
      <c r="K180" s="83">
        <f t="shared" si="39"/>
        <v>1.7399439999999998E-5</v>
      </c>
      <c r="L180" s="83">
        <f t="shared" ca="1" si="40"/>
        <v>2.2088350698576075E-5</v>
      </c>
      <c r="M180" s="83">
        <f t="shared" ca="1" si="41"/>
        <v>1.9216865107761185E-5</v>
      </c>
      <c r="N180" s="65"/>
      <c r="O180" s="549">
        <f>IF(ISBLANK('Setup - Facility Details'!$C$35),P180,0)</f>
        <v>6.0000000000000001E-3</v>
      </c>
      <c r="P180" s="218">
        <v>6.0000000000000001E-3</v>
      </c>
      <c r="Q180" s="73"/>
      <c r="R180" s="218">
        <v>0</v>
      </c>
      <c r="S180" s="89" cm="1">
        <f t="array" ref="S180">INDEX(ValidValveCF_V,V180)/100</f>
        <v>0</v>
      </c>
      <c r="T180" s="325" t="s">
        <v>1365</v>
      </c>
      <c r="V180" s="325">
        <v>1</v>
      </c>
    </row>
    <row r="181" spans="2:22" ht="16.5" customHeight="1" x14ac:dyDescent="0.3">
      <c r="B181" s="48" t="str">
        <f ca="1">'Translation Table'!H1331</f>
        <v>Pump Seals</v>
      </c>
      <c r="C181" s="48" t="str">
        <f ca="1">'Translation Table'!H1330</f>
        <v>Light Liquid</v>
      </c>
      <c r="D181" s="70" t="str">
        <f t="shared" ref="D181:D193" si="42">IF(OR($E181="N/A",$F181="N/A",$G181="N/A"),"N/A",IF($F181-$G181&gt;0,($E181-$G181)/($F181-$G181),"N/A"))</f>
        <v>N/A</v>
      </c>
      <c r="E181" s="71" t="str">
        <f t="shared" si="35"/>
        <v>N/A</v>
      </c>
      <c r="F181" s="75" t="s">
        <v>2754</v>
      </c>
      <c r="G181" s="75" t="s">
        <v>2754</v>
      </c>
      <c r="H181" s="70" t="str">
        <f t="shared" si="36"/>
        <v>N/A</v>
      </c>
      <c r="I181" s="71" t="str">
        <f t="shared" si="37"/>
        <v>N/A</v>
      </c>
      <c r="J181" s="72" t="str">
        <f t="shared" si="38"/>
        <v>N/A</v>
      </c>
      <c r="K181" s="71" t="str">
        <f t="shared" si="39"/>
        <v>N/A</v>
      </c>
      <c r="L181" s="71" t="str">
        <f t="shared" si="40"/>
        <v>N/A</v>
      </c>
      <c r="M181" s="71" t="str">
        <f t="shared" si="41"/>
        <v>N/A</v>
      </c>
      <c r="N181" s="65"/>
      <c r="O181" s="550" t="str">
        <f>IF(ISBLANK('Setup - Facility Details'!$C$35),P181,0)</f>
        <v>N/A</v>
      </c>
      <c r="P181" s="76" t="s">
        <v>2754</v>
      </c>
      <c r="Q181" s="73"/>
      <c r="R181" s="76" t="s">
        <v>2754</v>
      </c>
      <c r="S181" s="76" t="s">
        <v>2754</v>
      </c>
      <c r="T181" s="325" t="s">
        <v>1366</v>
      </c>
      <c r="V181" s="325">
        <v>3</v>
      </c>
    </row>
    <row r="182" spans="2:22" ht="16.5" customHeight="1" x14ac:dyDescent="0.3">
      <c r="B182" s="81" t="str">
        <f ca="1">'Translation Table'!H1331</f>
        <v>Pump Seals</v>
      </c>
      <c r="C182" s="81" t="str">
        <f ca="1">'Translation Table'!H1332</f>
        <v>Heavy Liquid</v>
      </c>
      <c r="D182" s="82" t="str">
        <f t="shared" si="42"/>
        <v>N/A</v>
      </c>
      <c r="E182" s="83" t="str">
        <f t="shared" si="35"/>
        <v>N/A</v>
      </c>
      <c r="F182" s="88" t="s">
        <v>2754</v>
      </c>
      <c r="G182" s="88" t="s">
        <v>2754</v>
      </c>
      <c r="H182" s="82" t="str">
        <f t="shared" si="36"/>
        <v>N/A</v>
      </c>
      <c r="I182" s="83" t="str">
        <f t="shared" si="37"/>
        <v>N/A</v>
      </c>
      <c r="J182" s="84" t="str">
        <f t="shared" si="38"/>
        <v>N/A</v>
      </c>
      <c r="K182" s="83" t="str">
        <f t="shared" si="39"/>
        <v>N/A</v>
      </c>
      <c r="L182" s="83" t="str">
        <f t="shared" si="40"/>
        <v>N/A</v>
      </c>
      <c r="M182" s="83" t="str">
        <f t="shared" si="41"/>
        <v>N/A</v>
      </c>
      <c r="N182" s="65"/>
      <c r="O182" s="549" t="str">
        <f>IF(ISBLANK('Setup - Facility Details'!$C$35),P182,0)</f>
        <v>N/A</v>
      </c>
      <c r="P182" s="90" t="s">
        <v>2754</v>
      </c>
      <c r="Q182" s="73"/>
      <c r="R182" s="90" t="s">
        <v>2754</v>
      </c>
      <c r="S182" s="90" t="s">
        <v>2754</v>
      </c>
      <c r="T182" s="325" t="s">
        <v>1366</v>
      </c>
      <c r="V182" s="325">
        <v>3</v>
      </c>
    </row>
    <row r="183" spans="2:22" ht="16.5" customHeight="1" x14ac:dyDescent="0.3">
      <c r="B183" s="48" t="str">
        <f ca="1">'Translation Table'!H1333</f>
        <v xml:space="preserve">Compressor Seals (Reciprocating - Operating) </v>
      </c>
      <c r="C183" s="48" t="str">
        <f ca="1">'Translation Table'!H1334</f>
        <v>Gas</v>
      </c>
      <c r="D183" s="70" t="str">
        <f t="shared" si="42"/>
        <v>N/A</v>
      </c>
      <c r="E183" s="71" t="str">
        <f t="shared" si="35"/>
        <v>N/A</v>
      </c>
      <c r="F183" s="75" t="s">
        <v>2754</v>
      </c>
      <c r="G183" s="75" t="s">
        <v>2754</v>
      </c>
      <c r="H183" s="70">
        <f t="shared" si="36"/>
        <v>1</v>
      </c>
      <c r="I183" s="71" t="str">
        <f t="shared" si="37"/>
        <v>N/A</v>
      </c>
      <c r="J183" s="72" t="str">
        <f t="shared" si="38"/>
        <v>N/A</v>
      </c>
      <c r="K183" s="71" t="str">
        <f t="shared" si="39"/>
        <v>N/A</v>
      </c>
      <c r="L183" s="71" t="str">
        <f t="shared" si="40"/>
        <v>N/A</v>
      </c>
      <c r="M183" s="71" t="str">
        <f t="shared" si="41"/>
        <v>N/A</v>
      </c>
      <c r="N183" s="65"/>
      <c r="O183" s="550">
        <f>IF(ISBLANK('Setup - Facility Details'!$C$36),P183,0)</f>
        <v>1</v>
      </c>
      <c r="P183" s="76">
        <v>1</v>
      </c>
      <c r="Q183" s="73"/>
      <c r="R183" s="76" t="s">
        <v>2754</v>
      </c>
      <c r="S183" s="76" t="s">
        <v>2754</v>
      </c>
      <c r="T183" s="325" t="s">
        <v>1367</v>
      </c>
      <c r="V183" s="325">
        <v>3</v>
      </c>
    </row>
    <row r="184" spans="2:22" ht="16.5" customHeight="1" x14ac:dyDescent="0.3">
      <c r="B184" s="81" t="str">
        <f ca="1">'Translation Table'!H1335</f>
        <v>Compressor Seals (Reciprocating - Standby &amp; Pressurized)</v>
      </c>
      <c r="C184" s="81" t="str">
        <f ca="1">'Translation Table'!H1336</f>
        <v>Gas</v>
      </c>
      <c r="D184" s="82" t="str">
        <f t="shared" si="42"/>
        <v>N/A</v>
      </c>
      <c r="E184" s="83" t="str">
        <f t="shared" si="35"/>
        <v>N/A</v>
      </c>
      <c r="F184" s="88" t="s">
        <v>2754</v>
      </c>
      <c r="G184" s="88" t="s">
        <v>2754</v>
      </c>
      <c r="H184" s="82">
        <f t="shared" si="36"/>
        <v>1</v>
      </c>
      <c r="I184" s="83" t="str">
        <f t="shared" si="37"/>
        <v>N/A</v>
      </c>
      <c r="J184" s="84" t="str">
        <f t="shared" si="38"/>
        <v>N/A</v>
      </c>
      <c r="K184" s="83" t="str">
        <f t="shared" si="39"/>
        <v>N/A</v>
      </c>
      <c r="L184" s="83" t="str">
        <f t="shared" si="40"/>
        <v>N/A</v>
      </c>
      <c r="M184" s="83" t="str">
        <f t="shared" si="41"/>
        <v>N/A</v>
      </c>
      <c r="N184" s="65"/>
      <c r="O184" s="549">
        <f>IF(ISBLANK('Setup - Facility Details'!$C$36),P184,0)</f>
        <v>1</v>
      </c>
      <c r="P184" s="90">
        <v>1</v>
      </c>
      <c r="Q184" s="73"/>
      <c r="R184" s="90" t="s">
        <v>2754</v>
      </c>
      <c r="S184" s="90" t="s">
        <v>2754</v>
      </c>
      <c r="T184" s="325" t="s">
        <v>1367</v>
      </c>
      <c r="V184" s="325">
        <v>3</v>
      </c>
    </row>
    <row r="185" spans="2:22" ht="16.5" customHeight="1" x14ac:dyDescent="0.3">
      <c r="B185" s="48" t="str">
        <f ca="1">'Translation Table'!H1337</f>
        <v>Compressor Seals (Reciprocating - Depressurized)</v>
      </c>
      <c r="C185" s="48" t="str">
        <f ca="1">'Translation Table'!H1336</f>
        <v>Gas</v>
      </c>
      <c r="D185" s="70" t="str">
        <f t="shared" si="42"/>
        <v>N/A</v>
      </c>
      <c r="E185" s="71" t="str">
        <f t="shared" si="35"/>
        <v>N/A</v>
      </c>
      <c r="F185" s="75" t="s">
        <v>2754</v>
      </c>
      <c r="G185" s="75" t="s">
        <v>2754</v>
      </c>
      <c r="H185" s="70">
        <f t="shared" si="36"/>
        <v>1</v>
      </c>
      <c r="I185" s="71" t="str">
        <f t="shared" si="37"/>
        <v>N/A</v>
      </c>
      <c r="J185" s="72" t="str">
        <f t="shared" si="38"/>
        <v>N/A</v>
      </c>
      <c r="K185" s="71" t="str">
        <f t="shared" si="39"/>
        <v>N/A</v>
      </c>
      <c r="L185" s="71" t="str">
        <f t="shared" si="40"/>
        <v>N/A</v>
      </c>
      <c r="M185" s="71" t="str">
        <f t="shared" si="41"/>
        <v>N/A</v>
      </c>
      <c r="N185" s="65"/>
      <c r="O185" s="550">
        <f>IF(ISBLANK('Setup - Facility Details'!$C$36),P185,0)</f>
        <v>1</v>
      </c>
      <c r="P185" s="76">
        <v>1</v>
      </c>
      <c r="Q185" s="73"/>
      <c r="R185" s="76" t="s">
        <v>2754</v>
      </c>
      <c r="S185" s="76" t="s">
        <v>2754</v>
      </c>
      <c r="T185" s="325" t="s">
        <v>1367</v>
      </c>
      <c r="V185" s="325">
        <v>3</v>
      </c>
    </row>
    <row r="186" spans="2:22" ht="16.5" customHeight="1" x14ac:dyDescent="0.3">
      <c r="B186" s="81" t="str">
        <f ca="1">'Translation Table'!H1338</f>
        <v>Compressor Wet Seals (Centrifugal - Operating)</v>
      </c>
      <c r="C186" s="81" t="str">
        <f ca="1">'Translation Table'!H1336</f>
        <v>Gas</v>
      </c>
      <c r="D186" s="82" t="str">
        <f t="shared" si="42"/>
        <v>N/A</v>
      </c>
      <c r="E186" s="83" t="str">
        <f t="shared" si="35"/>
        <v>N/A</v>
      </c>
      <c r="F186" s="88" t="s">
        <v>2754</v>
      </c>
      <c r="G186" s="88" t="s">
        <v>2754</v>
      </c>
      <c r="H186" s="82">
        <f t="shared" si="36"/>
        <v>1</v>
      </c>
      <c r="I186" s="83" t="str">
        <f t="shared" si="37"/>
        <v>N/A</v>
      </c>
      <c r="J186" s="84" t="str">
        <f t="shared" si="38"/>
        <v>N/A</v>
      </c>
      <c r="K186" s="83" t="str">
        <f t="shared" si="39"/>
        <v>N/A</v>
      </c>
      <c r="L186" s="83" t="str">
        <f t="shared" si="40"/>
        <v>N/A</v>
      </c>
      <c r="M186" s="83" t="str">
        <f t="shared" si="41"/>
        <v>N/A</v>
      </c>
      <c r="N186" s="65"/>
      <c r="O186" s="549">
        <f>IF(ISBLANK('Setup - Facility Details'!$C$36),P186,0)</f>
        <v>1</v>
      </c>
      <c r="P186" s="90">
        <v>1</v>
      </c>
      <c r="Q186" s="73"/>
      <c r="R186" s="90" t="s">
        <v>2754</v>
      </c>
      <c r="S186" s="90" t="s">
        <v>2754</v>
      </c>
      <c r="T186" s="325" t="s">
        <v>1367</v>
      </c>
      <c r="V186" s="325">
        <v>3</v>
      </c>
    </row>
    <row r="187" spans="2:22" ht="16.5" customHeight="1" x14ac:dyDescent="0.3">
      <c r="B187" s="48" t="str">
        <f ca="1">'Translation Table'!H1339</f>
        <v>Compressor Wet Seals (Centrifugal - Standby &amp; Pressurized)</v>
      </c>
      <c r="C187" s="48" t="str">
        <f ca="1">'Translation Table'!H1336</f>
        <v>Gas</v>
      </c>
      <c r="D187" s="70" t="str">
        <f t="shared" si="42"/>
        <v>N/A</v>
      </c>
      <c r="E187" s="71" t="str">
        <f t="shared" si="35"/>
        <v>N/A</v>
      </c>
      <c r="F187" s="75" t="s">
        <v>2754</v>
      </c>
      <c r="G187" s="75" t="s">
        <v>2754</v>
      </c>
      <c r="H187" s="70">
        <f t="shared" si="36"/>
        <v>1</v>
      </c>
      <c r="I187" s="71" t="str">
        <f t="shared" si="37"/>
        <v>N/A</v>
      </c>
      <c r="J187" s="72" t="str">
        <f t="shared" si="38"/>
        <v>N/A</v>
      </c>
      <c r="K187" s="71" t="str">
        <f t="shared" si="39"/>
        <v>N/A</v>
      </c>
      <c r="L187" s="71" t="str">
        <f t="shared" si="40"/>
        <v>N/A</v>
      </c>
      <c r="M187" s="71" t="str">
        <f t="shared" si="41"/>
        <v>N/A</v>
      </c>
      <c r="N187" s="65"/>
      <c r="O187" s="550">
        <f>IF(ISBLANK('Setup - Facility Details'!$C$36),P187,0)</f>
        <v>1</v>
      </c>
      <c r="P187" s="76">
        <v>1</v>
      </c>
      <c r="Q187" s="73"/>
      <c r="R187" s="76" t="s">
        <v>2754</v>
      </c>
      <c r="S187" s="76" t="s">
        <v>2754</v>
      </c>
      <c r="T187" s="325" t="s">
        <v>1367</v>
      </c>
      <c r="V187" s="325">
        <v>3</v>
      </c>
    </row>
    <row r="188" spans="2:22" ht="16.5" customHeight="1" x14ac:dyDescent="0.3">
      <c r="B188" s="81" t="str">
        <f ca="1">'Translation Table'!H1340</f>
        <v>Compressor Wet Seals (Centrifugal - Depressurized)</v>
      </c>
      <c r="C188" s="81" t="str">
        <f ca="1">'Translation Table'!H1336</f>
        <v>Gas</v>
      </c>
      <c r="D188" s="82" t="str">
        <f t="shared" si="42"/>
        <v>N/A</v>
      </c>
      <c r="E188" s="83" t="str">
        <f t="shared" si="35"/>
        <v>N/A</v>
      </c>
      <c r="F188" s="88" t="s">
        <v>2754</v>
      </c>
      <c r="G188" s="88" t="s">
        <v>2754</v>
      </c>
      <c r="H188" s="82">
        <f t="shared" si="36"/>
        <v>1</v>
      </c>
      <c r="I188" s="83" t="str">
        <f t="shared" si="37"/>
        <v>N/A</v>
      </c>
      <c r="J188" s="84" t="str">
        <f t="shared" si="38"/>
        <v>N/A</v>
      </c>
      <c r="K188" s="83" t="str">
        <f t="shared" si="39"/>
        <v>N/A</v>
      </c>
      <c r="L188" s="83" t="str">
        <f t="shared" si="40"/>
        <v>N/A</v>
      </c>
      <c r="M188" s="83" t="str">
        <f t="shared" si="41"/>
        <v>N/A</v>
      </c>
      <c r="N188" s="65"/>
      <c r="O188" s="549">
        <f>IF(ISBLANK('Setup - Facility Details'!$C$36),P188,0)</f>
        <v>1</v>
      </c>
      <c r="P188" s="90">
        <v>1</v>
      </c>
      <c r="Q188" s="73"/>
      <c r="R188" s="90" t="s">
        <v>2754</v>
      </c>
      <c r="S188" s="90" t="s">
        <v>2754</v>
      </c>
      <c r="T188" s="325" t="s">
        <v>1367</v>
      </c>
      <c r="V188" s="325">
        <v>3</v>
      </c>
    </row>
    <row r="189" spans="2:22" ht="16.5" customHeight="1" x14ac:dyDescent="0.3">
      <c r="B189" s="48" t="str">
        <f ca="1">'Translation Table'!H1341</f>
        <v>Compressor Dry Seals (Centrifugal - Operating)</v>
      </c>
      <c r="C189" s="48" t="str">
        <f ca="1">'Translation Table'!H1336</f>
        <v>Gas</v>
      </c>
      <c r="D189" s="70" t="str">
        <f t="shared" si="42"/>
        <v>N/A</v>
      </c>
      <c r="E189" s="71" t="str">
        <f>IF(OR(F189="N/A",G189="N/A"),"N/A",D189*F189+(1-D189)*G189)</f>
        <v>N/A</v>
      </c>
      <c r="F189" s="75" t="s">
        <v>2754</v>
      </c>
      <c r="G189" s="75" t="s">
        <v>2754</v>
      </c>
      <c r="H189" s="70">
        <f>O189</f>
        <v>1</v>
      </c>
      <c r="I189" s="71" t="str">
        <f>IF(OR($E189="N/A",$F189="N/A",$G189="N/A"),"N/A",H189*F189+(1-H189)*G189)</f>
        <v>N/A</v>
      </c>
      <c r="J189" s="72" t="str">
        <f>IF(OR(I189="N/A",S189="N/A"),"N/A",R189*(1-S189)+(1-R189))</f>
        <v>N/A</v>
      </c>
      <c r="K189" s="71" t="str">
        <f>IF(OR(I189="N/A",J189="N/A"),"N/A",J189*I189)</f>
        <v>N/A</v>
      </c>
      <c r="L189" s="71" t="str">
        <f>IF(OR(I189="N/A",J189="N/A"),"N/A",K189/IF(C189=Gas,ProcessGas_M,Vapor_M)*Vstp)</f>
        <v>N/A</v>
      </c>
      <c r="M189" s="71" t="str">
        <f>IF(K189="N/A","N/A",L189*IF(OR(C189=Gas,C189=All),ProcessGas_CH4,Vapor_CH4))</f>
        <v>N/A</v>
      </c>
      <c r="N189" s="65"/>
      <c r="O189" s="550">
        <f>IF(ISBLANK('Setup - Facility Details'!$C$36),P189,0)</f>
        <v>1</v>
      </c>
      <c r="P189" s="76">
        <v>1</v>
      </c>
      <c r="Q189" s="73"/>
      <c r="R189" s="76" t="s">
        <v>2754</v>
      </c>
      <c r="S189" s="76" t="s">
        <v>2754</v>
      </c>
      <c r="T189" s="325" t="s">
        <v>1367</v>
      </c>
      <c r="V189" s="325">
        <v>3</v>
      </c>
    </row>
    <row r="190" spans="2:22" ht="16.5" customHeight="1" x14ac:dyDescent="0.3">
      <c r="B190" s="81" t="str">
        <f ca="1">'Translation Table'!H1342</f>
        <v>Compressor Dry Seals (Centrifugal - Standby &amp; Pressurized)</v>
      </c>
      <c r="C190" s="81" t="str">
        <f ca="1">'Translation Table'!H1336</f>
        <v>Gas</v>
      </c>
      <c r="D190" s="82" t="str">
        <f t="shared" si="42"/>
        <v>N/A</v>
      </c>
      <c r="E190" s="83" t="str">
        <f>IF(OR(F190="N/A",G190="N/A"),"N/A",D190*F190+(1-D190)*G190)</f>
        <v>N/A</v>
      </c>
      <c r="F190" s="88" t="s">
        <v>2754</v>
      </c>
      <c r="G190" s="88" t="s">
        <v>2754</v>
      </c>
      <c r="H190" s="82">
        <f>O190</f>
        <v>1</v>
      </c>
      <c r="I190" s="83" t="str">
        <f>IF(OR($E190="N/A",$F190="N/A",$G190="N/A"),"N/A",H190*F190+(1-H190)*G190)</f>
        <v>N/A</v>
      </c>
      <c r="J190" s="84" t="str">
        <f>IF(OR(I190="N/A",S190="N/A"),"N/A",R190*(1-S190)+(1-R190))</f>
        <v>N/A</v>
      </c>
      <c r="K190" s="83" t="str">
        <f>IF(OR(I190="N/A",J190="N/A"),"N/A",J190*I190)</f>
        <v>N/A</v>
      </c>
      <c r="L190" s="83" t="str">
        <f>IF(OR(I190="N/A",J190="N/A"),"N/A",K190/IF(C190=Gas,ProcessGas_M,Vapor_M)*Vstp)</f>
        <v>N/A</v>
      </c>
      <c r="M190" s="83" t="str">
        <f>IF(K190="N/A","N/A",L190*IF(OR(C190=Gas,C190=All),ProcessGas_CH4,Vapor_CH4))</f>
        <v>N/A</v>
      </c>
      <c r="N190" s="65"/>
      <c r="O190" s="549">
        <f>IF(ISBLANK('Setup - Facility Details'!$C$36),P190,0)</f>
        <v>1</v>
      </c>
      <c r="P190" s="90">
        <v>1</v>
      </c>
      <c r="Q190" s="73"/>
      <c r="R190" s="90" t="s">
        <v>2754</v>
      </c>
      <c r="S190" s="90" t="s">
        <v>2754</v>
      </c>
      <c r="T190" s="325" t="s">
        <v>1367</v>
      </c>
      <c r="V190" s="325">
        <v>3</v>
      </c>
    </row>
    <row r="191" spans="2:22" ht="16.5" customHeight="1" x14ac:dyDescent="0.3">
      <c r="B191" s="48" t="str">
        <f ca="1">'Translation Table'!H1343</f>
        <v>Compressor Dry Seals (Centrifugal - Depressurized)</v>
      </c>
      <c r="C191" s="48" t="str">
        <f ca="1">'Translation Table'!H1336</f>
        <v>Gas</v>
      </c>
      <c r="D191" s="70" t="str">
        <f t="shared" si="42"/>
        <v>N/A</v>
      </c>
      <c r="E191" s="71" t="str">
        <f>IF(OR(F191="N/A",G191="N/A"),"N/A",D191*F191+(1-D191)*G191)</f>
        <v>N/A</v>
      </c>
      <c r="F191" s="75" t="s">
        <v>2754</v>
      </c>
      <c r="G191" s="75" t="s">
        <v>2754</v>
      </c>
      <c r="H191" s="70">
        <f>O191</f>
        <v>1</v>
      </c>
      <c r="I191" s="71" t="str">
        <f>IF(OR($E191="N/A",$F191="N/A",$G191="N/A"),"N/A",H191*F191+(1-H191)*G191)</f>
        <v>N/A</v>
      </c>
      <c r="J191" s="72" t="str">
        <f>IF(OR(I191="N/A",S191="N/A"),"N/A",R191*(1-S191)+(1-R191))</f>
        <v>N/A</v>
      </c>
      <c r="K191" s="71" t="str">
        <f>IF(OR(I191="N/A",J191="N/A"),"N/A",J191*I191)</f>
        <v>N/A</v>
      </c>
      <c r="L191" s="71" t="str">
        <f>IF(OR(I191="N/A",J191="N/A"),"N/A",K191/IF(C191=Gas,ProcessGas_M,Vapor_M)*Vstp)</f>
        <v>N/A</v>
      </c>
      <c r="M191" s="71" t="str">
        <f>IF(K191="N/A","N/A",L191*IF(OR(C191=Gas,C191=All),ProcessGas_CH4,Vapor_CH4))</f>
        <v>N/A</v>
      </c>
      <c r="N191" s="65"/>
      <c r="O191" s="550">
        <f>IF(ISBLANK('Setup - Facility Details'!$C$36),P191,0)</f>
        <v>1</v>
      </c>
      <c r="P191" s="76">
        <v>1</v>
      </c>
      <c r="Q191" s="73"/>
      <c r="R191" s="76" t="s">
        <v>2754</v>
      </c>
      <c r="S191" s="76" t="s">
        <v>2754</v>
      </c>
      <c r="T191" s="325" t="s">
        <v>1367</v>
      </c>
      <c r="V191" s="325">
        <v>3</v>
      </c>
    </row>
    <row r="192" spans="2:22" ht="16.5" customHeight="1" x14ac:dyDescent="0.3">
      <c r="B192" s="81" t="str">
        <f ca="1">'Translation Table'!H1344</f>
        <v>Compressor (Reciprocating - Crankcase Vent)</v>
      </c>
      <c r="C192" s="81" t="str">
        <f ca="1">'Translation Table'!H1345</f>
        <v>Gas</v>
      </c>
      <c r="D192" s="82" t="str">
        <f t="shared" si="42"/>
        <v>N/A</v>
      </c>
      <c r="E192" s="83" t="str">
        <f t="shared" si="35"/>
        <v>N/A</v>
      </c>
      <c r="F192" s="88" t="s">
        <v>2754</v>
      </c>
      <c r="G192" s="88" t="s">
        <v>2754</v>
      </c>
      <c r="H192" s="82" t="str">
        <f t="shared" ref="H192:H208" si="43">O192</f>
        <v>N/A</v>
      </c>
      <c r="I192" s="83" t="str">
        <f t="shared" si="37"/>
        <v>N/A</v>
      </c>
      <c r="J192" s="84" t="str">
        <f t="shared" si="38"/>
        <v>N/A</v>
      </c>
      <c r="K192" s="83" t="str">
        <f t="shared" si="39"/>
        <v>N/A</v>
      </c>
      <c r="L192" s="83" t="str">
        <f t="shared" si="40"/>
        <v>N/A</v>
      </c>
      <c r="M192" s="83" t="str">
        <f t="shared" si="41"/>
        <v>N/A</v>
      </c>
      <c r="N192" s="65"/>
      <c r="O192" s="549" t="str">
        <f>IF(ISBLANK('Setup - Facility Details'!$C$35),P192,0)</f>
        <v>N/A</v>
      </c>
      <c r="P192" s="90" t="s">
        <v>2754</v>
      </c>
      <c r="Q192" s="73"/>
      <c r="R192" s="90" t="s">
        <v>2754</v>
      </c>
      <c r="S192" s="90" t="s">
        <v>2754</v>
      </c>
      <c r="T192" s="325" t="s">
        <v>1368</v>
      </c>
      <c r="V192" s="325">
        <v>2</v>
      </c>
    </row>
    <row r="193" spans="2:22" ht="16.5" customHeight="1" x14ac:dyDescent="0.3">
      <c r="B193" s="48" t="str">
        <f ca="1">'Translation Table'!H1347</f>
        <v>Pressure Relief Valves</v>
      </c>
      <c r="C193" s="48" t="str">
        <f ca="1">'Translation Table'!H1346</f>
        <v>Gas</v>
      </c>
      <c r="D193" s="70" t="str">
        <f t="shared" si="42"/>
        <v>N/A</v>
      </c>
      <c r="E193" s="71" t="str">
        <f t="shared" si="35"/>
        <v>N/A</v>
      </c>
      <c r="F193" s="75" t="s">
        <v>2754</v>
      </c>
      <c r="G193" s="75" t="s">
        <v>2754</v>
      </c>
      <c r="H193" s="70" t="str">
        <f t="shared" si="43"/>
        <v>N/A</v>
      </c>
      <c r="I193" s="71" t="str">
        <f t="shared" si="37"/>
        <v>N/A</v>
      </c>
      <c r="J193" s="72" t="str">
        <f t="shared" si="38"/>
        <v>N/A</v>
      </c>
      <c r="K193" s="71" t="str">
        <f t="shared" si="39"/>
        <v>N/A</v>
      </c>
      <c r="L193" s="71" t="str">
        <f t="shared" si="40"/>
        <v>N/A</v>
      </c>
      <c r="M193" s="71" t="str">
        <f t="shared" si="41"/>
        <v>N/A</v>
      </c>
      <c r="N193" s="65"/>
      <c r="O193" s="550" t="str">
        <f>IF(ISBLANK('Setup - Facility Details'!$C$35),P193,0)</f>
        <v>N/A</v>
      </c>
      <c r="P193" s="76" t="s">
        <v>2754</v>
      </c>
      <c r="Q193" s="73"/>
      <c r="R193" s="76" t="s">
        <v>2754</v>
      </c>
      <c r="S193" s="76" t="s">
        <v>2754</v>
      </c>
      <c r="T193" s="325" t="s">
        <v>1369</v>
      </c>
      <c r="V193" s="325">
        <v>2</v>
      </c>
    </row>
    <row r="194" spans="2:22" ht="16.5" customHeight="1" x14ac:dyDescent="0.3">
      <c r="B194" s="81" t="str">
        <f ca="1">'Translation Table'!H1349</f>
        <v>Regulators</v>
      </c>
      <c r="C194" s="81" t="str">
        <f ca="1">'Translation Table'!H1348</f>
        <v>Gas</v>
      </c>
      <c r="D194" s="82">
        <v>4.0000000000000001E-3</v>
      </c>
      <c r="E194" s="83">
        <f t="shared" si="35"/>
        <v>2.2276399999999999E-5</v>
      </c>
      <c r="F194" s="88">
        <v>1.6100000000000001E-3</v>
      </c>
      <c r="G194" s="88">
        <v>1.59E-5</v>
      </c>
      <c r="H194" s="82">
        <f t="shared" si="43"/>
        <v>4.0000000000000001E-3</v>
      </c>
      <c r="I194" s="83">
        <f t="shared" si="37"/>
        <v>2.2276399999999999E-5</v>
      </c>
      <c r="J194" s="84">
        <f t="shared" si="38"/>
        <v>1</v>
      </c>
      <c r="K194" s="83">
        <f t="shared" si="39"/>
        <v>2.2276399999999999E-5</v>
      </c>
      <c r="L194" s="83">
        <f t="shared" ca="1" si="40"/>
        <v>2.8279584601674542E-5</v>
      </c>
      <c r="M194" s="83">
        <f t="shared" ca="1" si="41"/>
        <v>2.4603238603456852E-5</v>
      </c>
      <c r="N194" s="65"/>
      <c r="O194" s="549">
        <f>IF(ISBLANK('Setup - Facility Details'!$C$35),P194,0)</f>
        <v>4.0000000000000001E-3</v>
      </c>
      <c r="P194" s="218">
        <v>4.0000000000000001E-3</v>
      </c>
      <c r="Q194" s="73"/>
      <c r="R194" s="218">
        <v>0</v>
      </c>
      <c r="S194" s="89">
        <f>INDEX(ValidRegulatorCF_V,V194)/100</f>
        <v>0</v>
      </c>
      <c r="T194" s="325" t="s">
        <v>1370</v>
      </c>
      <c r="V194" s="325">
        <v>1</v>
      </c>
    </row>
    <row r="195" spans="2:22" ht="16.5" customHeight="1" x14ac:dyDescent="0.3">
      <c r="B195" s="48" t="str">
        <f ca="1">'Translation Table'!H1350</f>
        <v>Connectors</v>
      </c>
      <c r="C195" s="48" t="str">
        <f ca="1">'Translation Table'!H1351</f>
        <v>Gas</v>
      </c>
      <c r="D195" s="79">
        <v>1.4E-3</v>
      </c>
      <c r="E195" s="71">
        <f t="shared" si="35"/>
        <v>4.6849060000000004E-6</v>
      </c>
      <c r="F195" s="515">
        <v>1.7700000000000001E-3</v>
      </c>
      <c r="G195" s="515">
        <v>2.21E-6</v>
      </c>
      <c r="H195" s="70">
        <f t="shared" si="43"/>
        <v>1.4E-3</v>
      </c>
      <c r="I195" s="71">
        <f t="shared" si="37"/>
        <v>4.6849060000000004E-6</v>
      </c>
      <c r="J195" s="72">
        <f t="shared" si="38"/>
        <v>1</v>
      </c>
      <c r="K195" s="71">
        <f t="shared" si="39"/>
        <v>4.6849060000000004E-6</v>
      </c>
      <c r="L195" s="71">
        <f t="shared" ca="1" si="40"/>
        <v>5.9474239813386663E-6</v>
      </c>
      <c r="M195" s="71">
        <f t="shared" ca="1" si="41"/>
        <v>5.1742588637646396E-6</v>
      </c>
      <c r="N195" s="65"/>
      <c r="O195" s="550">
        <f>IF(ISBLANK('Setup - Facility Details'!$C$35),P195,0)</f>
        <v>1.4E-3</v>
      </c>
      <c r="P195" s="218">
        <v>1.4E-3</v>
      </c>
      <c r="Q195" s="73"/>
      <c r="R195" s="218">
        <v>0</v>
      </c>
      <c r="S195" s="74" cm="1">
        <f t="array" ref="S195">INDEX(ValidConnectorCF_V,V195)/100</f>
        <v>0</v>
      </c>
      <c r="T195" s="325" t="s">
        <v>1371</v>
      </c>
      <c r="V195" s="325">
        <v>1</v>
      </c>
    </row>
    <row r="196" spans="2:22" ht="16.5" customHeight="1" x14ac:dyDescent="0.3">
      <c r="B196" s="81" t="str">
        <f ca="1">'Translation Table'!H1350</f>
        <v>Connectors</v>
      </c>
      <c r="C196" s="81" t="str">
        <f ca="1">'Translation Table'!H1352</f>
        <v>Light Liquid</v>
      </c>
      <c r="D196" s="82" t="str">
        <f>IF(OR($E196="N/A",$F196="N/A",$G196="N/A"),"N/A",IF($F196-$G196&gt;0,($E196-$G196)/($F196-$G196),"N/A"))</f>
        <v>N/A</v>
      </c>
      <c r="E196" s="83" t="str">
        <f t="shared" si="35"/>
        <v>N/A</v>
      </c>
      <c r="F196" s="88" t="s">
        <v>2754</v>
      </c>
      <c r="G196" s="88" t="s">
        <v>2754</v>
      </c>
      <c r="H196" s="82" t="str">
        <f t="shared" si="43"/>
        <v>N/A</v>
      </c>
      <c r="I196" s="83" t="str">
        <f t="shared" si="37"/>
        <v>N/A</v>
      </c>
      <c r="J196" s="84" t="str">
        <f t="shared" si="38"/>
        <v>N/A</v>
      </c>
      <c r="K196" s="83" t="str">
        <f t="shared" si="39"/>
        <v>N/A</v>
      </c>
      <c r="L196" s="83" t="str">
        <f t="shared" si="40"/>
        <v>N/A</v>
      </c>
      <c r="M196" s="83" t="str">
        <f t="shared" si="41"/>
        <v>N/A</v>
      </c>
      <c r="N196" s="65"/>
      <c r="O196" s="549" t="str">
        <f>IF(ISBLANK('Setup - Facility Details'!$C$35),P196,0)</f>
        <v>N/A</v>
      </c>
      <c r="P196" s="90" t="s">
        <v>2754</v>
      </c>
      <c r="Q196" s="73"/>
      <c r="R196" s="90" t="s">
        <v>2754</v>
      </c>
      <c r="S196" s="90" t="s">
        <v>2754</v>
      </c>
      <c r="T196" s="325" t="s">
        <v>1371</v>
      </c>
      <c r="V196" s="325">
        <v>1</v>
      </c>
    </row>
    <row r="197" spans="2:22" ht="16.5" customHeight="1" x14ac:dyDescent="0.3">
      <c r="B197" s="48" t="str">
        <f ca="1">'Translation Table'!H1350</f>
        <v>Connectors</v>
      </c>
      <c r="C197" s="48" t="str">
        <f ca="1">'Translation Table'!H1353</f>
        <v>Heavy Liquid</v>
      </c>
      <c r="D197" s="70" t="str">
        <f>IF(OR($E197="N/A",$F197="N/A",$G197="N/A"),"N/A",IF($F197-$G197&gt;0,($E197-$G197)/($F197-$G197),"N/A"))</f>
        <v>N/A</v>
      </c>
      <c r="E197" s="71" t="str">
        <f t="shared" si="35"/>
        <v>N/A</v>
      </c>
      <c r="F197" s="75" t="s">
        <v>2754</v>
      </c>
      <c r="G197" s="75" t="s">
        <v>2754</v>
      </c>
      <c r="H197" s="70" t="str">
        <f t="shared" si="43"/>
        <v>N/A</v>
      </c>
      <c r="I197" s="71" t="str">
        <f t="shared" si="37"/>
        <v>N/A</v>
      </c>
      <c r="J197" s="72" t="str">
        <f t="shared" si="38"/>
        <v>N/A</v>
      </c>
      <c r="K197" s="71" t="str">
        <f t="shared" si="39"/>
        <v>N/A</v>
      </c>
      <c r="L197" s="71" t="str">
        <f t="shared" si="40"/>
        <v>N/A</v>
      </c>
      <c r="M197" s="71" t="str">
        <f t="shared" si="41"/>
        <v>N/A</v>
      </c>
      <c r="N197" s="65"/>
      <c r="O197" s="550" t="str">
        <f>IF(ISBLANK('Setup - Facility Details'!$C$35),P197,0)</f>
        <v>N/A</v>
      </c>
      <c r="P197" s="76" t="s">
        <v>2754</v>
      </c>
      <c r="Q197" s="73"/>
      <c r="R197" s="76" t="s">
        <v>2754</v>
      </c>
      <c r="S197" s="76" t="s">
        <v>2754</v>
      </c>
      <c r="T197" s="325" t="s">
        <v>1371</v>
      </c>
      <c r="V197" s="325">
        <v>1</v>
      </c>
    </row>
    <row r="198" spans="2:22" ht="16.5" customHeight="1" x14ac:dyDescent="0.3">
      <c r="B198" s="81" t="str">
        <f ca="1">'Translation Table'!H1355</f>
        <v>Open-ended Lines</v>
      </c>
      <c r="C198" s="81" t="str">
        <f ca="1">'Translation Table'!H1354</f>
        <v>Gas</v>
      </c>
      <c r="D198" s="82">
        <v>2.23E-2</v>
      </c>
      <c r="E198" s="83">
        <f t="shared" si="35"/>
        <v>1.919065E-4</v>
      </c>
      <c r="F198" s="88">
        <v>1.81E-3</v>
      </c>
      <c r="G198" s="88">
        <v>1.55E-4</v>
      </c>
      <c r="H198" s="82">
        <f t="shared" si="43"/>
        <v>2.23E-2</v>
      </c>
      <c r="I198" s="83">
        <f t="shared" si="37"/>
        <v>1.919065E-4</v>
      </c>
      <c r="J198" s="84">
        <f t="shared" si="38"/>
        <v>1</v>
      </c>
      <c r="K198" s="83">
        <f t="shared" si="39"/>
        <v>1.919065E-4</v>
      </c>
      <c r="L198" s="83">
        <f t="shared" ca="1" si="40"/>
        <v>2.4362267253062682E-4</v>
      </c>
      <c r="M198" s="83">
        <f t="shared" ca="1" si="41"/>
        <v>2.1195172510164533E-4</v>
      </c>
      <c r="N198" s="65"/>
      <c r="O198" s="549">
        <f>IF(ISBLANK('Setup - Facility Details'!$C$35),P198,0)</f>
        <v>2.23E-2</v>
      </c>
      <c r="P198" s="218">
        <v>2.23E-2</v>
      </c>
      <c r="Q198" s="73"/>
      <c r="R198" s="218">
        <v>0</v>
      </c>
      <c r="S198" s="89" cm="1">
        <f t="array" ref="S198">INDEX(ValidOELCF_V,V198)/100</f>
        <v>0</v>
      </c>
      <c r="T198" s="325" t="s">
        <v>1372</v>
      </c>
      <c r="V198" s="325">
        <v>2</v>
      </c>
    </row>
    <row r="199" spans="2:22" ht="16.5" customHeight="1" x14ac:dyDescent="0.3">
      <c r="B199" s="48" t="str">
        <f ca="1">'Translation Table'!H1355</f>
        <v>Open-ended Lines</v>
      </c>
      <c r="C199" s="48" t="str">
        <f ca="1">'Translation Table'!H1356</f>
        <v>Light Liquid</v>
      </c>
      <c r="D199" s="70" t="str">
        <f>IF(OR($E199="N/A",$F199="N/A",$G199="N/A"),"N/A",IF($F199-$G199&gt;0,($E199-$G199)/($F199-$G199),"N/A"))</f>
        <v>N/A</v>
      </c>
      <c r="E199" s="71" t="str">
        <f t="shared" si="35"/>
        <v>N/A</v>
      </c>
      <c r="F199" s="75" t="s">
        <v>2754</v>
      </c>
      <c r="G199" s="75" t="s">
        <v>2754</v>
      </c>
      <c r="H199" s="70" t="str">
        <f t="shared" si="43"/>
        <v>N/A</v>
      </c>
      <c r="I199" s="71" t="str">
        <f t="shared" si="37"/>
        <v>N/A</v>
      </c>
      <c r="J199" s="72" t="str">
        <f t="shared" si="38"/>
        <v>N/A</v>
      </c>
      <c r="K199" s="71" t="str">
        <f t="shared" si="39"/>
        <v>N/A</v>
      </c>
      <c r="L199" s="71" t="str">
        <f t="shared" si="40"/>
        <v>N/A</v>
      </c>
      <c r="M199" s="71" t="str">
        <f t="shared" si="41"/>
        <v>N/A</v>
      </c>
      <c r="N199" s="65"/>
      <c r="O199" s="550" t="str">
        <f>IF(ISBLANK('Setup - Facility Details'!$C$35),P199,0)</f>
        <v>N/A</v>
      </c>
      <c r="P199" s="76" t="s">
        <v>2754</v>
      </c>
      <c r="Q199" s="73"/>
      <c r="R199" s="76" t="s">
        <v>2754</v>
      </c>
      <c r="S199" s="76" t="s">
        <v>2754</v>
      </c>
      <c r="T199" s="325" t="s">
        <v>1372</v>
      </c>
      <c r="V199" s="325">
        <v>2</v>
      </c>
    </row>
    <row r="200" spans="2:22" ht="16.5" customHeight="1" x14ac:dyDescent="0.3">
      <c r="B200" s="81" t="str">
        <f ca="1">'Translation Table'!H1355</f>
        <v>Open-ended Lines</v>
      </c>
      <c r="C200" s="81" t="str">
        <f ca="1">'Translation Table'!H1357</f>
        <v>Heavy Liquid</v>
      </c>
      <c r="D200" s="82" t="str">
        <f>IF(OR($E200="N/A",$F200="N/A",$G200="N/A"),"N/A",IF($F200-$G200&gt;0,($E200-$G200)/($F200-$G200),"N/A"))</f>
        <v>N/A</v>
      </c>
      <c r="E200" s="83" t="str">
        <f t="shared" si="35"/>
        <v>N/A</v>
      </c>
      <c r="F200" s="88" t="s">
        <v>2754</v>
      </c>
      <c r="G200" s="88" t="s">
        <v>2754</v>
      </c>
      <c r="H200" s="82" t="str">
        <f t="shared" si="43"/>
        <v>N/A</v>
      </c>
      <c r="I200" s="83" t="str">
        <f t="shared" si="37"/>
        <v>N/A</v>
      </c>
      <c r="J200" s="84" t="str">
        <f t="shared" si="38"/>
        <v>N/A</v>
      </c>
      <c r="K200" s="83" t="str">
        <f t="shared" si="39"/>
        <v>N/A</v>
      </c>
      <c r="L200" s="83" t="str">
        <f t="shared" si="40"/>
        <v>N/A</v>
      </c>
      <c r="M200" s="83" t="str">
        <f t="shared" si="41"/>
        <v>N/A</v>
      </c>
      <c r="N200" s="65"/>
      <c r="O200" s="549" t="str">
        <f>IF(ISBLANK('Setup - Facility Details'!$C$35),P200,0)</f>
        <v>N/A</v>
      </c>
      <c r="P200" s="90" t="s">
        <v>2754</v>
      </c>
      <c r="Q200" s="73"/>
      <c r="R200" s="90" t="s">
        <v>2754</v>
      </c>
      <c r="S200" s="90" t="s">
        <v>2754</v>
      </c>
      <c r="T200" s="325" t="s">
        <v>1372</v>
      </c>
      <c r="V200" s="325">
        <v>2</v>
      </c>
    </row>
    <row r="201" spans="2:22" ht="16.5" customHeight="1" x14ac:dyDescent="0.3">
      <c r="B201" s="48" t="str">
        <f ca="1">'Translation Table'!H1359</f>
        <v>Sampling Connections</v>
      </c>
      <c r="C201" s="48" t="str">
        <f ca="1">'Translation Table'!H1358</f>
        <v>All</v>
      </c>
      <c r="D201" s="70" t="str">
        <f>IF(OR($E201="N/A",$F201="N/A",$G201="N/A"),"N/A",IF($F201-$G201&gt;0,($E201-$G201)/($F201-$G201),"N/A"))</f>
        <v>N/A</v>
      </c>
      <c r="E201" s="71" t="str">
        <f t="shared" si="35"/>
        <v>N/A</v>
      </c>
      <c r="F201" s="75" t="s">
        <v>2754</v>
      </c>
      <c r="G201" s="75" t="s">
        <v>2754</v>
      </c>
      <c r="H201" s="70" t="str">
        <f t="shared" si="43"/>
        <v>N/A</v>
      </c>
      <c r="I201" s="71" t="str">
        <f t="shared" si="37"/>
        <v>N/A</v>
      </c>
      <c r="J201" s="72" t="str">
        <f t="shared" si="38"/>
        <v>N/A</v>
      </c>
      <c r="K201" s="71" t="str">
        <f t="shared" si="39"/>
        <v>N/A</v>
      </c>
      <c r="L201" s="71" t="str">
        <f t="shared" si="40"/>
        <v>N/A</v>
      </c>
      <c r="M201" s="71" t="str">
        <f t="shared" si="41"/>
        <v>N/A</v>
      </c>
      <c r="N201" s="77"/>
      <c r="O201" s="550" t="str">
        <f>IF(ISBLANK('Setup - Facility Details'!$C$35),P201,0)</f>
        <v>N/A</v>
      </c>
      <c r="P201" s="76" t="s">
        <v>2754</v>
      </c>
      <c r="Q201" s="73"/>
      <c r="R201" s="76" t="s">
        <v>2754</v>
      </c>
      <c r="S201" s="76" t="s">
        <v>2754</v>
      </c>
      <c r="T201" s="325" t="s">
        <v>1373</v>
      </c>
      <c r="V201" s="325">
        <v>2</v>
      </c>
    </row>
    <row r="202" spans="2:22" ht="16.5" customHeight="1" x14ac:dyDescent="0.3">
      <c r="B202" s="81" t="str">
        <f ca="1">'Translation Table'!H1361</f>
        <v>Drains</v>
      </c>
      <c r="C202" s="81" t="str">
        <f ca="1">'Translation Table'!H1360</f>
        <v>All</v>
      </c>
      <c r="D202" s="82" t="str">
        <f>IF(OR($E202="N/A",$F202="N/A",$G202="N/A"),"N/A",IF($F202-$G202&gt;0,($E202-$G202)/($F202-$G202),"N/A"))</f>
        <v>N/A</v>
      </c>
      <c r="E202" s="83" t="str">
        <f t="shared" si="35"/>
        <v>N/A</v>
      </c>
      <c r="F202" s="88" t="s">
        <v>2754</v>
      </c>
      <c r="G202" s="88" t="s">
        <v>2754</v>
      </c>
      <c r="H202" s="82" t="str">
        <f t="shared" si="43"/>
        <v>N/A</v>
      </c>
      <c r="I202" s="83" t="str">
        <f t="shared" si="37"/>
        <v>N/A</v>
      </c>
      <c r="J202" s="84" t="str">
        <f t="shared" si="38"/>
        <v>N/A</v>
      </c>
      <c r="K202" s="83" t="str">
        <f t="shared" si="39"/>
        <v>N/A</v>
      </c>
      <c r="L202" s="83" t="str">
        <f t="shared" si="40"/>
        <v>N/A</v>
      </c>
      <c r="M202" s="83" t="str">
        <f t="shared" si="41"/>
        <v>N/A</v>
      </c>
      <c r="N202" s="77"/>
      <c r="O202" s="549" t="str">
        <f>IF(ISBLANK('Setup - Facility Details'!$C$35),P202,0)</f>
        <v>N/A</v>
      </c>
      <c r="P202" s="90" t="s">
        <v>2754</v>
      </c>
      <c r="Q202" s="73"/>
      <c r="R202" s="90" t="s">
        <v>2754</v>
      </c>
      <c r="S202" s="90" t="s">
        <v>2754</v>
      </c>
      <c r="T202" s="325" t="s">
        <v>1374</v>
      </c>
      <c r="V202" s="325">
        <v>2</v>
      </c>
    </row>
    <row r="203" spans="2:22" ht="16.5" customHeight="1" x14ac:dyDescent="0.3">
      <c r="B203" s="48" t="str">
        <f ca="1">'Translation Table'!H1363</f>
        <v>Meter (Orifice)</v>
      </c>
      <c r="C203" s="48" t="str">
        <f ca="1">'Translation Table'!H1362</f>
        <v>Gas</v>
      </c>
      <c r="D203" s="70" t="str">
        <f>IF(OR($E203="N/A",$F203="N/A",$G203="N/A"),"N/A",IF($F203-$G203&gt;0,($E203-$G203)/($F203-$G203),"N/A"))</f>
        <v>N/A</v>
      </c>
      <c r="E203" s="71" t="str">
        <f t="shared" si="35"/>
        <v>N/A</v>
      </c>
      <c r="F203" s="75" t="s">
        <v>2754</v>
      </c>
      <c r="G203" s="75" t="s">
        <v>2754</v>
      </c>
      <c r="H203" s="70" t="str">
        <f t="shared" si="43"/>
        <v>N/A</v>
      </c>
      <c r="I203" s="71" t="str">
        <f t="shared" si="37"/>
        <v>N/A</v>
      </c>
      <c r="J203" s="72" t="str">
        <f t="shared" si="38"/>
        <v>N/A</v>
      </c>
      <c r="K203" s="71" t="str">
        <f t="shared" si="39"/>
        <v>N/A</v>
      </c>
      <c r="L203" s="71" t="str">
        <f t="shared" si="40"/>
        <v>N/A</v>
      </c>
      <c r="M203" s="71" t="str">
        <f t="shared" si="41"/>
        <v>N/A</v>
      </c>
      <c r="N203" s="77"/>
      <c r="O203" s="550" t="str">
        <f>IF(ISBLANK('Setup - Facility Details'!$C$35),P203,0)</f>
        <v>N/A</v>
      </c>
      <c r="P203" s="76" t="s">
        <v>2754</v>
      </c>
      <c r="Q203" s="73"/>
      <c r="R203" s="76" t="s">
        <v>2754</v>
      </c>
      <c r="S203" s="76" t="s">
        <v>2754</v>
      </c>
      <c r="T203" s="325" t="s">
        <v>1365</v>
      </c>
      <c r="V203" s="325">
        <v>1</v>
      </c>
    </row>
    <row r="204" spans="2:22" ht="16.5" customHeight="1" x14ac:dyDescent="0.3">
      <c r="B204" s="81" t="str">
        <f ca="1">'Translation Table'!H1365</f>
        <v>Meter (Other)</v>
      </c>
      <c r="C204" s="81" t="str">
        <f ca="1">'Translation Table'!H1364</f>
        <v>Gas</v>
      </c>
      <c r="D204" s="82">
        <v>5.0000000000000001E-4</v>
      </c>
      <c r="E204" s="83">
        <f t="shared" si="35"/>
        <v>5.15418E-6</v>
      </c>
      <c r="F204" s="88">
        <v>7.0299999999999998E-3</v>
      </c>
      <c r="G204" s="88">
        <v>1.64E-6</v>
      </c>
      <c r="H204" s="82">
        <f t="shared" si="43"/>
        <v>5.0000000000000001E-4</v>
      </c>
      <c r="I204" s="83">
        <f t="shared" si="37"/>
        <v>5.15418E-6</v>
      </c>
      <c r="J204" s="84">
        <f t="shared" si="38"/>
        <v>1</v>
      </c>
      <c r="K204" s="83">
        <f t="shared" si="39"/>
        <v>5.15418E-6</v>
      </c>
      <c r="L204" s="83">
        <f t="shared" ca="1" si="40"/>
        <v>6.5431608950395442E-6</v>
      </c>
      <c r="M204" s="83">
        <f t="shared" ca="1" si="41"/>
        <v>5.6925499786844034E-6</v>
      </c>
      <c r="N204" s="77"/>
      <c r="O204" s="549">
        <f>IF(ISBLANK('Setup - Facility Details'!$C$35),P204,0)</f>
        <v>5.0000000000000001E-4</v>
      </c>
      <c r="P204" s="218">
        <v>5.0000000000000001E-4</v>
      </c>
      <c r="Q204" s="73"/>
      <c r="R204" s="218">
        <v>0</v>
      </c>
      <c r="S204" s="89" cm="1">
        <f t="array" ref="S204">INDEX(ValidValveCF_V,V204)/100</f>
        <v>0</v>
      </c>
      <c r="T204" s="325" t="s">
        <v>1365</v>
      </c>
      <c r="V204" s="325">
        <v>1</v>
      </c>
    </row>
    <row r="205" spans="2:22" ht="16.5" customHeight="1" x14ac:dyDescent="0.3">
      <c r="B205" s="48" t="str">
        <f ca="1">'Translation Table'!H1366</f>
        <v>Blowdown System</v>
      </c>
      <c r="C205" s="48" t="str">
        <f ca="1">'Translation Table'!H1367</f>
        <v>Gas</v>
      </c>
      <c r="D205" s="70" t="str">
        <f>IF(OR($E205="N/A",$F205="N/A",$G205="N/A"),"N/A",IF($F205-$G205&gt;0,($E205-$G205)/($F205-$G205),"N/A"))</f>
        <v>N/A</v>
      </c>
      <c r="E205" s="71" t="str">
        <f t="shared" si="35"/>
        <v>N/A</v>
      </c>
      <c r="F205" s="75" t="s">
        <v>2754</v>
      </c>
      <c r="G205" s="75" t="s">
        <v>2754</v>
      </c>
      <c r="H205" s="70" t="str">
        <f t="shared" si="43"/>
        <v>N/A</v>
      </c>
      <c r="I205" s="71" t="str">
        <f t="shared" si="37"/>
        <v>N/A</v>
      </c>
      <c r="J205" s="72" t="str">
        <f t="shared" si="38"/>
        <v>N/A</v>
      </c>
      <c r="K205" s="71" t="str">
        <f t="shared" si="39"/>
        <v>N/A</v>
      </c>
      <c r="L205" s="71" t="str">
        <f t="shared" si="40"/>
        <v>N/A</v>
      </c>
      <c r="M205" s="71" t="str">
        <f t="shared" si="41"/>
        <v>N/A</v>
      </c>
      <c r="N205" s="77"/>
      <c r="O205" s="550" t="str">
        <f>IF(ISBLANK('Setup - Facility Details'!$C$35),P205,0)</f>
        <v>N/A</v>
      </c>
      <c r="P205" s="76" t="s">
        <v>2754</v>
      </c>
      <c r="Q205" s="73"/>
      <c r="R205" s="76" t="s">
        <v>2754</v>
      </c>
      <c r="S205" s="76" t="s">
        <v>2754</v>
      </c>
      <c r="T205" s="325" t="s">
        <v>1365</v>
      </c>
      <c r="V205" s="325">
        <v>1</v>
      </c>
    </row>
    <row r="206" spans="2:22" ht="16.5" customHeight="1" x14ac:dyDescent="0.3">
      <c r="B206" s="81" t="str">
        <f ca="1">'Translation Table'!H1369</f>
        <v>Others</v>
      </c>
      <c r="C206" s="81" t="str">
        <f ca="1">'Translation Table'!H1368</f>
        <v>Gas</v>
      </c>
      <c r="D206" s="82" t="str">
        <f>IF(OR($E206="N/A",$F206="N/A",$G206="N/A"),"N/A",IF($F206-$G206&gt;0,($E206-$G206)/($F206-$G206),"N/A"))</f>
        <v>N/A</v>
      </c>
      <c r="E206" s="83" t="str">
        <f t="shared" si="35"/>
        <v>N/A</v>
      </c>
      <c r="F206" s="88" t="s">
        <v>2754</v>
      </c>
      <c r="G206" s="88" t="s">
        <v>2754</v>
      </c>
      <c r="H206" s="82" t="str">
        <f t="shared" si="43"/>
        <v>N/A</v>
      </c>
      <c r="I206" s="83" t="str">
        <f t="shared" si="37"/>
        <v>N/A</v>
      </c>
      <c r="J206" s="84" t="str">
        <f t="shared" si="38"/>
        <v>N/A</v>
      </c>
      <c r="K206" s="83" t="str">
        <f t="shared" si="39"/>
        <v>N/A</v>
      </c>
      <c r="L206" s="83" t="str">
        <f t="shared" si="40"/>
        <v>N/A</v>
      </c>
      <c r="M206" s="83" t="str">
        <f t="shared" si="41"/>
        <v>N/A</v>
      </c>
      <c r="N206" s="77"/>
      <c r="O206" s="549" t="str">
        <f>IF(ISBLANK('Setup - Facility Details'!$C$35),P206,0)</f>
        <v>N/A</v>
      </c>
      <c r="P206" s="90" t="s">
        <v>2754</v>
      </c>
      <c r="Q206" s="73"/>
      <c r="R206" s="90" t="s">
        <v>2754</v>
      </c>
      <c r="S206" s="90" t="s">
        <v>2754</v>
      </c>
      <c r="T206" s="325" t="s">
        <v>1375</v>
      </c>
      <c r="V206" s="325">
        <v>1</v>
      </c>
    </row>
    <row r="207" spans="2:22" ht="16.5" customHeight="1" x14ac:dyDescent="0.3">
      <c r="B207" s="48" t="str">
        <f ca="1">'Translation Table'!H1369</f>
        <v>Others</v>
      </c>
      <c r="C207" s="48" t="str">
        <f ca="1">'Translation Table'!H1370</f>
        <v>Light Liquid</v>
      </c>
      <c r="D207" s="70" t="str">
        <f>IF(OR($E207="N/A",$F207="N/A",$G207="N/A"),"N/A",IF($F207-$G207&gt;0,($E207-$G207)/($F207-$G207),"N/A"))</f>
        <v>N/A</v>
      </c>
      <c r="E207" s="71" t="str">
        <f t="shared" si="35"/>
        <v>N/A</v>
      </c>
      <c r="F207" s="75" t="s">
        <v>2754</v>
      </c>
      <c r="G207" s="75" t="s">
        <v>2754</v>
      </c>
      <c r="H207" s="70" t="str">
        <f t="shared" si="43"/>
        <v>N/A</v>
      </c>
      <c r="I207" s="71" t="str">
        <f t="shared" si="37"/>
        <v>N/A</v>
      </c>
      <c r="J207" s="72" t="str">
        <f t="shared" si="38"/>
        <v>N/A</v>
      </c>
      <c r="K207" s="71" t="str">
        <f t="shared" si="39"/>
        <v>N/A</v>
      </c>
      <c r="L207" s="71" t="str">
        <f t="shared" si="40"/>
        <v>N/A</v>
      </c>
      <c r="M207" s="71" t="str">
        <f t="shared" si="41"/>
        <v>N/A</v>
      </c>
      <c r="N207" s="77"/>
      <c r="O207" s="550" t="str">
        <f>IF(ISBLANK('Setup - Facility Details'!$C$35),P207,0)</f>
        <v>N/A</v>
      </c>
      <c r="P207" s="76" t="s">
        <v>2754</v>
      </c>
      <c r="Q207" s="73"/>
      <c r="R207" s="76" t="s">
        <v>2754</v>
      </c>
      <c r="S207" s="76" t="s">
        <v>2754</v>
      </c>
      <c r="T207" s="325" t="s">
        <v>1375</v>
      </c>
      <c r="V207" s="325">
        <v>1</v>
      </c>
    </row>
    <row r="208" spans="2:22" ht="16.5" customHeight="1" x14ac:dyDescent="0.3">
      <c r="B208" s="81" t="str">
        <f ca="1">'Translation Table'!H1369</f>
        <v>Others</v>
      </c>
      <c r="C208" s="81" t="str">
        <f ca="1">'Translation Table'!H1371</f>
        <v>Heavy Liquid</v>
      </c>
      <c r="D208" s="82" t="str">
        <f>IF(OR($E208="N/A",$F208="N/A",$G208="N/A"),"N/A",IF($F208-$G208&gt;0,($E208-$G208)/($F208-$G208),"N/A"))</f>
        <v>N/A</v>
      </c>
      <c r="E208" s="83" t="str">
        <f t="shared" si="35"/>
        <v>N/A</v>
      </c>
      <c r="F208" s="88" t="s">
        <v>2754</v>
      </c>
      <c r="G208" s="88" t="s">
        <v>2754</v>
      </c>
      <c r="H208" s="82" t="str">
        <f t="shared" si="43"/>
        <v>N/A</v>
      </c>
      <c r="I208" s="83" t="str">
        <f t="shared" si="37"/>
        <v>N/A</v>
      </c>
      <c r="J208" s="84" t="str">
        <f t="shared" si="38"/>
        <v>N/A</v>
      </c>
      <c r="K208" s="83" t="str">
        <f t="shared" si="39"/>
        <v>N/A</v>
      </c>
      <c r="L208" s="83" t="str">
        <f t="shared" si="40"/>
        <v>N/A</v>
      </c>
      <c r="M208" s="83" t="str">
        <f t="shared" si="41"/>
        <v>N/A</v>
      </c>
      <c r="N208" s="77"/>
      <c r="O208" s="549" t="str">
        <f>IF(ISBLANK('Setup - Facility Details'!$C$35),P208,0)</f>
        <v>N/A</v>
      </c>
      <c r="P208" s="90" t="s">
        <v>2754</v>
      </c>
      <c r="Q208" s="73"/>
      <c r="R208" s="90" t="s">
        <v>2754</v>
      </c>
      <c r="S208" s="90" t="s">
        <v>2754</v>
      </c>
      <c r="T208" s="325" t="s">
        <v>1375</v>
      </c>
      <c r="V208" s="325">
        <v>1</v>
      </c>
    </row>
  </sheetData>
  <sheetProtection algorithmName="SHA-512" hashValue="gGbPitiNCMzHzZLtUnJIeWLFC1kVLZBMKlCt4LLvn5Y5RKx+CmlPPIJDdZGM3Exl0zPUjMtJAi0sW1ouGTsDew==" saltValue="voni1SuZJgssBJTJMuHDYA==" spinCount="100000" sheet="1" objects="1" scenarios="1"/>
  <mergeCells count="41">
    <mergeCell ref="Q4:S4"/>
    <mergeCell ref="B1:C1"/>
    <mergeCell ref="B3:B6"/>
    <mergeCell ref="C3:C6"/>
    <mergeCell ref="D3:G3"/>
    <mergeCell ref="K5:M5"/>
    <mergeCell ref="K4:M4"/>
    <mergeCell ref="H3:M3"/>
    <mergeCell ref="B2:M2"/>
    <mergeCell ref="B44:M44"/>
    <mergeCell ref="Q46:S46"/>
    <mergeCell ref="B87:B90"/>
    <mergeCell ref="C87:C90"/>
    <mergeCell ref="D87:G87"/>
    <mergeCell ref="Q88:S88"/>
    <mergeCell ref="H87:M87"/>
    <mergeCell ref="K88:M88"/>
    <mergeCell ref="K89:M89"/>
    <mergeCell ref="B86:M86"/>
    <mergeCell ref="B45:B48"/>
    <mergeCell ref="C45:C48"/>
    <mergeCell ref="D45:G45"/>
    <mergeCell ref="H45:M45"/>
    <mergeCell ref="K46:M46"/>
    <mergeCell ref="K47:M47"/>
    <mergeCell ref="B128:M128"/>
    <mergeCell ref="Q130:S130"/>
    <mergeCell ref="B171:B174"/>
    <mergeCell ref="C171:C174"/>
    <mergeCell ref="D171:G171"/>
    <mergeCell ref="Q172:S172"/>
    <mergeCell ref="H171:M171"/>
    <mergeCell ref="K172:M172"/>
    <mergeCell ref="K173:M173"/>
    <mergeCell ref="B170:M170"/>
    <mergeCell ref="B129:B132"/>
    <mergeCell ref="C129:C132"/>
    <mergeCell ref="D129:G129"/>
    <mergeCell ref="H129:M129"/>
    <mergeCell ref="K130:M130"/>
    <mergeCell ref="K131:M131"/>
  </mergeCells>
  <dataValidations count="3">
    <dataValidation type="decimal" allowBlank="1" showInputMessage="1" showErrorMessage="1" sqref="R60 P53:P55 P57 R24:R34 R38:R40 R72 P18:P34 P60 P72 R18 P102 P77:P79 R77:R79 P38:P40 O92:O124 R53:R55 R67:R69 R57 P67:P69 R8:R10 P8:P10 P13:P15 R13:R15 P95:P96 R95:R96 R99 P99 O50:O82 R102 P114 R114 R109:R111 P109:P111 R119:R121 P119:P121 P137:P138 R137:R138 R156 P156 R151:R153 P151:P153 R161:R162 P161:P162 P179:P180 R194:R195 P194:P195 P198 R198 R179:R180 R204 P204 R63 P63 O8:O40 O134:O166 O176:O208" xr:uid="{00000000-0002-0000-0500-000000000000}">
      <formula1>0</formula1>
      <formula2>1</formula2>
    </dataValidation>
    <dataValidation allowBlank="1" showInputMessage="1" showErrorMessage="1" promptTitle="Equipment Type: " prompt="Others (should be applied for any equipment type other than connectors, flanges, open-ended lines, pumps, or valve)" sqref="F14:F15 F33:F34 F24:F26" xr:uid="{00000000-0002-0000-0500-000001000000}"/>
    <dataValidation allowBlank="1" showInputMessage="1" showErrorMessage="1" prompt="To be conservative choose Gas services" sqref="F30" xr:uid="{00000000-0002-0000-0500-000002000000}"/>
  </dataValidations>
  <pageMargins left="0.7" right="0.7" top="0.75" bottom="0.75" header="0.3" footer="0.3"/>
  <pageSetup orientation="portrait"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9481" r:id="rId4" name="Drop Down 265">
              <controlPr defaultSize="0" autoLine="0" autoPict="0">
                <anchor moveWithCells="1" sizeWithCells="1">
                  <from>
                    <xdr:col>16</xdr:col>
                    <xdr:colOff>0</xdr:colOff>
                    <xdr:row>7</xdr:row>
                    <xdr:rowOff>0</xdr:rowOff>
                  </from>
                  <to>
                    <xdr:col>17</xdr:col>
                    <xdr:colOff>0</xdr:colOff>
                    <xdr:row>8</xdr:row>
                    <xdr:rowOff>0</xdr:rowOff>
                  </to>
                </anchor>
              </controlPr>
            </control>
          </mc:Choice>
        </mc:AlternateContent>
        <mc:AlternateContent xmlns:mc="http://schemas.openxmlformats.org/markup-compatibility/2006">
          <mc:Choice Requires="x14">
            <control shapeId="9482" r:id="rId5" name="Drop Down 266">
              <controlPr defaultSize="0" autoLine="0" autoPict="0">
                <anchor moveWithCells="1" sizeWithCells="1">
                  <from>
                    <xdr:col>16</xdr:col>
                    <xdr:colOff>0</xdr:colOff>
                    <xdr:row>8</xdr:row>
                    <xdr:rowOff>0</xdr:rowOff>
                  </from>
                  <to>
                    <xdr:col>17</xdr:col>
                    <xdr:colOff>0</xdr:colOff>
                    <xdr:row>9</xdr:row>
                    <xdr:rowOff>0</xdr:rowOff>
                  </to>
                </anchor>
              </controlPr>
            </control>
          </mc:Choice>
        </mc:AlternateContent>
        <mc:AlternateContent xmlns:mc="http://schemas.openxmlformats.org/markup-compatibility/2006">
          <mc:Choice Requires="x14">
            <control shapeId="9483" r:id="rId6" name="Drop Down 267">
              <controlPr defaultSize="0" autoLine="0" autoPict="0">
                <anchor moveWithCells="1" sizeWithCells="1">
                  <from>
                    <xdr:col>16</xdr:col>
                    <xdr:colOff>0</xdr:colOff>
                    <xdr:row>9</xdr:row>
                    <xdr:rowOff>0</xdr:rowOff>
                  </from>
                  <to>
                    <xdr:col>17</xdr:col>
                    <xdr:colOff>0</xdr:colOff>
                    <xdr:row>10</xdr:row>
                    <xdr:rowOff>0</xdr:rowOff>
                  </to>
                </anchor>
              </controlPr>
            </control>
          </mc:Choice>
        </mc:AlternateContent>
        <mc:AlternateContent xmlns:mc="http://schemas.openxmlformats.org/markup-compatibility/2006">
          <mc:Choice Requires="x14">
            <control shapeId="9485" r:id="rId7" name="Drop Down 269">
              <controlPr defaultSize="0" autoLine="0" autoPict="0">
                <anchor moveWithCells="1" sizeWithCells="1">
                  <from>
                    <xdr:col>16</xdr:col>
                    <xdr:colOff>0</xdr:colOff>
                    <xdr:row>10</xdr:row>
                    <xdr:rowOff>0</xdr:rowOff>
                  </from>
                  <to>
                    <xdr:col>17</xdr:col>
                    <xdr:colOff>0</xdr:colOff>
                    <xdr:row>11</xdr:row>
                    <xdr:rowOff>0</xdr:rowOff>
                  </to>
                </anchor>
              </controlPr>
            </control>
          </mc:Choice>
        </mc:AlternateContent>
        <mc:AlternateContent xmlns:mc="http://schemas.openxmlformats.org/markup-compatibility/2006">
          <mc:Choice Requires="x14">
            <control shapeId="9486" r:id="rId8" name="Drop Down 270">
              <controlPr defaultSize="0" autoLine="0" autoPict="0">
                <anchor moveWithCells="1" sizeWithCells="1">
                  <from>
                    <xdr:col>16</xdr:col>
                    <xdr:colOff>0</xdr:colOff>
                    <xdr:row>11</xdr:row>
                    <xdr:rowOff>0</xdr:rowOff>
                  </from>
                  <to>
                    <xdr:col>17</xdr:col>
                    <xdr:colOff>0</xdr:colOff>
                    <xdr:row>12</xdr:row>
                    <xdr:rowOff>0</xdr:rowOff>
                  </to>
                </anchor>
              </controlPr>
            </control>
          </mc:Choice>
        </mc:AlternateContent>
        <mc:AlternateContent xmlns:mc="http://schemas.openxmlformats.org/markup-compatibility/2006">
          <mc:Choice Requires="x14">
            <control shapeId="9487" r:id="rId9" name="Drop Down 271">
              <controlPr defaultSize="0" autoLine="0" autoPict="0">
                <anchor moveWithCells="1" sizeWithCells="1">
                  <from>
                    <xdr:col>16</xdr:col>
                    <xdr:colOff>0</xdr:colOff>
                    <xdr:row>12</xdr:row>
                    <xdr:rowOff>0</xdr:rowOff>
                  </from>
                  <to>
                    <xdr:col>17</xdr:col>
                    <xdr:colOff>0</xdr:colOff>
                    <xdr:row>13</xdr:row>
                    <xdr:rowOff>0</xdr:rowOff>
                  </to>
                </anchor>
              </controlPr>
            </control>
          </mc:Choice>
        </mc:AlternateContent>
        <mc:AlternateContent xmlns:mc="http://schemas.openxmlformats.org/markup-compatibility/2006">
          <mc:Choice Requires="x14">
            <control shapeId="9488" r:id="rId10" name="Drop Down 272">
              <controlPr defaultSize="0" autoLine="0" autoPict="0">
                <anchor moveWithCells="1" sizeWithCells="1">
                  <from>
                    <xdr:col>16</xdr:col>
                    <xdr:colOff>0</xdr:colOff>
                    <xdr:row>13</xdr:row>
                    <xdr:rowOff>0</xdr:rowOff>
                  </from>
                  <to>
                    <xdr:col>17</xdr:col>
                    <xdr:colOff>0</xdr:colOff>
                    <xdr:row>14</xdr:row>
                    <xdr:rowOff>0</xdr:rowOff>
                  </to>
                </anchor>
              </controlPr>
            </control>
          </mc:Choice>
        </mc:AlternateContent>
        <mc:AlternateContent xmlns:mc="http://schemas.openxmlformats.org/markup-compatibility/2006">
          <mc:Choice Requires="x14">
            <control shapeId="9489" r:id="rId11" name="Drop Down 273">
              <controlPr defaultSize="0" autoLine="0" autoPict="0">
                <anchor moveWithCells="1" sizeWithCells="1">
                  <from>
                    <xdr:col>16</xdr:col>
                    <xdr:colOff>0</xdr:colOff>
                    <xdr:row>14</xdr:row>
                    <xdr:rowOff>0</xdr:rowOff>
                  </from>
                  <to>
                    <xdr:col>17</xdr:col>
                    <xdr:colOff>0</xdr:colOff>
                    <xdr:row>15</xdr:row>
                    <xdr:rowOff>0</xdr:rowOff>
                  </to>
                </anchor>
              </controlPr>
            </control>
          </mc:Choice>
        </mc:AlternateContent>
        <mc:AlternateContent xmlns:mc="http://schemas.openxmlformats.org/markup-compatibility/2006">
          <mc:Choice Requires="x14">
            <control shapeId="9490" r:id="rId12" name="Drop Down 274">
              <controlPr defaultSize="0" autoLine="0" autoPict="0">
                <anchor moveWithCells="1" sizeWithCells="1">
                  <from>
                    <xdr:col>16</xdr:col>
                    <xdr:colOff>0</xdr:colOff>
                    <xdr:row>15</xdr:row>
                    <xdr:rowOff>0</xdr:rowOff>
                  </from>
                  <to>
                    <xdr:col>17</xdr:col>
                    <xdr:colOff>0</xdr:colOff>
                    <xdr:row>16</xdr:row>
                    <xdr:rowOff>0</xdr:rowOff>
                  </to>
                </anchor>
              </controlPr>
            </control>
          </mc:Choice>
        </mc:AlternateContent>
        <mc:AlternateContent xmlns:mc="http://schemas.openxmlformats.org/markup-compatibility/2006">
          <mc:Choice Requires="x14">
            <control shapeId="9491" r:id="rId13" name="Drop Down 275">
              <controlPr defaultSize="0" autoLine="0" autoPict="0">
                <anchor moveWithCells="1" sizeWithCells="1">
                  <from>
                    <xdr:col>16</xdr:col>
                    <xdr:colOff>0</xdr:colOff>
                    <xdr:row>16</xdr:row>
                    <xdr:rowOff>0</xdr:rowOff>
                  </from>
                  <to>
                    <xdr:col>17</xdr:col>
                    <xdr:colOff>0</xdr:colOff>
                    <xdr:row>17</xdr:row>
                    <xdr:rowOff>0</xdr:rowOff>
                  </to>
                </anchor>
              </controlPr>
            </control>
          </mc:Choice>
        </mc:AlternateContent>
        <mc:AlternateContent xmlns:mc="http://schemas.openxmlformats.org/markup-compatibility/2006">
          <mc:Choice Requires="x14">
            <control shapeId="9492" r:id="rId14" name="Drop Down 276">
              <controlPr defaultSize="0" autoLine="0" autoPict="0">
                <anchor moveWithCells="1" sizeWithCells="1">
                  <from>
                    <xdr:col>16</xdr:col>
                    <xdr:colOff>0</xdr:colOff>
                    <xdr:row>17</xdr:row>
                    <xdr:rowOff>0</xdr:rowOff>
                  </from>
                  <to>
                    <xdr:col>17</xdr:col>
                    <xdr:colOff>0</xdr:colOff>
                    <xdr:row>18</xdr:row>
                    <xdr:rowOff>0</xdr:rowOff>
                  </to>
                </anchor>
              </controlPr>
            </control>
          </mc:Choice>
        </mc:AlternateContent>
        <mc:AlternateContent xmlns:mc="http://schemas.openxmlformats.org/markup-compatibility/2006">
          <mc:Choice Requires="x14">
            <control shapeId="9494" r:id="rId15" name="Drop Down 278">
              <controlPr defaultSize="0" autoLine="0" autoPict="0">
                <anchor moveWithCells="1" sizeWithCells="1">
                  <from>
                    <xdr:col>16</xdr:col>
                    <xdr:colOff>0</xdr:colOff>
                    <xdr:row>18</xdr:row>
                    <xdr:rowOff>0</xdr:rowOff>
                  </from>
                  <to>
                    <xdr:col>17</xdr:col>
                    <xdr:colOff>0</xdr:colOff>
                    <xdr:row>19</xdr:row>
                    <xdr:rowOff>0</xdr:rowOff>
                  </to>
                </anchor>
              </controlPr>
            </control>
          </mc:Choice>
        </mc:AlternateContent>
        <mc:AlternateContent xmlns:mc="http://schemas.openxmlformats.org/markup-compatibility/2006">
          <mc:Choice Requires="x14">
            <control shapeId="9495" r:id="rId16" name="Drop Down 279">
              <controlPr defaultSize="0" autoLine="0" autoPict="0">
                <anchor moveWithCells="1" sizeWithCells="1">
                  <from>
                    <xdr:col>16</xdr:col>
                    <xdr:colOff>0</xdr:colOff>
                    <xdr:row>19</xdr:row>
                    <xdr:rowOff>0</xdr:rowOff>
                  </from>
                  <to>
                    <xdr:col>17</xdr:col>
                    <xdr:colOff>0</xdr:colOff>
                    <xdr:row>20</xdr:row>
                    <xdr:rowOff>0</xdr:rowOff>
                  </to>
                </anchor>
              </controlPr>
            </control>
          </mc:Choice>
        </mc:AlternateContent>
        <mc:AlternateContent xmlns:mc="http://schemas.openxmlformats.org/markup-compatibility/2006">
          <mc:Choice Requires="x14">
            <control shapeId="9497" r:id="rId17" name="Drop Down 281">
              <controlPr defaultSize="0" autoLine="0" autoPict="0">
                <anchor moveWithCells="1" sizeWithCells="1">
                  <from>
                    <xdr:col>16</xdr:col>
                    <xdr:colOff>0</xdr:colOff>
                    <xdr:row>23</xdr:row>
                    <xdr:rowOff>0</xdr:rowOff>
                  </from>
                  <to>
                    <xdr:col>17</xdr:col>
                    <xdr:colOff>0</xdr:colOff>
                    <xdr:row>24</xdr:row>
                    <xdr:rowOff>0</xdr:rowOff>
                  </to>
                </anchor>
              </controlPr>
            </control>
          </mc:Choice>
        </mc:AlternateContent>
        <mc:AlternateContent xmlns:mc="http://schemas.openxmlformats.org/markup-compatibility/2006">
          <mc:Choice Requires="x14">
            <control shapeId="9498" r:id="rId18" name="Drop Down 282">
              <controlPr defaultSize="0" autoLine="0" autoPict="0">
                <anchor moveWithCells="1" sizeWithCells="1">
                  <from>
                    <xdr:col>16</xdr:col>
                    <xdr:colOff>0</xdr:colOff>
                    <xdr:row>24</xdr:row>
                    <xdr:rowOff>0</xdr:rowOff>
                  </from>
                  <to>
                    <xdr:col>17</xdr:col>
                    <xdr:colOff>0</xdr:colOff>
                    <xdr:row>25</xdr:row>
                    <xdr:rowOff>0</xdr:rowOff>
                  </to>
                </anchor>
              </controlPr>
            </control>
          </mc:Choice>
        </mc:AlternateContent>
        <mc:AlternateContent xmlns:mc="http://schemas.openxmlformats.org/markup-compatibility/2006">
          <mc:Choice Requires="x14">
            <control shapeId="9499" r:id="rId19" name="Drop Down 283">
              <controlPr defaultSize="0" autoLine="0" autoPict="0">
                <anchor moveWithCells="1" sizeWithCells="1">
                  <from>
                    <xdr:col>16</xdr:col>
                    <xdr:colOff>0</xdr:colOff>
                    <xdr:row>25</xdr:row>
                    <xdr:rowOff>0</xdr:rowOff>
                  </from>
                  <to>
                    <xdr:col>17</xdr:col>
                    <xdr:colOff>0</xdr:colOff>
                    <xdr:row>26</xdr:row>
                    <xdr:rowOff>0</xdr:rowOff>
                  </to>
                </anchor>
              </controlPr>
            </control>
          </mc:Choice>
        </mc:AlternateContent>
        <mc:AlternateContent xmlns:mc="http://schemas.openxmlformats.org/markup-compatibility/2006">
          <mc:Choice Requires="x14">
            <control shapeId="9500" r:id="rId20" name="Drop Down 284">
              <controlPr defaultSize="0" autoLine="0" autoPict="0">
                <anchor moveWithCells="1" sizeWithCells="1">
                  <from>
                    <xdr:col>16</xdr:col>
                    <xdr:colOff>0</xdr:colOff>
                    <xdr:row>26</xdr:row>
                    <xdr:rowOff>0</xdr:rowOff>
                  </from>
                  <to>
                    <xdr:col>17</xdr:col>
                    <xdr:colOff>0</xdr:colOff>
                    <xdr:row>27</xdr:row>
                    <xdr:rowOff>0</xdr:rowOff>
                  </to>
                </anchor>
              </controlPr>
            </control>
          </mc:Choice>
        </mc:AlternateContent>
        <mc:AlternateContent xmlns:mc="http://schemas.openxmlformats.org/markup-compatibility/2006">
          <mc:Choice Requires="x14">
            <control shapeId="9501" r:id="rId21" name="Drop Down 285">
              <controlPr defaultSize="0" autoLine="0" autoPict="0">
                <anchor moveWithCells="1" sizeWithCells="1">
                  <from>
                    <xdr:col>16</xdr:col>
                    <xdr:colOff>0</xdr:colOff>
                    <xdr:row>27</xdr:row>
                    <xdr:rowOff>0</xdr:rowOff>
                  </from>
                  <to>
                    <xdr:col>17</xdr:col>
                    <xdr:colOff>0</xdr:colOff>
                    <xdr:row>28</xdr:row>
                    <xdr:rowOff>0</xdr:rowOff>
                  </to>
                </anchor>
              </controlPr>
            </control>
          </mc:Choice>
        </mc:AlternateContent>
        <mc:AlternateContent xmlns:mc="http://schemas.openxmlformats.org/markup-compatibility/2006">
          <mc:Choice Requires="x14">
            <control shapeId="9503" r:id="rId22" name="Drop Down 287">
              <controlPr defaultSize="0" autoLine="0" autoPict="0">
                <anchor moveWithCells="1" sizeWithCells="1">
                  <from>
                    <xdr:col>16</xdr:col>
                    <xdr:colOff>0</xdr:colOff>
                    <xdr:row>28</xdr:row>
                    <xdr:rowOff>0</xdr:rowOff>
                  </from>
                  <to>
                    <xdr:col>17</xdr:col>
                    <xdr:colOff>0</xdr:colOff>
                    <xdr:row>29</xdr:row>
                    <xdr:rowOff>0</xdr:rowOff>
                  </to>
                </anchor>
              </controlPr>
            </control>
          </mc:Choice>
        </mc:AlternateContent>
        <mc:AlternateContent xmlns:mc="http://schemas.openxmlformats.org/markup-compatibility/2006">
          <mc:Choice Requires="x14">
            <control shapeId="9504" r:id="rId23" name="Drop Down 288">
              <controlPr defaultSize="0" autoLine="0" autoPict="0">
                <anchor moveWithCells="1" sizeWithCells="1">
                  <from>
                    <xdr:col>16</xdr:col>
                    <xdr:colOff>0</xdr:colOff>
                    <xdr:row>29</xdr:row>
                    <xdr:rowOff>0</xdr:rowOff>
                  </from>
                  <to>
                    <xdr:col>17</xdr:col>
                    <xdr:colOff>0</xdr:colOff>
                    <xdr:row>30</xdr:row>
                    <xdr:rowOff>0</xdr:rowOff>
                  </to>
                </anchor>
              </controlPr>
            </control>
          </mc:Choice>
        </mc:AlternateContent>
        <mc:AlternateContent xmlns:mc="http://schemas.openxmlformats.org/markup-compatibility/2006">
          <mc:Choice Requires="x14">
            <control shapeId="9506" r:id="rId24" name="Drop Down 290">
              <controlPr defaultSize="0" autoLine="0" autoPict="0">
                <anchor moveWithCells="1" sizeWithCells="1">
                  <from>
                    <xdr:col>16</xdr:col>
                    <xdr:colOff>0</xdr:colOff>
                    <xdr:row>30</xdr:row>
                    <xdr:rowOff>0</xdr:rowOff>
                  </from>
                  <to>
                    <xdr:col>17</xdr:col>
                    <xdr:colOff>0</xdr:colOff>
                    <xdr:row>31</xdr:row>
                    <xdr:rowOff>0</xdr:rowOff>
                  </to>
                </anchor>
              </controlPr>
            </control>
          </mc:Choice>
        </mc:AlternateContent>
        <mc:AlternateContent xmlns:mc="http://schemas.openxmlformats.org/markup-compatibility/2006">
          <mc:Choice Requires="x14">
            <control shapeId="9507" r:id="rId25" name="Drop Down 291">
              <controlPr defaultSize="0" autoLine="0" autoPict="0">
                <anchor moveWithCells="1" sizeWithCells="1">
                  <from>
                    <xdr:col>16</xdr:col>
                    <xdr:colOff>0</xdr:colOff>
                    <xdr:row>31</xdr:row>
                    <xdr:rowOff>0</xdr:rowOff>
                  </from>
                  <to>
                    <xdr:col>17</xdr:col>
                    <xdr:colOff>0</xdr:colOff>
                    <xdr:row>32</xdr:row>
                    <xdr:rowOff>0</xdr:rowOff>
                  </to>
                </anchor>
              </controlPr>
            </control>
          </mc:Choice>
        </mc:AlternateContent>
        <mc:AlternateContent xmlns:mc="http://schemas.openxmlformats.org/markup-compatibility/2006">
          <mc:Choice Requires="x14">
            <control shapeId="9508" r:id="rId26" name="Drop Down 292">
              <controlPr defaultSize="0" autoLine="0" autoPict="0">
                <anchor moveWithCells="1" sizeWithCells="1">
                  <from>
                    <xdr:col>16</xdr:col>
                    <xdr:colOff>0</xdr:colOff>
                    <xdr:row>32</xdr:row>
                    <xdr:rowOff>0</xdr:rowOff>
                  </from>
                  <to>
                    <xdr:col>17</xdr:col>
                    <xdr:colOff>0</xdr:colOff>
                    <xdr:row>33</xdr:row>
                    <xdr:rowOff>0</xdr:rowOff>
                  </to>
                </anchor>
              </controlPr>
            </control>
          </mc:Choice>
        </mc:AlternateContent>
        <mc:AlternateContent xmlns:mc="http://schemas.openxmlformats.org/markup-compatibility/2006">
          <mc:Choice Requires="x14">
            <control shapeId="9509" r:id="rId27" name="Drop Down 293">
              <controlPr defaultSize="0" autoLine="0" autoPict="0">
                <anchor moveWithCells="1" sizeWithCells="1">
                  <from>
                    <xdr:col>16</xdr:col>
                    <xdr:colOff>0</xdr:colOff>
                    <xdr:row>33</xdr:row>
                    <xdr:rowOff>0</xdr:rowOff>
                  </from>
                  <to>
                    <xdr:col>17</xdr:col>
                    <xdr:colOff>0</xdr:colOff>
                    <xdr:row>34</xdr:row>
                    <xdr:rowOff>0</xdr:rowOff>
                  </to>
                </anchor>
              </controlPr>
            </control>
          </mc:Choice>
        </mc:AlternateContent>
        <mc:AlternateContent xmlns:mc="http://schemas.openxmlformats.org/markup-compatibility/2006">
          <mc:Choice Requires="x14">
            <control shapeId="9510" r:id="rId28" name="Drop Down 294">
              <controlPr defaultSize="0" autoLine="0" autoPict="0">
                <anchor moveWithCells="1" sizeWithCells="1">
                  <from>
                    <xdr:col>16</xdr:col>
                    <xdr:colOff>0</xdr:colOff>
                    <xdr:row>34</xdr:row>
                    <xdr:rowOff>0</xdr:rowOff>
                  </from>
                  <to>
                    <xdr:col>17</xdr:col>
                    <xdr:colOff>0</xdr:colOff>
                    <xdr:row>35</xdr:row>
                    <xdr:rowOff>0</xdr:rowOff>
                  </to>
                </anchor>
              </controlPr>
            </control>
          </mc:Choice>
        </mc:AlternateContent>
        <mc:AlternateContent xmlns:mc="http://schemas.openxmlformats.org/markup-compatibility/2006">
          <mc:Choice Requires="x14">
            <control shapeId="9511" r:id="rId29" name="Drop Down 295">
              <controlPr defaultSize="0" autoLine="0" autoPict="0">
                <anchor moveWithCells="1" sizeWithCells="1">
                  <from>
                    <xdr:col>16</xdr:col>
                    <xdr:colOff>0</xdr:colOff>
                    <xdr:row>35</xdr:row>
                    <xdr:rowOff>0</xdr:rowOff>
                  </from>
                  <to>
                    <xdr:col>17</xdr:col>
                    <xdr:colOff>0</xdr:colOff>
                    <xdr:row>36</xdr:row>
                    <xdr:rowOff>0</xdr:rowOff>
                  </to>
                </anchor>
              </controlPr>
            </control>
          </mc:Choice>
        </mc:AlternateContent>
        <mc:AlternateContent xmlns:mc="http://schemas.openxmlformats.org/markup-compatibility/2006">
          <mc:Choice Requires="x14">
            <control shapeId="9513" r:id="rId30" name="Drop Down 297">
              <controlPr defaultSize="0" autoLine="0" autoPict="0">
                <anchor moveWithCells="1" sizeWithCells="1">
                  <from>
                    <xdr:col>16</xdr:col>
                    <xdr:colOff>0</xdr:colOff>
                    <xdr:row>36</xdr:row>
                    <xdr:rowOff>0</xdr:rowOff>
                  </from>
                  <to>
                    <xdr:col>17</xdr:col>
                    <xdr:colOff>0</xdr:colOff>
                    <xdr:row>37</xdr:row>
                    <xdr:rowOff>0</xdr:rowOff>
                  </to>
                </anchor>
              </controlPr>
            </control>
          </mc:Choice>
        </mc:AlternateContent>
        <mc:AlternateContent xmlns:mc="http://schemas.openxmlformats.org/markup-compatibility/2006">
          <mc:Choice Requires="x14">
            <control shapeId="9514" r:id="rId31" name="Drop Down 298">
              <controlPr defaultSize="0" autoLine="0" autoPict="0">
                <anchor moveWithCells="1" sizeWithCells="1">
                  <from>
                    <xdr:col>16</xdr:col>
                    <xdr:colOff>0</xdr:colOff>
                    <xdr:row>37</xdr:row>
                    <xdr:rowOff>0</xdr:rowOff>
                  </from>
                  <to>
                    <xdr:col>17</xdr:col>
                    <xdr:colOff>0</xdr:colOff>
                    <xdr:row>38</xdr:row>
                    <xdr:rowOff>0</xdr:rowOff>
                  </to>
                </anchor>
              </controlPr>
            </control>
          </mc:Choice>
        </mc:AlternateContent>
        <mc:AlternateContent xmlns:mc="http://schemas.openxmlformats.org/markup-compatibility/2006">
          <mc:Choice Requires="x14">
            <control shapeId="9515" r:id="rId32" name="Drop Down 299">
              <controlPr defaultSize="0" autoLine="0" autoPict="0">
                <anchor moveWithCells="1" sizeWithCells="1">
                  <from>
                    <xdr:col>16</xdr:col>
                    <xdr:colOff>0</xdr:colOff>
                    <xdr:row>38</xdr:row>
                    <xdr:rowOff>0</xdr:rowOff>
                  </from>
                  <to>
                    <xdr:col>17</xdr:col>
                    <xdr:colOff>0</xdr:colOff>
                    <xdr:row>39</xdr:row>
                    <xdr:rowOff>0</xdr:rowOff>
                  </to>
                </anchor>
              </controlPr>
            </control>
          </mc:Choice>
        </mc:AlternateContent>
        <mc:AlternateContent xmlns:mc="http://schemas.openxmlformats.org/markup-compatibility/2006">
          <mc:Choice Requires="x14">
            <control shapeId="9517" r:id="rId33" name="Drop Down 301">
              <controlPr defaultSize="0" autoLine="0" autoPict="0">
                <anchor moveWithCells="1" sizeWithCells="1">
                  <from>
                    <xdr:col>16</xdr:col>
                    <xdr:colOff>0</xdr:colOff>
                    <xdr:row>39</xdr:row>
                    <xdr:rowOff>0</xdr:rowOff>
                  </from>
                  <to>
                    <xdr:col>17</xdr:col>
                    <xdr:colOff>0</xdr:colOff>
                    <xdr:row>40</xdr:row>
                    <xdr:rowOff>0</xdr:rowOff>
                  </to>
                </anchor>
              </controlPr>
            </control>
          </mc:Choice>
        </mc:AlternateContent>
        <mc:AlternateContent xmlns:mc="http://schemas.openxmlformats.org/markup-compatibility/2006">
          <mc:Choice Requires="x14">
            <control shapeId="9549" r:id="rId34" name="Drop Down 333">
              <controlPr defaultSize="0" autoLine="0" autoPict="0">
                <anchor moveWithCells="1" sizeWithCells="1">
                  <from>
                    <xdr:col>16</xdr:col>
                    <xdr:colOff>0</xdr:colOff>
                    <xdr:row>49</xdr:row>
                    <xdr:rowOff>0</xdr:rowOff>
                  </from>
                  <to>
                    <xdr:col>17</xdr:col>
                    <xdr:colOff>0</xdr:colOff>
                    <xdr:row>50</xdr:row>
                    <xdr:rowOff>0</xdr:rowOff>
                  </to>
                </anchor>
              </controlPr>
            </control>
          </mc:Choice>
        </mc:AlternateContent>
        <mc:AlternateContent xmlns:mc="http://schemas.openxmlformats.org/markup-compatibility/2006">
          <mc:Choice Requires="x14">
            <control shapeId="9550" r:id="rId35" name="Drop Down 334">
              <controlPr defaultSize="0" autoLine="0" autoPict="0">
                <anchor moveWithCells="1" sizeWithCells="1">
                  <from>
                    <xdr:col>16</xdr:col>
                    <xdr:colOff>0</xdr:colOff>
                    <xdr:row>50</xdr:row>
                    <xdr:rowOff>0</xdr:rowOff>
                  </from>
                  <to>
                    <xdr:col>17</xdr:col>
                    <xdr:colOff>0</xdr:colOff>
                    <xdr:row>51</xdr:row>
                    <xdr:rowOff>0</xdr:rowOff>
                  </to>
                </anchor>
              </controlPr>
            </control>
          </mc:Choice>
        </mc:AlternateContent>
        <mc:AlternateContent xmlns:mc="http://schemas.openxmlformats.org/markup-compatibility/2006">
          <mc:Choice Requires="x14">
            <control shapeId="9551" r:id="rId36" name="Drop Down 335">
              <controlPr defaultSize="0" autoLine="0" autoPict="0">
                <anchor moveWithCells="1" sizeWithCells="1">
                  <from>
                    <xdr:col>16</xdr:col>
                    <xdr:colOff>0</xdr:colOff>
                    <xdr:row>51</xdr:row>
                    <xdr:rowOff>0</xdr:rowOff>
                  </from>
                  <to>
                    <xdr:col>17</xdr:col>
                    <xdr:colOff>0</xdr:colOff>
                    <xdr:row>52</xdr:row>
                    <xdr:rowOff>0</xdr:rowOff>
                  </to>
                </anchor>
              </controlPr>
            </control>
          </mc:Choice>
        </mc:AlternateContent>
        <mc:AlternateContent xmlns:mc="http://schemas.openxmlformats.org/markup-compatibility/2006">
          <mc:Choice Requires="x14">
            <control shapeId="9552" r:id="rId37" name="Drop Down 336">
              <controlPr defaultSize="0" autoLine="0" autoPict="0">
                <anchor moveWithCells="1" sizeWithCells="1">
                  <from>
                    <xdr:col>16</xdr:col>
                    <xdr:colOff>0</xdr:colOff>
                    <xdr:row>52</xdr:row>
                    <xdr:rowOff>0</xdr:rowOff>
                  </from>
                  <to>
                    <xdr:col>17</xdr:col>
                    <xdr:colOff>0</xdr:colOff>
                    <xdr:row>53</xdr:row>
                    <xdr:rowOff>0</xdr:rowOff>
                  </to>
                </anchor>
              </controlPr>
            </control>
          </mc:Choice>
        </mc:AlternateContent>
        <mc:AlternateContent xmlns:mc="http://schemas.openxmlformats.org/markup-compatibility/2006">
          <mc:Choice Requires="x14">
            <control shapeId="9553" r:id="rId38" name="Drop Down 337">
              <controlPr defaultSize="0" autoLine="0" autoPict="0">
                <anchor moveWithCells="1" sizeWithCells="1">
                  <from>
                    <xdr:col>16</xdr:col>
                    <xdr:colOff>0</xdr:colOff>
                    <xdr:row>53</xdr:row>
                    <xdr:rowOff>0</xdr:rowOff>
                  </from>
                  <to>
                    <xdr:col>17</xdr:col>
                    <xdr:colOff>0</xdr:colOff>
                    <xdr:row>54</xdr:row>
                    <xdr:rowOff>0</xdr:rowOff>
                  </to>
                </anchor>
              </controlPr>
            </control>
          </mc:Choice>
        </mc:AlternateContent>
        <mc:AlternateContent xmlns:mc="http://schemas.openxmlformats.org/markup-compatibility/2006">
          <mc:Choice Requires="x14">
            <control shapeId="9554" r:id="rId39" name="Drop Down 338">
              <controlPr defaultSize="0" autoLine="0" autoPict="0">
                <anchor moveWithCells="1" sizeWithCells="1">
                  <from>
                    <xdr:col>16</xdr:col>
                    <xdr:colOff>0</xdr:colOff>
                    <xdr:row>54</xdr:row>
                    <xdr:rowOff>0</xdr:rowOff>
                  </from>
                  <to>
                    <xdr:col>17</xdr:col>
                    <xdr:colOff>0</xdr:colOff>
                    <xdr:row>55</xdr:row>
                    <xdr:rowOff>0</xdr:rowOff>
                  </to>
                </anchor>
              </controlPr>
            </control>
          </mc:Choice>
        </mc:AlternateContent>
        <mc:AlternateContent xmlns:mc="http://schemas.openxmlformats.org/markup-compatibility/2006">
          <mc:Choice Requires="x14">
            <control shapeId="9555" r:id="rId40" name="Drop Down 339">
              <controlPr defaultSize="0" autoLine="0" autoPict="0">
                <anchor moveWithCells="1" sizeWithCells="1">
                  <from>
                    <xdr:col>16</xdr:col>
                    <xdr:colOff>0</xdr:colOff>
                    <xdr:row>55</xdr:row>
                    <xdr:rowOff>0</xdr:rowOff>
                  </from>
                  <to>
                    <xdr:col>17</xdr:col>
                    <xdr:colOff>0</xdr:colOff>
                    <xdr:row>56</xdr:row>
                    <xdr:rowOff>0</xdr:rowOff>
                  </to>
                </anchor>
              </controlPr>
            </control>
          </mc:Choice>
        </mc:AlternateContent>
        <mc:AlternateContent xmlns:mc="http://schemas.openxmlformats.org/markup-compatibility/2006">
          <mc:Choice Requires="x14">
            <control shapeId="9556" r:id="rId41" name="Drop Down 340">
              <controlPr defaultSize="0" autoLine="0" autoPict="0">
                <anchor moveWithCells="1" sizeWithCells="1">
                  <from>
                    <xdr:col>16</xdr:col>
                    <xdr:colOff>0</xdr:colOff>
                    <xdr:row>56</xdr:row>
                    <xdr:rowOff>0</xdr:rowOff>
                  </from>
                  <to>
                    <xdr:col>17</xdr:col>
                    <xdr:colOff>0</xdr:colOff>
                    <xdr:row>57</xdr:row>
                    <xdr:rowOff>0</xdr:rowOff>
                  </to>
                </anchor>
              </controlPr>
            </control>
          </mc:Choice>
        </mc:AlternateContent>
        <mc:AlternateContent xmlns:mc="http://schemas.openxmlformats.org/markup-compatibility/2006">
          <mc:Choice Requires="x14">
            <control shapeId="9557" r:id="rId42" name="Drop Down 341">
              <controlPr defaultSize="0" autoLine="0" autoPict="0">
                <anchor moveWithCells="1" sizeWithCells="1">
                  <from>
                    <xdr:col>16</xdr:col>
                    <xdr:colOff>0</xdr:colOff>
                    <xdr:row>57</xdr:row>
                    <xdr:rowOff>0</xdr:rowOff>
                  </from>
                  <to>
                    <xdr:col>17</xdr:col>
                    <xdr:colOff>0</xdr:colOff>
                    <xdr:row>58</xdr:row>
                    <xdr:rowOff>0</xdr:rowOff>
                  </to>
                </anchor>
              </controlPr>
            </control>
          </mc:Choice>
        </mc:AlternateContent>
        <mc:AlternateContent xmlns:mc="http://schemas.openxmlformats.org/markup-compatibility/2006">
          <mc:Choice Requires="x14">
            <control shapeId="9558" r:id="rId43" name="Drop Down 342">
              <controlPr defaultSize="0" autoLine="0" autoPict="0">
                <anchor moveWithCells="1" sizeWithCells="1">
                  <from>
                    <xdr:col>16</xdr:col>
                    <xdr:colOff>0</xdr:colOff>
                    <xdr:row>58</xdr:row>
                    <xdr:rowOff>0</xdr:rowOff>
                  </from>
                  <to>
                    <xdr:col>17</xdr:col>
                    <xdr:colOff>0</xdr:colOff>
                    <xdr:row>59</xdr:row>
                    <xdr:rowOff>0</xdr:rowOff>
                  </to>
                </anchor>
              </controlPr>
            </control>
          </mc:Choice>
        </mc:AlternateContent>
        <mc:AlternateContent xmlns:mc="http://schemas.openxmlformats.org/markup-compatibility/2006">
          <mc:Choice Requires="x14">
            <control shapeId="9559" r:id="rId44" name="Drop Down 343">
              <controlPr defaultSize="0" autoLine="0" autoPict="0">
                <anchor moveWithCells="1" sizeWithCells="1">
                  <from>
                    <xdr:col>16</xdr:col>
                    <xdr:colOff>0</xdr:colOff>
                    <xdr:row>59</xdr:row>
                    <xdr:rowOff>0</xdr:rowOff>
                  </from>
                  <to>
                    <xdr:col>17</xdr:col>
                    <xdr:colOff>0</xdr:colOff>
                    <xdr:row>60</xdr:row>
                    <xdr:rowOff>0</xdr:rowOff>
                  </to>
                </anchor>
              </controlPr>
            </control>
          </mc:Choice>
        </mc:AlternateContent>
        <mc:AlternateContent xmlns:mc="http://schemas.openxmlformats.org/markup-compatibility/2006">
          <mc:Choice Requires="x14">
            <control shapeId="9560" r:id="rId45" name="Drop Down 344">
              <controlPr defaultSize="0" autoLine="0" autoPict="0">
                <anchor moveWithCells="1" sizeWithCells="1">
                  <from>
                    <xdr:col>16</xdr:col>
                    <xdr:colOff>0</xdr:colOff>
                    <xdr:row>60</xdr:row>
                    <xdr:rowOff>0</xdr:rowOff>
                  </from>
                  <to>
                    <xdr:col>17</xdr:col>
                    <xdr:colOff>0</xdr:colOff>
                    <xdr:row>61</xdr:row>
                    <xdr:rowOff>0</xdr:rowOff>
                  </to>
                </anchor>
              </controlPr>
            </control>
          </mc:Choice>
        </mc:AlternateContent>
        <mc:AlternateContent xmlns:mc="http://schemas.openxmlformats.org/markup-compatibility/2006">
          <mc:Choice Requires="x14">
            <control shapeId="9561" r:id="rId46" name="Drop Down 345">
              <controlPr defaultSize="0" autoLine="0" autoPict="0">
                <anchor moveWithCells="1" sizeWithCells="1">
                  <from>
                    <xdr:col>16</xdr:col>
                    <xdr:colOff>0</xdr:colOff>
                    <xdr:row>61</xdr:row>
                    <xdr:rowOff>0</xdr:rowOff>
                  </from>
                  <to>
                    <xdr:col>17</xdr:col>
                    <xdr:colOff>0</xdr:colOff>
                    <xdr:row>62</xdr:row>
                    <xdr:rowOff>0</xdr:rowOff>
                  </to>
                </anchor>
              </controlPr>
            </control>
          </mc:Choice>
        </mc:AlternateContent>
        <mc:AlternateContent xmlns:mc="http://schemas.openxmlformats.org/markup-compatibility/2006">
          <mc:Choice Requires="x14">
            <control shapeId="9563" r:id="rId47" name="Drop Down 347">
              <controlPr defaultSize="0" autoLine="0" autoPict="0">
                <anchor moveWithCells="1" sizeWithCells="1">
                  <from>
                    <xdr:col>16</xdr:col>
                    <xdr:colOff>0</xdr:colOff>
                    <xdr:row>65</xdr:row>
                    <xdr:rowOff>0</xdr:rowOff>
                  </from>
                  <to>
                    <xdr:col>17</xdr:col>
                    <xdr:colOff>0</xdr:colOff>
                    <xdr:row>66</xdr:row>
                    <xdr:rowOff>0</xdr:rowOff>
                  </to>
                </anchor>
              </controlPr>
            </control>
          </mc:Choice>
        </mc:AlternateContent>
        <mc:AlternateContent xmlns:mc="http://schemas.openxmlformats.org/markup-compatibility/2006">
          <mc:Choice Requires="x14">
            <control shapeId="9564" r:id="rId48" name="Drop Down 348">
              <controlPr defaultSize="0" autoLine="0" autoPict="0">
                <anchor moveWithCells="1" sizeWithCells="1">
                  <from>
                    <xdr:col>16</xdr:col>
                    <xdr:colOff>0</xdr:colOff>
                    <xdr:row>66</xdr:row>
                    <xdr:rowOff>0</xdr:rowOff>
                  </from>
                  <to>
                    <xdr:col>17</xdr:col>
                    <xdr:colOff>0</xdr:colOff>
                    <xdr:row>67</xdr:row>
                    <xdr:rowOff>0</xdr:rowOff>
                  </to>
                </anchor>
              </controlPr>
            </control>
          </mc:Choice>
        </mc:AlternateContent>
        <mc:AlternateContent xmlns:mc="http://schemas.openxmlformats.org/markup-compatibility/2006">
          <mc:Choice Requires="x14">
            <control shapeId="9565" r:id="rId49" name="Drop Down 349">
              <controlPr defaultSize="0" autoLine="0" autoPict="0">
                <anchor moveWithCells="1" sizeWithCells="1">
                  <from>
                    <xdr:col>16</xdr:col>
                    <xdr:colOff>0</xdr:colOff>
                    <xdr:row>67</xdr:row>
                    <xdr:rowOff>0</xdr:rowOff>
                  </from>
                  <to>
                    <xdr:col>17</xdr:col>
                    <xdr:colOff>0</xdr:colOff>
                    <xdr:row>68</xdr:row>
                    <xdr:rowOff>0</xdr:rowOff>
                  </to>
                </anchor>
              </controlPr>
            </control>
          </mc:Choice>
        </mc:AlternateContent>
        <mc:AlternateContent xmlns:mc="http://schemas.openxmlformats.org/markup-compatibility/2006">
          <mc:Choice Requires="x14">
            <control shapeId="9566" r:id="rId50" name="Drop Down 350">
              <controlPr defaultSize="0" autoLine="0" autoPict="0">
                <anchor moveWithCells="1" sizeWithCells="1">
                  <from>
                    <xdr:col>16</xdr:col>
                    <xdr:colOff>0</xdr:colOff>
                    <xdr:row>68</xdr:row>
                    <xdr:rowOff>0</xdr:rowOff>
                  </from>
                  <to>
                    <xdr:col>17</xdr:col>
                    <xdr:colOff>0</xdr:colOff>
                    <xdr:row>69</xdr:row>
                    <xdr:rowOff>0</xdr:rowOff>
                  </to>
                </anchor>
              </controlPr>
            </control>
          </mc:Choice>
        </mc:AlternateContent>
        <mc:AlternateContent xmlns:mc="http://schemas.openxmlformats.org/markup-compatibility/2006">
          <mc:Choice Requires="x14">
            <control shapeId="9567" r:id="rId51" name="Drop Down 351">
              <controlPr defaultSize="0" autoLine="0" autoPict="0">
                <anchor moveWithCells="1" sizeWithCells="1">
                  <from>
                    <xdr:col>16</xdr:col>
                    <xdr:colOff>0</xdr:colOff>
                    <xdr:row>69</xdr:row>
                    <xdr:rowOff>0</xdr:rowOff>
                  </from>
                  <to>
                    <xdr:col>17</xdr:col>
                    <xdr:colOff>0</xdr:colOff>
                    <xdr:row>70</xdr:row>
                    <xdr:rowOff>0</xdr:rowOff>
                  </to>
                </anchor>
              </controlPr>
            </control>
          </mc:Choice>
        </mc:AlternateContent>
        <mc:AlternateContent xmlns:mc="http://schemas.openxmlformats.org/markup-compatibility/2006">
          <mc:Choice Requires="x14">
            <control shapeId="9568" r:id="rId52" name="Drop Down 352">
              <controlPr defaultSize="0" autoLine="0" autoPict="0">
                <anchor moveWithCells="1" sizeWithCells="1">
                  <from>
                    <xdr:col>16</xdr:col>
                    <xdr:colOff>0</xdr:colOff>
                    <xdr:row>70</xdr:row>
                    <xdr:rowOff>0</xdr:rowOff>
                  </from>
                  <to>
                    <xdr:col>17</xdr:col>
                    <xdr:colOff>0</xdr:colOff>
                    <xdr:row>71</xdr:row>
                    <xdr:rowOff>0</xdr:rowOff>
                  </to>
                </anchor>
              </controlPr>
            </control>
          </mc:Choice>
        </mc:AlternateContent>
        <mc:AlternateContent xmlns:mc="http://schemas.openxmlformats.org/markup-compatibility/2006">
          <mc:Choice Requires="x14">
            <control shapeId="9569" r:id="rId53" name="Drop Down 353">
              <controlPr defaultSize="0" autoLine="0" autoPict="0">
                <anchor moveWithCells="1" sizeWithCells="1">
                  <from>
                    <xdr:col>16</xdr:col>
                    <xdr:colOff>0</xdr:colOff>
                    <xdr:row>71</xdr:row>
                    <xdr:rowOff>0</xdr:rowOff>
                  </from>
                  <to>
                    <xdr:col>17</xdr:col>
                    <xdr:colOff>0</xdr:colOff>
                    <xdr:row>72</xdr:row>
                    <xdr:rowOff>0</xdr:rowOff>
                  </to>
                </anchor>
              </controlPr>
            </control>
          </mc:Choice>
        </mc:AlternateContent>
        <mc:AlternateContent xmlns:mc="http://schemas.openxmlformats.org/markup-compatibility/2006">
          <mc:Choice Requires="x14">
            <control shapeId="9570" r:id="rId54" name="Drop Down 354">
              <controlPr defaultSize="0" autoLine="0" autoPict="0">
                <anchor moveWithCells="1" sizeWithCells="1">
                  <from>
                    <xdr:col>16</xdr:col>
                    <xdr:colOff>0</xdr:colOff>
                    <xdr:row>72</xdr:row>
                    <xdr:rowOff>0</xdr:rowOff>
                  </from>
                  <to>
                    <xdr:col>17</xdr:col>
                    <xdr:colOff>0</xdr:colOff>
                    <xdr:row>73</xdr:row>
                    <xdr:rowOff>0</xdr:rowOff>
                  </to>
                </anchor>
              </controlPr>
            </control>
          </mc:Choice>
        </mc:AlternateContent>
        <mc:AlternateContent xmlns:mc="http://schemas.openxmlformats.org/markup-compatibility/2006">
          <mc:Choice Requires="x14">
            <control shapeId="9571" r:id="rId55" name="Drop Down 355">
              <controlPr defaultSize="0" autoLine="0" autoPict="0">
                <anchor moveWithCells="1" sizeWithCells="1">
                  <from>
                    <xdr:col>16</xdr:col>
                    <xdr:colOff>0</xdr:colOff>
                    <xdr:row>73</xdr:row>
                    <xdr:rowOff>0</xdr:rowOff>
                  </from>
                  <to>
                    <xdr:col>17</xdr:col>
                    <xdr:colOff>0</xdr:colOff>
                    <xdr:row>74</xdr:row>
                    <xdr:rowOff>0</xdr:rowOff>
                  </to>
                </anchor>
              </controlPr>
            </control>
          </mc:Choice>
        </mc:AlternateContent>
        <mc:AlternateContent xmlns:mc="http://schemas.openxmlformats.org/markup-compatibility/2006">
          <mc:Choice Requires="x14">
            <control shapeId="9572" r:id="rId56" name="Drop Down 356">
              <controlPr defaultSize="0" autoLine="0" autoPict="0">
                <anchor moveWithCells="1" sizeWithCells="1">
                  <from>
                    <xdr:col>16</xdr:col>
                    <xdr:colOff>0</xdr:colOff>
                    <xdr:row>74</xdr:row>
                    <xdr:rowOff>0</xdr:rowOff>
                  </from>
                  <to>
                    <xdr:col>17</xdr:col>
                    <xdr:colOff>0</xdr:colOff>
                    <xdr:row>75</xdr:row>
                    <xdr:rowOff>0</xdr:rowOff>
                  </to>
                </anchor>
              </controlPr>
            </control>
          </mc:Choice>
        </mc:AlternateContent>
        <mc:AlternateContent xmlns:mc="http://schemas.openxmlformats.org/markup-compatibility/2006">
          <mc:Choice Requires="x14">
            <control shapeId="9573" r:id="rId57" name="Drop Down 357">
              <controlPr defaultSize="0" autoLine="0" autoPict="0">
                <anchor moveWithCells="1" sizeWithCells="1">
                  <from>
                    <xdr:col>16</xdr:col>
                    <xdr:colOff>0</xdr:colOff>
                    <xdr:row>75</xdr:row>
                    <xdr:rowOff>0</xdr:rowOff>
                  </from>
                  <to>
                    <xdr:col>17</xdr:col>
                    <xdr:colOff>0</xdr:colOff>
                    <xdr:row>76</xdr:row>
                    <xdr:rowOff>0</xdr:rowOff>
                  </to>
                </anchor>
              </controlPr>
            </control>
          </mc:Choice>
        </mc:AlternateContent>
        <mc:AlternateContent xmlns:mc="http://schemas.openxmlformats.org/markup-compatibility/2006">
          <mc:Choice Requires="x14">
            <control shapeId="9574" r:id="rId58" name="Drop Down 358">
              <controlPr defaultSize="0" autoLine="0" autoPict="0">
                <anchor moveWithCells="1" sizeWithCells="1">
                  <from>
                    <xdr:col>16</xdr:col>
                    <xdr:colOff>0</xdr:colOff>
                    <xdr:row>76</xdr:row>
                    <xdr:rowOff>0</xdr:rowOff>
                  </from>
                  <to>
                    <xdr:col>17</xdr:col>
                    <xdr:colOff>0</xdr:colOff>
                    <xdr:row>77</xdr:row>
                    <xdr:rowOff>0</xdr:rowOff>
                  </to>
                </anchor>
              </controlPr>
            </control>
          </mc:Choice>
        </mc:AlternateContent>
        <mc:AlternateContent xmlns:mc="http://schemas.openxmlformats.org/markup-compatibility/2006">
          <mc:Choice Requires="x14">
            <control shapeId="9575" r:id="rId59" name="Drop Down 359">
              <controlPr defaultSize="0" autoLine="0" autoPict="0">
                <anchor moveWithCells="1" sizeWithCells="1">
                  <from>
                    <xdr:col>16</xdr:col>
                    <xdr:colOff>0</xdr:colOff>
                    <xdr:row>77</xdr:row>
                    <xdr:rowOff>0</xdr:rowOff>
                  </from>
                  <to>
                    <xdr:col>17</xdr:col>
                    <xdr:colOff>0</xdr:colOff>
                    <xdr:row>78</xdr:row>
                    <xdr:rowOff>0</xdr:rowOff>
                  </to>
                </anchor>
              </controlPr>
            </control>
          </mc:Choice>
        </mc:AlternateContent>
        <mc:AlternateContent xmlns:mc="http://schemas.openxmlformats.org/markup-compatibility/2006">
          <mc:Choice Requires="x14">
            <control shapeId="9576" r:id="rId60" name="Drop Down 360">
              <controlPr defaultSize="0" autoLine="0" autoPict="0">
                <anchor moveWithCells="1" sizeWithCells="1">
                  <from>
                    <xdr:col>16</xdr:col>
                    <xdr:colOff>0</xdr:colOff>
                    <xdr:row>78</xdr:row>
                    <xdr:rowOff>0</xdr:rowOff>
                  </from>
                  <to>
                    <xdr:col>17</xdr:col>
                    <xdr:colOff>0</xdr:colOff>
                    <xdr:row>79</xdr:row>
                    <xdr:rowOff>0</xdr:rowOff>
                  </to>
                </anchor>
              </controlPr>
            </control>
          </mc:Choice>
        </mc:AlternateContent>
        <mc:AlternateContent xmlns:mc="http://schemas.openxmlformats.org/markup-compatibility/2006">
          <mc:Choice Requires="x14">
            <control shapeId="9577" r:id="rId61" name="Drop Down 361">
              <controlPr defaultSize="0" autoLine="0" autoPict="0">
                <anchor moveWithCells="1" sizeWithCells="1">
                  <from>
                    <xdr:col>16</xdr:col>
                    <xdr:colOff>0</xdr:colOff>
                    <xdr:row>79</xdr:row>
                    <xdr:rowOff>0</xdr:rowOff>
                  </from>
                  <to>
                    <xdr:col>17</xdr:col>
                    <xdr:colOff>0</xdr:colOff>
                    <xdr:row>80</xdr:row>
                    <xdr:rowOff>0</xdr:rowOff>
                  </to>
                </anchor>
              </controlPr>
            </control>
          </mc:Choice>
        </mc:AlternateContent>
        <mc:AlternateContent xmlns:mc="http://schemas.openxmlformats.org/markup-compatibility/2006">
          <mc:Choice Requires="x14">
            <control shapeId="9578" r:id="rId62" name="Drop Down 362">
              <controlPr defaultSize="0" autoLine="0" autoPict="0">
                <anchor moveWithCells="1">
                  <from>
                    <xdr:col>16</xdr:col>
                    <xdr:colOff>0</xdr:colOff>
                    <xdr:row>80</xdr:row>
                    <xdr:rowOff>0</xdr:rowOff>
                  </from>
                  <to>
                    <xdr:col>17</xdr:col>
                    <xdr:colOff>0</xdr:colOff>
                    <xdr:row>81</xdr:row>
                    <xdr:rowOff>0</xdr:rowOff>
                  </to>
                </anchor>
              </controlPr>
            </control>
          </mc:Choice>
        </mc:AlternateContent>
        <mc:AlternateContent xmlns:mc="http://schemas.openxmlformats.org/markup-compatibility/2006">
          <mc:Choice Requires="x14">
            <control shapeId="9579" r:id="rId63" name="Drop Down 363">
              <controlPr defaultSize="0" autoLine="0" autoPict="0">
                <anchor moveWithCells="1">
                  <from>
                    <xdr:col>16</xdr:col>
                    <xdr:colOff>0</xdr:colOff>
                    <xdr:row>81</xdr:row>
                    <xdr:rowOff>0</xdr:rowOff>
                  </from>
                  <to>
                    <xdr:col>17</xdr:col>
                    <xdr:colOff>0</xdr:colOff>
                    <xdr:row>82</xdr:row>
                    <xdr:rowOff>0</xdr:rowOff>
                  </to>
                </anchor>
              </controlPr>
            </control>
          </mc:Choice>
        </mc:AlternateContent>
        <mc:AlternateContent xmlns:mc="http://schemas.openxmlformats.org/markup-compatibility/2006">
          <mc:Choice Requires="x14">
            <control shapeId="9580" r:id="rId64" name="Drop Down 364">
              <controlPr defaultSize="0" autoLine="0" autoPict="0">
                <anchor moveWithCells="1" sizeWithCells="1">
                  <from>
                    <xdr:col>16</xdr:col>
                    <xdr:colOff>0</xdr:colOff>
                    <xdr:row>91</xdr:row>
                    <xdr:rowOff>0</xdr:rowOff>
                  </from>
                  <to>
                    <xdr:col>17</xdr:col>
                    <xdr:colOff>0</xdr:colOff>
                    <xdr:row>92</xdr:row>
                    <xdr:rowOff>0</xdr:rowOff>
                  </to>
                </anchor>
              </controlPr>
            </control>
          </mc:Choice>
        </mc:AlternateContent>
        <mc:AlternateContent xmlns:mc="http://schemas.openxmlformats.org/markup-compatibility/2006">
          <mc:Choice Requires="x14">
            <control shapeId="9581" r:id="rId65" name="Drop Down 365">
              <controlPr defaultSize="0" autoLine="0" autoPict="0">
                <anchor moveWithCells="1" sizeWithCells="1">
                  <from>
                    <xdr:col>16</xdr:col>
                    <xdr:colOff>0</xdr:colOff>
                    <xdr:row>92</xdr:row>
                    <xdr:rowOff>0</xdr:rowOff>
                  </from>
                  <to>
                    <xdr:col>17</xdr:col>
                    <xdr:colOff>0</xdr:colOff>
                    <xdr:row>93</xdr:row>
                    <xdr:rowOff>0</xdr:rowOff>
                  </to>
                </anchor>
              </controlPr>
            </control>
          </mc:Choice>
        </mc:AlternateContent>
        <mc:AlternateContent xmlns:mc="http://schemas.openxmlformats.org/markup-compatibility/2006">
          <mc:Choice Requires="x14">
            <control shapeId="9582" r:id="rId66" name="Drop Down 366">
              <controlPr defaultSize="0" autoLine="0" autoPict="0">
                <anchor moveWithCells="1" sizeWithCells="1">
                  <from>
                    <xdr:col>16</xdr:col>
                    <xdr:colOff>0</xdr:colOff>
                    <xdr:row>93</xdr:row>
                    <xdr:rowOff>0</xdr:rowOff>
                  </from>
                  <to>
                    <xdr:col>17</xdr:col>
                    <xdr:colOff>0</xdr:colOff>
                    <xdr:row>94</xdr:row>
                    <xdr:rowOff>0</xdr:rowOff>
                  </to>
                </anchor>
              </controlPr>
            </control>
          </mc:Choice>
        </mc:AlternateContent>
        <mc:AlternateContent xmlns:mc="http://schemas.openxmlformats.org/markup-compatibility/2006">
          <mc:Choice Requires="x14">
            <control shapeId="9583" r:id="rId67" name="Drop Down 367">
              <controlPr defaultSize="0" autoLine="0" autoPict="0">
                <anchor moveWithCells="1" sizeWithCells="1">
                  <from>
                    <xdr:col>16</xdr:col>
                    <xdr:colOff>0</xdr:colOff>
                    <xdr:row>94</xdr:row>
                    <xdr:rowOff>0</xdr:rowOff>
                  </from>
                  <to>
                    <xdr:col>17</xdr:col>
                    <xdr:colOff>0</xdr:colOff>
                    <xdr:row>95</xdr:row>
                    <xdr:rowOff>0</xdr:rowOff>
                  </to>
                </anchor>
              </controlPr>
            </control>
          </mc:Choice>
        </mc:AlternateContent>
        <mc:AlternateContent xmlns:mc="http://schemas.openxmlformats.org/markup-compatibility/2006">
          <mc:Choice Requires="x14">
            <control shapeId="9584" r:id="rId68" name="Drop Down 368">
              <controlPr defaultSize="0" autoLine="0" autoPict="0">
                <anchor moveWithCells="1" sizeWithCells="1">
                  <from>
                    <xdr:col>16</xdr:col>
                    <xdr:colOff>0</xdr:colOff>
                    <xdr:row>95</xdr:row>
                    <xdr:rowOff>0</xdr:rowOff>
                  </from>
                  <to>
                    <xdr:col>17</xdr:col>
                    <xdr:colOff>0</xdr:colOff>
                    <xdr:row>96</xdr:row>
                    <xdr:rowOff>0</xdr:rowOff>
                  </to>
                </anchor>
              </controlPr>
            </control>
          </mc:Choice>
        </mc:AlternateContent>
        <mc:AlternateContent xmlns:mc="http://schemas.openxmlformats.org/markup-compatibility/2006">
          <mc:Choice Requires="x14">
            <control shapeId="9585" r:id="rId69" name="Drop Down 369">
              <controlPr defaultSize="0" autoLine="0" autoPict="0">
                <anchor moveWithCells="1" sizeWithCells="1">
                  <from>
                    <xdr:col>16</xdr:col>
                    <xdr:colOff>0</xdr:colOff>
                    <xdr:row>96</xdr:row>
                    <xdr:rowOff>0</xdr:rowOff>
                  </from>
                  <to>
                    <xdr:col>17</xdr:col>
                    <xdr:colOff>0</xdr:colOff>
                    <xdr:row>97</xdr:row>
                    <xdr:rowOff>0</xdr:rowOff>
                  </to>
                </anchor>
              </controlPr>
            </control>
          </mc:Choice>
        </mc:AlternateContent>
        <mc:AlternateContent xmlns:mc="http://schemas.openxmlformats.org/markup-compatibility/2006">
          <mc:Choice Requires="x14">
            <control shapeId="9586" r:id="rId70" name="Drop Down 370">
              <controlPr defaultSize="0" autoLine="0" autoPict="0">
                <anchor moveWithCells="1" sizeWithCells="1">
                  <from>
                    <xdr:col>16</xdr:col>
                    <xdr:colOff>0</xdr:colOff>
                    <xdr:row>97</xdr:row>
                    <xdr:rowOff>0</xdr:rowOff>
                  </from>
                  <to>
                    <xdr:col>17</xdr:col>
                    <xdr:colOff>0</xdr:colOff>
                    <xdr:row>98</xdr:row>
                    <xdr:rowOff>0</xdr:rowOff>
                  </to>
                </anchor>
              </controlPr>
            </control>
          </mc:Choice>
        </mc:AlternateContent>
        <mc:AlternateContent xmlns:mc="http://schemas.openxmlformats.org/markup-compatibility/2006">
          <mc:Choice Requires="x14">
            <control shapeId="9587" r:id="rId71" name="Drop Down 371">
              <controlPr defaultSize="0" autoLine="0" autoPict="0">
                <anchor moveWithCells="1" sizeWithCells="1">
                  <from>
                    <xdr:col>16</xdr:col>
                    <xdr:colOff>0</xdr:colOff>
                    <xdr:row>98</xdr:row>
                    <xdr:rowOff>0</xdr:rowOff>
                  </from>
                  <to>
                    <xdr:col>17</xdr:col>
                    <xdr:colOff>0</xdr:colOff>
                    <xdr:row>99</xdr:row>
                    <xdr:rowOff>0</xdr:rowOff>
                  </to>
                </anchor>
              </controlPr>
            </control>
          </mc:Choice>
        </mc:AlternateContent>
        <mc:AlternateContent xmlns:mc="http://schemas.openxmlformats.org/markup-compatibility/2006">
          <mc:Choice Requires="x14">
            <control shapeId="9588" r:id="rId72" name="Drop Down 372">
              <controlPr defaultSize="0" autoLine="0" autoPict="0">
                <anchor moveWithCells="1" sizeWithCells="1">
                  <from>
                    <xdr:col>16</xdr:col>
                    <xdr:colOff>0</xdr:colOff>
                    <xdr:row>99</xdr:row>
                    <xdr:rowOff>0</xdr:rowOff>
                  </from>
                  <to>
                    <xdr:col>17</xdr:col>
                    <xdr:colOff>0</xdr:colOff>
                    <xdr:row>100</xdr:row>
                    <xdr:rowOff>0</xdr:rowOff>
                  </to>
                </anchor>
              </controlPr>
            </control>
          </mc:Choice>
        </mc:AlternateContent>
        <mc:AlternateContent xmlns:mc="http://schemas.openxmlformats.org/markup-compatibility/2006">
          <mc:Choice Requires="x14">
            <control shapeId="9589" r:id="rId73" name="Drop Down 373">
              <controlPr defaultSize="0" autoLine="0" autoPict="0">
                <anchor moveWithCells="1" sizeWithCells="1">
                  <from>
                    <xdr:col>16</xdr:col>
                    <xdr:colOff>0</xdr:colOff>
                    <xdr:row>100</xdr:row>
                    <xdr:rowOff>0</xdr:rowOff>
                  </from>
                  <to>
                    <xdr:col>17</xdr:col>
                    <xdr:colOff>0</xdr:colOff>
                    <xdr:row>101</xdr:row>
                    <xdr:rowOff>0</xdr:rowOff>
                  </to>
                </anchor>
              </controlPr>
            </control>
          </mc:Choice>
        </mc:AlternateContent>
        <mc:AlternateContent xmlns:mc="http://schemas.openxmlformats.org/markup-compatibility/2006">
          <mc:Choice Requires="x14">
            <control shapeId="9590" r:id="rId74" name="Drop Down 374">
              <controlPr defaultSize="0" autoLine="0" autoPict="0">
                <anchor moveWithCells="1" sizeWithCells="1">
                  <from>
                    <xdr:col>16</xdr:col>
                    <xdr:colOff>0</xdr:colOff>
                    <xdr:row>101</xdr:row>
                    <xdr:rowOff>0</xdr:rowOff>
                  </from>
                  <to>
                    <xdr:col>17</xdr:col>
                    <xdr:colOff>0</xdr:colOff>
                    <xdr:row>102</xdr:row>
                    <xdr:rowOff>0</xdr:rowOff>
                  </to>
                </anchor>
              </controlPr>
            </control>
          </mc:Choice>
        </mc:AlternateContent>
        <mc:AlternateContent xmlns:mc="http://schemas.openxmlformats.org/markup-compatibility/2006">
          <mc:Choice Requires="x14">
            <control shapeId="9591" r:id="rId75" name="Drop Down 375">
              <controlPr defaultSize="0" autoLine="0" autoPict="0">
                <anchor moveWithCells="1" sizeWithCells="1">
                  <from>
                    <xdr:col>16</xdr:col>
                    <xdr:colOff>0</xdr:colOff>
                    <xdr:row>102</xdr:row>
                    <xdr:rowOff>0</xdr:rowOff>
                  </from>
                  <to>
                    <xdr:col>17</xdr:col>
                    <xdr:colOff>0</xdr:colOff>
                    <xdr:row>103</xdr:row>
                    <xdr:rowOff>0</xdr:rowOff>
                  </to>
                </anchor>
              </controlPr>
            </control>
          </mc:Choice>
        </mc:AlternateContent>
        <mc:AlternateContent xmlns:mc="http://schemas.openxmlformats.org/markup-compatibility/2006">
          <mc:Choice Requires="x14">
            <control shapeId="9593" r:id="rId76" name="Drop Down 377">
              <controlPr defaultSize="0" autoLine="0" autoPict="0">
                <anchor moveWithCells="1" sizeWithCells="1">
                  <from>
                    <xdr:col>16</xdr:col>
                    <xdr:colOff>0</xdr:colOff>
                    <xdr:row>107</xdr:row>
                    <xdr:rowOff>0</xdr:rowOff>
                  </from>
                  <to>
                    <xdr:col>17</xdr:col>
                    <xdr:colOff>0</xdr:colOff>
                    <xdr:row>108</xdr:row>
                    <xdr:rowOff>0</xdr:rowOff>
                  </to>
                </anchor>
              </controlPr>
            </control>
          </mc:Choice>
        </mc:AlternateContent>
        <mc:AlternateContent xmlns:mc="http://schemas.openxmlformats.org/markup-compatibility/2006">
          <mc:Choice Requires="x14">
            <control shapeId="9594" r:id="rId77" name="Drop Down 378">
              <controlPr defaultSize="0" autoLine="0" autoPict="0">
                <anchor moveWithCells="1" sizeWithCells="1">
                  <from>
                    <xdr:col>16</xdr:col>
                    <xdr:colOff>0</xdr:colOff>
                    <xdr:row>107</xdr:row>
                    <xdr:rowOff>0</xdr:rowOff>
                  </from>
                  <to>
                    <xdr:col>17</xdr:col>
                    <xdr:colOff>0</xdr:colOff>
                    <xdr:row>108</xdr:row>
                    <xdr:rowOff>0</xdr:rowOff>
                  </to>
                </anchor>
              </controlPr>
            </control>
          </mc:Choice>
        </mc:AlternateContent>
        <mc:AlternateContent xmlns:mc="http://schemas.openxmlformats.org/markup-compatibility/2006">
          <mc:Choice Requires="x14">
            <control shapeId="9595" r:id="rId78" name="Drop Down 379">
              <controlPr defaultSize="0" autoLine="0" autoPict="0">
                <anchor moveWithCells="1" sizeWithCells="1">
                  <from>
                    <xdr:col>16</xdr:col>
                    <xdr:colOff>0</xdr:colOff>
                    <xdr:row>108</xdr:row>
                    <xdr:rowOff>0</xdr:rowOff>
                  </from>
                  <to>
                    <xdr:col>17</xdr:col>
                    <xdr:colOff>0</xdr:colOff>
                    <xdr:row>109</xdr:row>
                    <xdr:rowOff>0</xdr:rowOff>
                  </to>
                </anchor>
              </controlPr>
            </control>
          </mc:Choice>
        </mc:AlternateContent>
        <mc:AlternateContent xmlns:mc="http://schemas.openxmlformats.org/markup-compatibility/2006">
          <mc:Choice Requires="x14">
            <control shapeId="9596" r:id="rId79" name="Drop Down 380">
              <controlPr defaultSize="0" autoLine="0" autoPict="0">
                <anchor moveWithCells="1" sizeWithCells="1">
                  <from>
                    <xdr:col>16</xdr:col>
                    <xdr:colOff>0</xdr:colOff>
                    <xdr:row>109</xdr:row>
                    <xdr:rowOff>0</xdr:rowOff>
                  </from>
                  <to>
                    <xdr:col>17</xdr:col>
                    <xdr:colOff>0</xdr:colOff>
                    <xdr:row>110</xdr:row>
                    <xdr:rowOff>0</xdr:rowOff>
                  </to>
                </anchor>
              </controlPr>
            </control>
          </mc:Choice>
        </mc:AlternateContent>
        <mc:AlternateContent xmlns:mc="http://schemas.openxmlformats.org/markup-compatibility/2006">
          <mc:Choice Requires="x14">
            <control shapeId="9597" r:id="rId80" name="Drop Down 381">
              <controlPr defaultSize="0" autoLine="0" autoPict="0">
                <anchor moveWithCells="1" sizeWithCells="1">
                  <from>
                    <xdr:col>16</xdr:col>
                    <xdr:colOff>0</xdr:colOff>
                    <xdr:row>110</xdr:row>
                    <xdr:rowOff>0</xdr:rowOff>
                  </from>
                  <to>
                    <xdr:col>17</xdr:col>
                    <xdr:colOff>0</xdr:colOff>
                    <xdr:row>111</xdr:row>
                    <xdr:rowOff>0</xdr:rowOff>
                  </to>
                </anchor>
              </controlPr>
            </control>
          </mc:Choice>
        </mc:AlternateContent>
        <mc:AlternateContent xmlns:mc="http://schemas.openxmlformats.org/markup-compatibility/2006">
          <mc:Choice Requires="x14">
            <control shapeId="9598" r:id="rId81" name="Drop Down 382">
              <controlPr defaultSize="0" autoLine="0" autoPict="0">
                <anchor moveWithCells="1" sizeWithCells="1">
                  <from>
                    <xdr:col>16</xdr:col>
                    <xdr:colOff>0</xdr:colOff>
                    <xdr:row>111</xdr:row>
                    <xdr:rowOff>0</xdr:rowOff>
                  </from>
                  <to>
                    <xdr:col>17</xdr:col>
                    <xdr:colOff>0</xdr:colOff>
                    <xdr:row>112</xdr:row>
                    <xdr:rowOff>0</xdr:rowOff>
                  </to>
                </anchor>
              </controlPr>
            </control>
          </mc:Choice>
        </mc:AlternateContent>
        <mc:AlternateContent xmlns:mc="http://schemas.openxmlformats.org/markup-compatibility/2006">
          <mc:Choice Requires="x14">
            <control shapeId="9599" r:id="rId82" name="Drop Down 383">
              <controlPr defaultSize="0" autoLine="0" autoPict="0">
                <anchor moveWithCells="1" sizeWithCells="1">
                  <from>
                    <xdr:col>16</xdr:col>
                    <xdr:colOff>0</xdr:colOff>
                    <xdr:row>112</xdr:row>
                    <xdr:rowOff>0</xdr:rowOff>
                  </from>
                  <to>
                    <xdr:col>17</xdr:col>
                    <xdr:colOff>0</xdr:colOff>
                    <xdr:row>113</xdr:row>
                    <xdr:rowOff>0</xdr:rowOff>
                  </to>
                </anchor>
              </controlPr>
            </control>
          </mc:Choice>
        </mc:AlternateContent>
        <mc:AlternateContent xmlns:mc="http://schemas.openxmlformats.org/markup-compatibility/2006">
          <mc:Choice Requires="x14">
            <control shapeId="9600" r:id="rId83" name="Drop Down 384">
              <controlPr defaultSize="0" autoLine="0" autoPict="0">
                <anchor moveWithCells="1" sizeWithCells="1">
                  <from>
                    <xdr:col>16</xdr:col>
                    <xdr:colOff>0</xdr:colOff>
                    <xdr:row>113</xdr:row>
                    <xdr:rowOff>0</xdr:rowOff>
                  </from>
                  <to>
                    <xdr:col>17</xdr:col>
                    <xdr:colOff>0</xdr:colOff>
                    <xdr:row>114</xdr:row>
                    <xdr:rowOff>0</xdr:rowOff>
                  </to>
                </anchor>
              </controlPr>
            </control>
          </mc:Choice>
        </mc:AlternateContent>
        <mc:AlternateContent xmlns:mc="http://schemas.openxmlformats.org/markup-compatibility/2006">
          <mc:Choice Requires="x14">
            <control shapeId="9601" r:id="rId84" name="Drop Down 385">
              <controlPr defaultSize="0" autoLine="0" autoPict="0">
                <anchor moveWithCells="1" sizeWithCells="1">
                  <from>
                    <xdr:col>16</xdr:col>
                    <xdr:colOff>0</xdr:colOff>
                    <xdr:row>114</xdr:row>
                    <xdr:rowOff>0</xdr:rowOff>
                  </from>
                  <to>
                    <xdr:col>17</xdr:col>
                    <xdr:colOff>0</xdr:colOff>
                    <xdr:row>115</xdr:row>
                    <xdr:rowOff>0</xdr:rowOff>
                  </to>
                </anchor>
              </controlPr>
            </control>
          </mc:Choice>
        </mc:AlternateContent>
        <mc:AlternateContent xmlns:mc="http://schemas.openxmlformats.org/markup-compatibility/2006">
          <mc:Choice Requires="x14">
            <control shapeId="9602" r:id="rId85" name="Drop Down 386">
              <controlPr defaultSize="0" autoLine="0" autoPict="0">
                <anchor moveWithCells="1" sizeWithCells="1">
                  <from>
                    <xdr:col>16</xdr:col>
                    <xdr:colOff>0</xdr:colOff>
                    <xdr:row>115</xdr:row>
                    <xdr:rowOff>0</xdr:rowOff>
                  </from>
                  <to>
                    <xdr:col>17</xdr:col>
                    <xdr:colOff>0</xdr:colOff>
                    <xdr:row>116</xdr:row>
                    <xdr:rowOff>0</xdr:rowOff>
                  </to>
                </anchor>
              </controlPr>
            </control>
          </mc:Choice>
        </mc:AlternateContent>
        <mc:AlternateContent xmlns:mc="http://schemas.openxmlformats.org/markup-compatibility/2006">
          <mc:Choice Requires="x14">
            <control shapeId="9603" r:id="rId86" name="Drop Down 387">
              <controlPr defaultSize="0" autoLine="0" autoPict="0">
                <anchor moveWithCells="1" sizeWithCells="1">
                  <from>
                    <xdr:col>16</xdr:col>
                    <xdr:colOff>0</xdr:colOff>
                    <xdr:row>116</xdr:row>
                    <xdr:rowOff>0</xdr:rowOff>
                  </from>
                  <to>
                    <xdr:col>17</xdr:col>
                    <xdr:colOff>0</xdr:colOff>
                    <xdr:row>117</xdr:row>
                    <xdr:rowOff>0</xdr:rowOff>
                  </to>
                </anchor>
              </controlPr>
            </control>
          </mc:Choice>
        </mc:AlternateContent>
        <mc:AlternateContent xmlns:mc="http://schemas.openxmlformats.org/markup-compatibility/2006">
          <mc:Choice Requires="x14">
            <control shapeId="9604" r:id="rId87" name="Drop Down 388">
              <controlPr defaultSize="0" autoLine="0" autoPict="0">
                <anchor moveWithCells="1" sizeWithCells="1">
                  <from>
                    <xdr:col>16</xdr:col>
                    <xdr:colOff>0</xdr:colOff>
                    <xdr:row>117</xdr:row>
                    <xdr:rowOff>0</xdr:rowOff>
                  </from>
                  <to>
                    <xdr:col>17</xdr:col>
                    <xdr:colOff>0</xdr:colOff>
                    <xdr:row>118</xdr:row>
                    <xdr:rowOff>0</xdr:rowOff>
                  </to>
                </anchor>
              </controlPr>
            </control>
          </mc:Choice>
        </mc:AlternateContent>
        <mc:AlternateContent xmlns:mc="http://schemas.openxmlformats.org/markup-compatibility/2006">
          <mc:Choice Requires="x14">
            <control shapeId="9605" r:id="rId88" name="Drop Down 389">
              <controlPr defaultSize="0" autoLine="0" autoPict="0">
                <anchor moveWithCells="1" sizeWithCells="1">
                  <from>
                    <xdr:col>16</xdr:col>
                    <xdr:colOff>0</xdr:colOff>
                    <xdr:row>118</xdr:row>
                    <xdr:rowOff>0</xdr:rowOff>
                  </from>
                  <to>
                    <xdr:col>17</xdr:col>
                    <xdr:colOff>0</xdr:colOff>
                    <xdr:row>119</xdr:row>
                    <xdr:rowOff>0</xdr:rowOff>
                  </to>
                </anchor>
              </controlPr>
            </control>
          </mc:Choice>
        </mc:AlternateContent>
        <mc:AlternateContent xmlns:mc="http://schemas.openxmlformats.org/markup-compatibility/2006">
          <mc:Choice Requires="x14">
            <control shapeId="9606" r:id="rId89" name="Drop Down 390">
              <controlPr defaultSize="0" autoLine="0" autoPict="0">
                <anchor moveWithCells="1" sizeWithCells="1">
                  <from>
                    <xdr:col>16</xdr:col>
                    <xdr:colOff>0</xdr:colOff>
                    <xdr:row>119</xdr:row>
                    <xdr:rowOff>0</xdr:rowOff>
                  </from>
                  <to>
                    <xdr:col>17</xdr:col>
                    <xdr:colOff>0</xdr:colOff>
                    <xdr:row>120</xdr:row>
                    <xdr:rowOff>0</xdr:rowOff>
                  </to>
                </anchor>
              </controlPr>
            </control>
          </mc:Choice>
        </mc:AlternateContent>
        <mc:AlternateContent xmlns:mc="http://schemas.openxmlformats.org/markup-compatibility/2006">
          <mc:Choice Requires="x14">
            <control shapeId="9607" r:id="rId90" name="Drop Down 391">
              <controlPr defaultSize="0" autoLine="0" autoPict="0">
                <anchor moveWithCells="1" sizeWithCells="1">
                  <from>
                    <xdr:col>16</xdr:col>
                    <xdr:colOff>0</xdr:colOff>
                    <xdr:row>120</xdr:row>
                    <xdr:rowOff>0</xdr:rowOff>
                  </from>
                  <to>
                    <xdr:col>17</xdr:col>
                    <xdr:colOff>0</xdr:colOff>
                    <xdr:row>121</xdr:row>
                    <xdr:rowOff>0</xdr:rowOff>
                  </to>
                </anchor>
              </controlPr>
            </control>
          </mc:Choice>
        </mc:AlternateContent>
        <mc:AlternateContent xmlns:mc="http://schemas.openxmlformats.org/markup-compatibility/2006">
          <mc:Choice Requires="x14">
            <control shapeId="9608" r:id="rId91" name="Drop Down 392">
              <controlPr defaultSize="0" autoLine="0" autoPict="0">
                <anchor moveWithCells="1" sizeWithCells="1">
                  <from>
                    <xdr:col>16</xdr:col>
                    <xdr:colOff>0</xdr:colOff>
                    <xdr:row>121</xdr:row>
                    <xdr:rowOff>0</xdr:rowOff>
                  </from>
                  <to>
                    <xdr:col>17</xdr:col>
                    <xdr:colOff>0</xdr:colOff>
                    <xdr:row>122</xdr:row>
                    <xdr:rowOff>0</xdr:rowOff>
                  </to>
                </anchor>
              </controlPr>
            </control>
          </mc:Choice>
        </mc:AlternateContent>
        <mc:AlternateContent xmlns:mc="http://schemas.openxmlformats.org/markup-compatibility/2006">
          <mc:Choice Requires="x14">
            <control shapeId="9609" r:id="rId92" name="Drop Down 393">
              <controlPr defaultSize="0" autoLine="0" autoPict="0">
                <anchor moveWithCells="1" sizeWithCells="1">
                  <from>
                    <xdr:col>16</xdr:col>
                    <xdr:colOff>0</xdr:colOff>
                    <xdr:row>122</xdr:row>
                    <xdr:rowOff>0</xdr:rowOff>
                  </from>
                  <to>
                    <xdr:col>17</xdr:col>
                    <xdr:colOff>0</xdr:colOff>
                    <xdr:row>123</xdr:row>
                    <xdr:rowOff>0</xdr:rowOff>
                  </to>
                </anchor>
              </controlPr>
            </control>
          </mc:Choice>
        </mc:AlternateContent>
        <mc:AlternateContent xmlns:mc="http://schemas.openxmlformats.org/markup-compatibility/2006">
          <mc:Choice Requires="x14">
            <control shapeId="9610" r:id="rId93" name="Drop Down 394">
              <controlPr defaultSize="0" autoLine="0" autoPict="0">
                <anchor moveWithCells="1" sizeWithCells="1">
                  <from>
                    <xdr:col>16</xdr:col>
                    <xdr:colOff>0</xdr:colOff>
                    <xdr:row>123</xdr:row>
                    <xdr:rowOff>0</xdr:rowOff>
                  </from>
                  <to>
                    <xdr:col>17</xdr:col>
                    <xdr:colOff>0</xdr:colOff>
                    <xdr:row>124</xdr:row>
                    <xdr:rowOff>0</xdr:rowOff>
                  </to>
                </anchor>
              </controlPr>
            </control>
          </mc:Choice>
        </mc:AlternateContent>
        <mc:AlternateContent xmlns:mc="http://schemas.openxmlformats.org/markup-compatibility/2006">
          <mc:Choice Requires="x14">
            <control shapeId="9611" r:id="rId94" name="Drop Down 395">
              <controlPr defaultSize="0" autoLine="0" autoPict="0">
                <anchor moveWithCells="1" sizeWithCells="1">
                  <from>
                    <xdr:col>16</xdr:col>
                    <xdr:colOff>0</xdr:colOff>
                    <xdr:row>133</xdr:row>
                    <xdr:rowOff>0</xdr:rowOff>
                  </from>
                  <to>
                    <xdr:col>17</xdr:col>
                    <xdr:colOff>0</xdr:colOff>
                    <xdr:row>134</xdr:row>
                    <xdr:rowOff>0</xdr:rowOff>
                  </to>
                </anchor>
              </controlPr>
            </control>
          </mc:Choice>
        </mc:AlternateContent>
        <mc:AlternateContent xmlns:mc="http://schemas.openxmlformats.org/markup-compatibility/2006">
          <mc:Choice Requires="x14">
            <control shapeId="9612" r:id="rId95" name="Drop Down 396">
              <controlPr defaultSize="0" autoLine="0" autoPict="0">
                <anchor moveWithCells="1" sizeWithCells="1">
                  <from>
                    <xdr:col>16</xdr:col>
                    <xdr:colOff>0</xdr:colOff>
                    <xdr:row>134</xdr:row>
                    <xdr:rowOff>0</xdr:rowOff>
                  </from>
                  <to>
                    <xdr:col>17</xdr:col>
                    <xdr:colOff>0</xdr:colOff>
                    <xdr:row>135</xdr:row>
                    <xdr:rowOff>0</xdr:rowOff>
                  </to>
                </anchor>
              </controlPr>
            </control>
          </mc:Choice>
        </mc:AlternateContent>
        <mc:AlternateContent xmlns:mc="http://schemas.openxmlformats.org/markup-compatibility/2006">
          <mc:Choice Requires="x14">
            <control shapeId="9613" r:id="rId96" name="Drop Down 397">
              <controlPr defaultSize="0" autoLine="0" autoPict="0">
                <anchor moveWithCells="1" sizeWithCells="1">
                  <from>
                    <xdr:col>16</xdr:col>
                    <xdr:colOff>0</xdr:colOff>
                    <xdr:row>135</xdr:row>
                    <xdr:rowOff>0</xdr:rowOff>
                  </from>
                  <to>
                    <xdr:col>17</xdr:col>
                    <xdr:colOff>0</xdr:colOff>
                    <xdr:row>136</xdr:row>
                    <xdr:rowOff>0</xdr:rowOff>
                  </to>
                </anchor>
              </controlPr>
            </control>
          </mc:Choice>
        </mc:AlternateContent>
        <mc:AlternateContent xmlns:mc="http://schemas.openxmlformats.org/markup-compatibility/2006">
          <mc:Choice Requires="x14">
            <control shapeId="9614" r:id="rId97" name="Drop Down 398">
              <controlPr defaultSize="0" autoLine="0" autoPict="0">
                <anchor moveWithCells="1" sizeWithCells="1">
                  <from>
                    <xdr:col>16</xdr:col>
                    <xdr:colOff>0</xdr:colOff>
                    <xdr:row>136</xdr:row>
                    <xdr:rowOff>0</xdr:rowOff>
                  </from>
                  <to>
                    <xdr:col>17</xdr:col>
                    <xdr:colOff>0</xdr:colOff>
                    <xdr:row>137</xdr:row>
                    <xdr:rowOff>0</xdr:rowOff>
                  </to>
                </anchor>
              </controlPr>
            </control>
          </mc:Choice>
        </mc:AlternateContent>
        <mc:AlternateContent xmlns:mc="http://schemas.openxmlformats.org/markup-compatibility/2006">
          <mc:Choice Requires="x14">
            <control shapeId="9615" r:id="rId98" name="Drop Down 399">
              <controlPr defaultSize="0" autoLine="0" autoPict="0">
                <anchor moveWithCells="1" sizeWithCells="1">
                  <from>
                    <xdr:col>16</xdr:col>
                    <xdr:colOff>0</xdr:colOff>
                    <xdr:row>137</xdr:row>
                    <xdr:rowOff>0</xdr:rowOff>
                  </from>
                  <to>
                    <xdr:col>17</xdr:col>
                    <xdr:colOff>0</xdr:colOff>
                    <xdr:row>138</xdr:row>
                    <xdr:rowOff>0</xdr:rowOff>
                  </to>
                </anchor>
              </controlPr>
            </control>
          </mc:Choice>
        </mc:AlternateContent>
        <mc:AlternateContent xmlns:mc="http://schemas.openxmlformats.org/markup-compatibility/2006">
          <mc:Choice Requires="x14">
            <control shapeId="9616" r:id="rId99" name="Drop Down 400">
              <controlPr defaultSize="0" autoLine="0" autoPict="0">
                <anchor moveWithCells="1" sizeWithCells="1">
                  <from>
                    <xdr:col>16</xdr:col>
                    <xdr:colOff>0</xdr:colOff>
                    <xdr:row>138</xdr:row>
                    <xdr:rowOff>0</xdr:rowOff>
                  </from>
                  <to>
                    <xdr:col>17</xdr:col>
                    <xdr:colOff>0</xdr:colOff>
                    <xdr:row>139</xdr:row>
                    <xdr:rowOff>0</xdr:rowOff>
                  </to>
                </anchor>
              </controlPr>
            </control>
          </mc:Choice>
        </mc:AlternateContent>
        <mc:AlternateContent xmlns:mc="http://schemas.openxmlformats.org/markup-compatibility/2006">
          <mc:Choice Requires="x14">
            <control shapeId="9617" r:id="rId100" name="Drop Down 401">
              <controlPr defaultSize="0" autoLine="0" autoPict="0">
                <anchor moveWithCells="1" sizeWithCells="1">
                  <from>
                    <xdr:col>16</xdr:col>
                    <xdr:colOff>0</xdr:colOff>
                    <xdr:row>139</xdr:row>
                    <xdr:rowOff>0</xdr:rowOff>
                  </from>
                  <to>
                    <xdr:col>17</xdr:col>
                    <xdr:colOff>0</xdr:colOff>
                    <xdr:row>140</xdr:row>
                    <xdr:rowOff>0</xdr:rowOff>
                  </to>
                </anchor>
              </controlPr>
            </control>
          </mc:Choice>
        </mc:AlternateContent>
        <mc:AlternateContent xmlns:mc="http://schemas.openxmlformats.org/markup-compatibility/2006">
          <mc:Choice Requires="x14">
            <control shapeId="9618" r:id="rId101" name="Drop Down 402">
              <controlPr defaultSize="0" autoLine="0" autoPict="0">
                <anchor moveWithCells="1" sizeWithCells="1">
                  <from>
                    <xdr:col>16</xdr:col>
                    <xdr:colOff>0</xdr:colOff>
                    <xdr:row>140</xdr:row>
                    <xdr:rowOff>0</xdr:rowOff>
                  </from>
                  <to>
                    <xdr:col>17</xdr:col>
                    <xdr:colOff>0</xdr:colOff>
                    <xdr:row>141</xdr:row>
                    <xdr:rowOff>0</xdr:rowOff>
                  </to>
                </anchor>
              </controlPr>
            </control>
          </mc:Choice>
        </mc:AlternateContent>
        <mc:AlternateContent xmlns:mc="http://schemas.openxmlformats.org/markup-compatibility/2006">
          <mc:Choice Requires="x14">
            <control shapeId="9619" r:id="rId102" name="Drop Down 403">
              <controlPr defaultSize="0" autoLine="0" autoPict="0">
                <anchor moveWithCells="1" sizeWithCells="1">
                  <from>
                    <xdr:col>16</xdr:col>
                    <xdr:colOff>0</xdr:colOff>
                    <xdr:row>141</xdr:row>
                    <xdr:rowOff>0</xdr:rowOff>
                  </from>
                  <to>
                    <xdr:col>17</xdr:col>
                    <xdr:colOff>0</xdr:colOff>
                    <xdr:row>142</xdr:row>
                    <xdr:rowOff>0</xdr:rowOff>
                  </to>
                </anchor>
              </controlPr>
            </control>
          </mc:Choice>
        </mc:AlternateContent>
        <mc:AlternateContent xmlns:mc="http://schemas.openxmlformats.org/markup-compatibility/2006">
          <mc:Choice Requires="x14">
            <control shapeId="9620" r:id="rId103" name="Drop Down 404">
              <controlPr defaultSize="0" autoLine="0" autoPict="0">
                <anchor moveWithCells="1" sizeWithCells="1">
                  <from>
                    <xdr:col>16</xdr:col>
                    <xdr:colOff>0</xdr:colOff>
                    <xdr:row>142</xdr:row>
                    <xdr:rowOff>0</xdr:rowOff>
                  </from>
                  <to>
                    <xdr:col>17</xdr:col>
                    <xdr:colOff>0</xdr:colOff>
                    <xdr:row>143</xdr:row>
                    <xdr:rowOff>0</xdr:rowOff>
                  </to>
                </anchor>
              </controlPr>
            </control>
          </mc:Choice>
        </mc:AlternateContent>
        <mc:AlternateContent xmlns:mc="http://schemas.openxmlformats.org/markup-compatibility/2006">
          <mc:Choice Requires="x14">
            <control shapeId="9622" r:id="rId104" name="Drop Down 406">
              <controlPr defaultSize="0" autoLine="0" autoPict="0">
                <anchor moveWithCells="1" sizeWithCells="1">
                  <from>
                    <xdr:col>16</xdr:col>
                    <xdr:colOff>0</xdr:colOff>
                    <xdr:row>143</xdr:row>
                    <xdr:rowOff>0</xdr:rowOff>
                  </from>
                  <to>
                    <xdr:col>17</xdr:col>
                    <xdr:colOff>0</xdr:colOff>
                    <xdr:row>144</xdr:row>
                    <xdr:rowOff>0</xdr:rowOff>
                  </to>
                </anchor>
              </controlPr>
            </control>
          </mc:Choice>
        </mc:AlternateContent>
        <mc:AlternateContent xmlns:mc="http://schemas.openxmlformats.org/markup-compatibility/2006">
          <mc:Choice Requires="x14">
            <control shapeId="9623" r:id="rId105" name="Drop Down 407">
              <controlPr defaultSize="0" autoLine="0" autoPict="0">
                <anchor moveWithCells="1" sizeWithCells="1">
                  <from>
                    <xdr:col>16</xdr:col>
                    <xdr:colOff>0</xdr:colOff>
                    <xdr:row>144</xdr:row>
                    <xdr:rowOff>0</xdr:rowOff>
                  </from>
                  <to>
                    <xdr:col>17</xdr:col>
                    <xdr:colOff>0</xdr:colOff>
                    <xdr:row>145</xdr:row>
                    <xdr:rowOff>0</xdr:rowOff>
                  </to>
                </anchor>
              </controlPr>
            </control>
          </mc:Choice>
        </mc:AlternateContent>
        <mc:AlternateContent xmlns:mc="http://schemas.openxmlformats.org/markup-compatibility/2006">
          <mc:Choice Requires="x14">
            <control shapeId="9624" r:id="rId106" name="Drop Down 408">
              <controlPr defaultSize="0" autoLine="0" autoPict="0">
                <anchor moveWithCells="1" sizeWithCells="1">
                  <from>
                    <xdr:col>16</xdr:col>
                    <xdr:colOff>0</xdr:colOff>
                    <xdr:row>145</xdr:row>
                    <xdr:rowOff>0</xdr:rowOff>
                  </from>
                  <to>
                    <xdr:col>17</xdr:col>
                    <xdr:colOff>0</xdr:colOff>
                    <xdr:row>146</xdr:row>
                    <xdr:rowOff>0</xdr:rowOff>
                  </to>
                </anchor>
              </controlPr>
            </control>
          </mc:Choice>
        </mc:AlternateContent>
        <mc:AlternateContent xmlns:mc="http://schemas.openxmlformats.org/markup-compatibility/2006">
          <mc:Choice Requires="x14">
            <control shapeId="9625" r:id="rId107" name="Drop Down 409">
              <controlPr defaultSize="0" autoLine="0" autoPict="0">
                <anchor moveWithCells="1" sizeWithCells="1">
                  <from>
                    <xdr:col>16</xdr:col>
                    <xdr:colOff>0</xdr:colOff>
                    <xdr:row>149</xdr:row>
                    <xdr:rowOff>0</xdr:rowOff>
                  </from>
                  <to>
                    <xdr:col>17</xdr:col>
                    <xdr:colOff>0</xdr:colOff>
                    <xdr:row>150</xdr:row>
                    <xdr:rowOff>0</xdr:rowOff>
                  </to>
                </anchor>
              </controlPr>
            </control>
          </mc:Choice>
        </mc:AlternateContent>
        <mc:AlternateContent xmlns:mc="http://schemas.openxmlformats.org/markup-compatibility/2006">
          <mc:Choice Requires="x14">
            <control shapeId="9626" r:id="rId108" name="Drop Down 410">
              <controlPr defaultSize="0" autoLine="0" autoPict="0">
                <anchor moveWithCells="1" sizeWithCells="1">
                  <from>
                    <xdr:col>16</xdr:col>
                    <xdr:colOff>0</xdr:colOff>
                    <xdr:row>150</xdr:row>
                    <xdr:rowOff>0</xdr:rowOff>
                  </from>
                  <to>
                    <xdr:col>17</xdr:col>
                    <xdr:colOff>0</xdr:colOff>
                    <xdr:row>151</xdr:row>
                    <xdr:rowOff>0</xdr:rowOff>
                  </to>
                </anchor>
              </controlPr>
            </control>
          </mc:Choice>
        </mc:AlternateContent>
        <mc:AlternateContent xmlns:mc="http://schemas.openxmlformats.org/markup-compatibility/2006">
          <mc:Choice Requires="x14">
            <control shapeId="9627" r:id="rId109" name="Drop Down 411">
              <controlPr defaultSize="0" autoLine="0" autoPict="0">
                <anchor moveWithCells="1" sizeWithCells="1">
                  <from>
                    <xdr:col>16</xdr:col>
                    <xdr:colOff>0</xdr:colOff>
                    <xdr:row>151</xdr:row>
                    <xdr:rowOff>0</xdr:rowOff>
                  </from>
                  <to>
                    <xdr:col>17</xdr:col>
                    <xdr:colOff>0</xdr:colOff>
                    <xdr:row>152</xdr:row>
                    <xdr:rowOff>0</xdr:rowOff>
                  </to>
                </anchor>
              </controlPr>
            </control>
          </mc:Choice>
        </mc:AlternateContent>
        <mc:AlternateContent xmlns:mc="http://schemas.openxmlformats.org/markup-compatibility/2006">
          <mc:Choice Requires="x14">
            <control shapeId="9628" r:id="rId110" name="Drop Down 412">
              <controlPr defaultSize="0" autoLine="0" autoPict="0">
                <anchor moveWithCells="1" sizeWithCells="1">
                  <from>
                    <xdr:col>16</xdr:col>
                    <xdr:colOff>0</xdr:colOff>
                    <xdr:row>152</xdr:row>
                    <xdr:rowOff>0</xdr:rowOff>
                  </from>
                  <to>
                    <xdr:col>17</xdr:col>
                    <xdr:colOff>0</xdr:colOff>
                    <xdr:row>153</xdr:row>
                    <xdr:rowOff>0</xdr:rowOff>
                  </to>
                </anchor>
              </controlPr>
            </control>
          </mc:Choice>
        </mc:AlternateContent>
        <mc:AlternateContent xmlns:mc="http://schemas.openxmlformats.org/markup-compatibility/2006">
          <mc:Choice Requires="x14">
            <control shapeId="9629" r:id="rId111" name="Drop Down 413">
              <controlPr defaultSize="0" autoLine="0" autoPict="0">
                <anchor moveWithCells="1" sizeWithCells="1">
                  <from>
                    <xdr:col>16</xdr:col>
                    <xdr:colOff>0</xdr:colOff>
                    <xdr:row>153</xdr:row>
                    <xdr:rowOff>0</xdr:rowOff>
                  </from>
                  <to>
                    <xdr:col>17</xdr:col>
                    <xdr:colOff>0</xdr:colOff>
                    <xdr:row>154</xdr:row>
                    <xdr:rowOff>0</xdr:rowOff>
                  </to>
                </anchor>
              </controlPr>
            </control>
          </mc:Choice>
        </mc:AlternateContent>
        <mc:AlternateContent xmlns:mc="http://schemas.openxmlformats.org/markup-compatibility/2006">
          <mc:Choice Requires="x14">
            <control shapeId="9630" r:id="rId112" name="Drop Down 414">
              <controlPr defaultSize="0" autoLine="0" autoPict="0">
                <anchor moveWithCells="1" sizeWithCells="1">
                  <from>
                    <xdr:col>16</xdr:col>
                    <xdr:colOff>0</xdr:colOff>
                    <xdr:row>154</xdr:row>
                    <xdr:rowOff>0</xdr:rowOff>
                  </from>
                  <to>
                    <xdr:col>17</xdr:col>
                    <xdr:colOff>0</xdr:colOff>
                    <xdr:row>155</xdr:row>
                    <xdr:rowOff>0</xdr:rowOff>
                  </to>
                </anchor>
              </controlPr>
            </control>
          </mc:Choice>
        </mc:AlternateContent>
        <mc:AlternateContent xmlns:mc="http://schemas.openxmlformats.org/markup-compatibility/2006">
          <mc:Choice Requires="x14">
            <control shapeId="9631" r:id="rId113" name="Drop Down 415">
              <controlPr defaultSize="0" autoLine="0" autoPict="0">
                <anchor moveWithCells="1" sizeWithCells="1">
                  <from>
                    <xdr:col>16</xdr:col>
                    <xdr:colOff>0</xdr:colOff>
                    <xdr:row>155</xdr:row>
                    <xdr:rowOff>0</xdr:rowOff>
                  </from>
                  <to>
                    <xdr:col>17</xdr:col>
                    <xdr:colOff>0</xdr:colOff>
                    <xdr:row>156</xdr:row>
                    <xdr:rowOff>0</xdr:rowOff>
                  </to>
                </anchor>
              </controlPr>
            </control>
          </mc:Choice>
        </mc:AlternateContent>
        <mc:AlternateContent xmlns:mc="http://schemas.openxmlformats.org/markup-compatibility/2006">
          <mc:Choice Requires="x14">
            <control shapeId="9632" r:id="rId114" name="Drop Down 416">
              <controlPr defaultSize="0" autoLine="0" autoPict="0">
                <anchor moveWithCells="1" sizeWithCells="1">
                  <from>
                    <xdr:col>16</xdr:col>
                    <xdr:colOff>0</xdr:colOff>
                    <xdr:row>156</xdr:row>
                    <xdr:rowOff>0</xdr:rowOff>
                  </from>
                  <to>
                    <xdr:col>17</xdr:col>
                    <xdr:colOff>0</xdr:colOff>
                    <xdr:row>157</xdr:row>
                    <xdr:rowOff>0</xdr:rowOff>
                  </to>
                </anchor>
              </controlPr>
            </control>
          </mc:Choice>
        </mc:AlternateContent>
        <mc:AlternateContent xmlns:mc="http://schemas.openxmlformats.org/markup-compatibility/2006">
          <mc:Choice Requires="x14">
            <control shapeId="9633" r:id="rId115" name="Drop Down 417">
              <controlPr defaultSize="0" autoLine="0" autoPict="0">
                <anchor moveWithCells="1" sizeWithCells="1">
                  <from>
                    <xdr:col>16</xdr:col>
                    <xdr:colOff>0</xdr:colOff>
                    <xdr:row>157</xdr:row>
                    <xdr:rowOff>0</xdr:rowOff>
                  </from>
                  <to>
                    <xdr:col>17</xdr:col>
                    <xdr:colOff>0</xdr:colOff>
                    <xdr:row>158</xdr:row>
                    <xdr:rowOff>0</xdr:rowOff>
                  </to>
                </anchor>
              </controlPr>
            </control>
          </mc:Choice>
        </mc:AlternateContent>
        <mc:AlternateContent xmlns:mc="http://schemas.openxmlformats.org/markup-compatibility/2006">
          <mc:Choice Requires="x14">
            <control shapeId="9634" r:id="rId116" name="Drop Down 418">
              <controlPr defaultSize="0" autoLine="0" autoPict="0">
                <anchor moveWithCells="1" sizeWithCells="1">
                  <from>
                    <xdr:col>16</xdr:col>
                    <xdr:colOff>0</xdr:colOff>
                    <xdr:row>158</xdr:row>
                    <xdr:rowOff>0</xdr:rowOff>
                  </from>
                  <to>
                    <xdr:col>17</xdr:col>
                    <xdr:colOff>0</xdr:colOff>
                    <xdr:row>159</xdr:row>
                    <xdr:rowOff>0</xdr:rowOff>
                  </to>
                </anchor>
              </controlPr>
            </control>
          </mc:Choice>
        </mc:AlternateContent>
        <mc:AlternateContent xmlns:mc="http://schemas.openxmlformats.org/markup-compatibility/2006">
          <mc:Choice Requires="x14">
            <control shapeId="9635" r:id="rId117" name="Drop Down 419">
              <controlPr defaultSize="0" autoLine="0" autoPict="0">
                <anchor moveWithCells="1" sizeWithCells="1">
                  <from>
                    <xdr:col>16</xdr:col>
                    <xdr:colOff>0</xdr:colOff>
                    <xdr:row>159</xdr:row>
                    <xdr:rowOff>0</xdr:rowOff>
                  </from>
                  <to>
                    <xdr:col>17</xdr:col>
                    <xdr:colOff>0</xdr:colOff>
                    <xdr:row>160</xdr:row>
                    <xdr:rowOff>0</xdr:rowOff>
                  </to>
                </anchor>
              </controlPr>
            </control>
          </mc:Choice>
        </mc:AlternateContent>
        <mc:AlternateContent xmlns:mc="http://schemas.openxmlformats.org/markup-compatibility/2006">
          <mc:Choice Requires="x14">
            <control shapeId="9636" r:id="rId118" name="Drop Down 420">
              <controlPr defaultSize="0" autoLine="0" autoPict="0">
                <anchor moveWithCells="1" sizeWithCells="1">
                  <from>
                    <xdr:col>16</xdr:col>
                    <xdr:colOff>0</xdr:colOff>
                    <xdr:row>160</xdr:row>
                    <xdr:rowOff>0</xdr:rowOff>
                  </from>
                  <to>
                    <xdr:col>17</xdr:col>
                    <xdr:colOff>0</xdr:colOff>
                    <xdr:row>161</xdr:row>
                    <xdr:rowOff>0</xdr:rowOff>
                  </to>
                </anchor>
              </controlPr>
            </control>
          </mc:Choice>
        </mc:AlternateContent>
        <mc:AlternateContent xmlns:mc="http://schemas.openxmlformats.org/markup-compatibility/2006">
          <mc:Choice Requires="x14">
            <control shapeId="9637" r:id="rId119" name="Drop Down 421">
              <controlPr defaultSize="0" autoLine="0" autoPict="0">
                <anchor moveWithCells="1" sizeWithCells="1">
                  <from>
                    <xdr:col>16</xdr:col>
                    <xdr:colOff>0</xdr:colOff>
                    <xdr:row>161</xdr:row>
                    <xdr:rowOff>0</xdr:rowOff>
                  </from>
                  <to>
                    <xdr:col>17</xdr:col>
                    <xdr:colOff>0</xdr:colOff>
                    <xdr:row>162</xdr:row>
                    <xdr:rowOff>0</xdr:rowOff>
                  </to>
                </anchor>
              </controlPr>
            </control>
          </mc:Choice>
        </mc:AlternateContent>
        <mc:AlternateContent xmlns:mc="http://schemas.openxmlformats.org/markup-compatibility/2006">
          <mc:Choice Requires="x14">
            <control shapeId="9638" r:id="rId120" name="Drop Down 422">
              <controlPr defaultSize="0" autoLine="0" autoPict="0">
                <anchor moveWithCells="1" sizeWithCells="1">
                  <from>
                    <xdr:col>16</xdr:col>
                    <xdr:colOff>0</xdr:colOff>
                    <xdr:row>162</xdr:row>
                    <xdr:rowOff>0</xdr:rowOff>
                  </from>
                  <to>
                    <xdr:col>17</xdr:col>
                    <xdr:colOff>0</xdr:colOff>
                    <xdr:row>163</xdr:row>
                    <xdr:rowOff>0</xdr:rowOff>
                  </to>
                </anchor>
              </controlPr>
            </control>
          </mc:Choice>
        </mc:AlternateContent>
        <mc:AlternateContent xmlns:mc="http://schemas.openxmlformats.org/markup-compatibility/2006">
          <mc:Choice Requires="x14">
            <control shapeId="9639" r:id="rId121" name="Drop Down 423">
              <controlPr defaultSize="0" autoLine="0" autoPict="0">
                <anchor moveWithCells="1" sizeWithCells="1">
                  <from>
                    <xdr:col>16</xdr:col>
                    <xdr:colOff>0</xdr:colOff>
                    <xdr:row>163</xdr:row>
                    <xdr:rowOff>0</xdr:rowOff>
                  </from>
                  <to>
                    <xdr:col>17</xdr:col>
                    <xdr:colOff>0</xdr:colOff>
                    <xdr:row>164</xdr:row>
                    <xdr:rowOff>0</xdr:rowOff>
                  </to>
                </anchor>
              </controlPr>
            </control>
          </mc:Choice>
        </mc:AlternateContent>
        <mc:AlternateContent xmlns:mc="http://schemas.openxmlformats.org/markup-compatibility/2006">
          <mc:Choice Requires="x14">
            <control shapeId="9640" r:id="rId122" name="Drop Down 424">
              <controlPr defaultSize="0" autoLine="0" autoPict="0">
                <anchor moveWithCells="1" sizeWithCells="1">
                  <from>
                    <xdr:col>16</xdr:col>
                    <xdr:colOff>0</xdr:colOff>
                    <xdr:row>164</xdr:row>
                    <xdr:rowOff>0</xdr:rowOff>
                  </from>
                  <to>
                    <xdr:col>17</xdr:col>
                    <xdr:colOff>0</xdr:colOff>
                    <xdr:row>165</xdr:row>
                    <xdr:rowOff>0</xdr:rowOff>
                  </to>
                </anchor>
              </controlPr>
            </control>
          </mc:Choice>
        </mc:AlternateContent>
        <mc:AlternateContent xmlns:mc="http://schemas.openxmlformats.org/markup-compatibility/2006">
          <mc:Choice Requires="x14">
            <control shapeId="9641" r:id="rId123" name="Drop Down 425">
              <controlPr defaultSize="0" autoLine="0" autoPict="0">
                <anchor moveWithCells="1" sizeWithCells="1">
                  <from>
                    <xdr:col>16</xdr:col>
                    <xdr:colOff>0</xdr:colOff>
                    <xdr:row>165</xdr:row>
                    <xdr:rowOff>0</xdr:rowOff>
                  </from>
                  <to>
                    <xdr:col>17</xdr:col>
                    <xdr:colOff>0</xdr:colOff>
                    <xdr:row>166</xdr:row>
                    <xdr:rowOff>0</xdr:rowOff>
                  </to>
                </anchor>
              </controlPr>
            </control>
          </mc:Choice>
        </mc:AlternateContent>
        <mc:AlternateContent xmlns:mc="http://schemas.openxmlformats.org/markup-compatibility/2006">
          <mc:Choice Requires="x14">
            <control shapeId="9642" r:id="rId124" name="Drop Down 426">
              <controlPr defaultSize="0" autoLine="0" autoPict="0">
                <anchor moveWithCells="1" sizeWithCells="1">
                  <from>
                    <xdr:col>16</xdr:col>
                    <xdr:colOff>0</xdr:colOff>
                    <xdr:row>175</xdr:row>
                    <xdr:rowOff>0</xdr:rowOff>
                  </from>
                  <to>
                    <xdr:col>17</xdr:col>
                    <xdr:colOff>0</xdr:colOff>
                    <xdr:row>176</xdr:row>
                    <xdr:rowOff>0</xdr:rowOff>
                  </to>
                </anchor>
              </controlPr>
            </control>
          </mc:Choice>
        </mc:AlternateContent>
        <mc:AlternateContent xmlns:mc="http://schemas.openxmlformats.org/markup-compatibility/2006">
          <mc:Choice Requires="x14">
            <control shapeId="9643" r:id="rId125" name="Drop Down 427">
              <controlPr defaultSize="0" autoLine="0" autoPict="0">
                <anchor moveWithCells="1" sizeWithCells="1">
                  <from>
                    <xdr:col>16</xdr:col>
                    <xdr:colOff>0</xdr:colOff>
                    <xdr:row>176</xdr:row>
                    <xdr:rowOff>0</xdr:rowOff>
                  </from>
                  <to>
                    <xdr:col>17</xdr:col>
                    <xdr:colOff>0</xdr:colOff>
                    <xdr:row>177</xdr:row>
                    <xdr:rowOff>0</xdr:rowOff>
                  </to>
                </anchor>
              </controlPr>
            </control>
          </mc:Choice>
        </mc:AlternateContent>
        <mc:AlternateContent xmlns:mc="http://schemas.openxmlformats.org/markup-compatibility/2006">
          <mc:Choice Requires="x14">
            <control shapeId="9644" r:id="rId126" name="Drop Down 428">
              <controlPr defaultSize="0" autoLine="0" autoPict="0">
                <anchor moveWithCells="1" sizeWithCells="1">
                  <from>
                    <xdr:col>16</xdr:col>
                    <xdr:colOff>0</xdr:colOff>
                    <xdr:row>177</xdr:row>
                    <xdr:rowOff>0</xdr:rowOff>
                  </from>
                  <to>
                    <xdr:col>17</xdr:col>
                    <xdr:colOff>0</xdr:colOff>
                    <xdr:row>178</xdr:row>
                    <xdr:rowOff>0</xdr:rowOff>
                  </to>
                </anchor>
              </controlPr>
            </control>
          </mc:Choice>
        </mc:AlternateContent>
        <mc:AlternateContent xmlns:mc="http://schemas.openxmlformats.org/markup-compatibility/2006">
          <mc:Choice Requires="x14">
            <control shapeId="9645" r:id="rId127" name="Drop Down 429">
              <controlPr defaultSize="0" autoLine="0" autoPict="0">
                <anchor moveWithCells="1" sizeWithCells="1">
                  <from>
                    <xdr:col>16</xdr:col>
                    <xdr:colOff>0</xdr:colOff>
                    <xdr:row>178</xdr:row>
                    <xdr:rowOff>0</xdr:rowOff>
                  </from>
                  <to>
                    <xdr:col>17</xdr:col>
                    <xdr:colOff>0</xdr:colOff>
                    <xdr:row>179</xdr:row>
                    <xdr:rowOff>0</xdr:rowOff>
                  </to>
                </anchor>
              </controlPr>
            </control>
          </mc:Choice>
        </mc:AlternateContent>
        <mc:AlternateContent xmlns:mc="http://schemas.openxmlformats.org/markup-compatibility/2006">
          <mc:Choice Requires="x14">
            <control shapeId="9646" r:id="rId128" name="Drop Down 430">
              <controlPr defaultSize="0" autoLine="0" autoPict="0">
                <anchor moveWithCells="1" sizeWithCells="1">
                  <from>
                    <xdr:col>16</xdr:col>
                    <xdr:colOff>0</xdr:colOff>
                    <xdr:row>179</xdr:row>
                    <xdr:rowOff>0</xdr:rowOff>
                  </from>
                  <to>
                    <xdr:col>17</xdr:col>
                    <xdr:colOff>0</xdr:colOff>
                    <xdr:row>180</xdr:row>
                    <xdr:rowOff>0</xdr:rowOff>
                  </to>
                </anchor>
              </controlPr>
            </control>
          </mc:Choice>
        </mc:AlternateContent>
        <mc:AlternateContent xmlns:mc="http://schemas.openxmlformats.org/markup-compatibility/2006">
          <mc:Choice Requires="x14">
            <control shapeId="9647" r:id="rId129" name="Drop Down 431">
              <controlPr defaultSize="0" autoLine="0" autoPict="0">
                <anchor moveWithCells="1" sizeWithCells="1">
                  <from>
                    <xdr:col>16</xdr:col>
                    <xdr:colOff>0</xdr:colOff>
                    <xdr:row>180</xdr:row>
                    <xdr:rowOff>0</xdr:rowOff>
                  </from>
                  <to>
                    <xdr:col>17</xdr:col>
                    <xdr:colOff>0</xdr:colOff>
                    <xdr:row>181</xdr:row>
                    <xdr:rowOff>0</xdr:rowOff>
                  </to>
                </anchor>
              </controlPr>
            </control>
          </mc:Choice>
        </mc:AlternateContent>
        <mc:AlternateContent xmlns:mc="http://schemas.openxmlformats.org/markup-compatibility/2006">
          <mc:Choice Requires="x14">
            <control shapeId="9648" r:id="rId130" name="Drop Down 432">
              <controlPr defaultSize="0" autoLine="0" autoPict="0">
                <anchor moveWithCells="1" sizeWithCells="1">
                  <from>
                    <xdr:col>16</xdr:col>
                    <xdr:colOff>0</xdr:colOff>
                    <xdr:row>181</xdr:row>
                    <xdr:rowOff>0</xdr:rowOff>
                  </from>
                  <to>
                    <xdr:col>17</xdr:col>
                    <xdr:colOff>0</xdr:colOff>
                    <xdr:row>182</xdr:row>
                    <xdr:rowOff>0</xdr:rowOff>
                  </to>
                </anchor>
              </controlPr>
            </control>
          </mc:Choice>
        </mc:AlternateContent>
        <mc:AlternateContent xmlns:mc="http://schemas.openxmlformats.org/markup-compatibility/2006">
          <mc:Choice Requires="x14">
            <control shapeId="9649" r:id="rId131" name="Drop Down 433">
              <controlPr defaultSize="0" autoLine="0" autoPict="0">
                <anchor moveWithCells="1" sizeWithCells="1">
                  <from>
                    <xdr:col>16</xdr:col>
                    <xdr:colOff>0</xdr:colOff>
                    <xdr:row>182</xdr:row>
                    <xdr:rowOff>0</xdr:rowOff>
                  </from>
                  <to>
                    <xdr:col>17</xdr:col>
                    <xdr:colOff>0</xdr:colOff>
                    <xdr:row>183</xdr:row>
                    <xdr:rowOff>0</xdr:rowOff>
                  </to>
                </anchor>
              </controlPr>
            </control>
          </mc:Choice>
        </mc:AlternateContent>
        <mc:AlternateContent xmlns:mc="http://schemas.openxmlformats.org/markup-compatibility/2006">
          <mc:Choice Requires="x14">
            <control shapeId="9650" r:id="rId132" name="Drop Down 434">
              <controlPr defaultSize="0" autoLine="0" autoPict="0">
                <anchor moveWithCells="1" sizeWithCells="1">
                  <from>
                    <xdr:col>16</xdr:col>
                    <xdr:colOff>0</xdr:colOff>
                    <xdr:row>183</xdr:row>
                    <xdr:rowOff>0</xdr:rowOff>
                  </from>
                  <to>
                    <xdr:col>17</xdr:col>
                    <xdr:colOff>0</xdr:colOff>
                    <xdr:row>184</xdr:row>
                    <xdr:rowOff>0</xdr:rowOff>
                  </to>
                </anchor>
              </controlPr>
            </control>
          </mc:Choice>
        </mc:AlternateContent>
        <mc:AlternateContent xmlns:mc="http://schemas.openxmlformats.org/markup-compatibility/2006">
          <mc:Choice Requires="x14">
            <control shapeId="9651" r:id="rId133" name="Drop Down 435">
              <controlPr defaultSize="0" autoLine="0" autoPict="0">
                <anchor moveWithCells="1" sizeWithCells="1">
                  <from>
                    <xdr:col>16</xdr:col>
                    <xdr:colOff>0</xdr:colOff>
                    <xdr:row>184</xdr:row>
                    <xdr:rowOff>0</xdr:rowOff>
                  </from>
                  <to>
                    <xdr:col>17</xdr:col>
                    <xdr:colOff>0</xdr:colOff>
                    <xdr:row>185</xdr:row>
                    <xdr:rowOff>0</xdr:rowOff>
                  </to>
                </anchor>
              </controlPr>
            </control>
          </mc:Choice>
        </mc:AlternateContent>
        <mc:AlternateContent xmlns:mc="http://schemas.openxmlformats.org/markup-compatibility/2006">
          <mc:Choice Requires="x14">
            <control shapeId="9652" r:id="rId134" name="Drop Down 436">
              <controlPr defaultSize="0" autoLine="0" autoPict="0">
                <anchor moveWithCells="1" sizeWithCells="1">
                  <from>
                    <xdr:col>16</xdr:col>
                    <xdr:colOff>0</xdr:colOff>
                    <xdr:row>185</xdr:row>
                    <xdr:rowOff>0</xdr:rowOff>
                  </from>
                  <to>
                    <xdr:col>17</xdr:col>
                    <xdr:colOff>0</xdr:colOff>
                    <xdr:row>186</xdr:row>
                    <xdr:rowOff>0</xdr:rowOff>
                  </to>
                </anchor>
              </controlPr>
            </control>
          </mc:Choice>
        </mc:AlternateContent>
        <mc:AlternateContent xmlns:mc="http://schemas.openxmlformats.org/markup-compatibility/2006">
          <mc:Choice Requires="x14">
            <control shapeId="9653" r:id="rId135" name="Drop Down 437">
              <controlPr defaultSize="0" autoLine="0" autoPict="0">
                <anchor moveWithCells="1" sizeWithCells="1">
                  <from>
                    <xdr:col>16</xdr:col>
                    <xdr:colOff>0</xdr:colOff>
                    <xdr:row>186</xdr:row>
                    <xdr:rowOff>0</xdr:rowOff>
                  </from>
                  <to>
                    <xdr:col>17</xdr:col>
                    <xdr:colOff>0</xdr:colOff>
                    <xdr:row>187</xdr:row>
                    <xdr:rowOff>0</xdr:rowOff>
                  </to>
                </anchor>
              </controlPr>
            </control>
          </mc:Choice>
        </mc:AlternateContent>
        <mc:AlternateContent xmlns:mc="http://schemas.openxmlformats.org/markup-compatibility/2006">
          <mc:Choice Requires="x14">
            <control shapeId="9654" r:id="rId136" name="Drop Down 438">
              <controlPr defaultSize="0" autoLine="0" autoPict="0">
                <anchor moveWithCells="1" sizeWithCells="1">
                  <from>
                    <xdr:col>16</xdr:col>
                    <xdr:colOff>0</xdr:colOff>
                    <xdr:row>187</xdr:row>
                    <xdr:rowOff>0</xdr:rowOff>
                  </from>
                  <to>
                    <xdr:col>17</xdr:col>
                    <xdr:colOff>0</xdr:colOff>
                    <xdr:row>188</xdr:row>
                    <xdr:rowOff>0</xdr:rowOff>
                  </to>
                </anchor>
              </controlPr>
            </control>
          </mc:Choice>
        </mc:AlternateContent>
        <mc:AlternateContent xmlns:mc="http://schemas.openxmlformats.org/markup-compatibility/2006">
          <mc:Choice Requires="x14">
            <control shapeId="9655" r:id="rId137" name="Drop Down 439">
              <controlPr defaultSize="0" autoLine="0" autoPict="0">
                <anchor moveWithCells="1" sizeWithCells="1">
                  <from>
                    <xdr:col>16</xdr:col>
                    <xdr:colOff>0</xdr:colOff>
                    <xdr:row>188</xdr:row>
                    <xdr:rowOff>0</xdr:rowOff>
                  </from>
                  <to>
                    <xdr:col>17</xdr:col>
                    <xdr:colOff>0</xdr:colOff>
                    <xdr:row>189</xdr:row>
                    <xdr:rowOff>0</xdr:rowOff>
                  </to>
                </anchor>
              </controlPr>
            </control>
          </mc:Choice>
        </mc:AlternateContent>
        <mc:AlternateContent xmlns:mc="http://schemas.openxmlformats.org/markup-compatibility/2006">
          <mc:Choice Requires="x14">
            <control shapeId="9656" r:id="rId138" name="Drop Down 440">
              <controlPr defaultSize="0" autoLine="0" autoPict="0">
                <anchor moveWithCells="1" sizeWithCells="1">
                  <from>
                    <xdr:col>16</xdr:col>
                    <xdr:colOff>0</xdr:colOff>
                    <xdr:row>191</xdr:row>
                    <xdr:rowOff>0</xdr:rowOff>
                  </from>
                  <to>
                    <xdr:col>17</xdr:col>
                    <xdr:colOff>0</xdr:colOff>
                    <xdr:row>192</xdr:row>
                    <xdr:rowOff>0</xdr:rowOff>
                  </to>
                </anchor>
              </controlPr>
            </control>
          </mc:Choice>
        </mc:AlternateContent>
        <mc:AlternateContent xmlns:mc="http://schemas.openxmlformats.org/markup-compatibility/2006">
          <mc:Choice Requires="x14">
            <control shapeId="9657" r:id="rId139" name="Drop Down 441">
              <controlPr defaultSize="0" autoLine="0" autoPict="0">
                <anchor moveWithCells="1" sizeWithCells="1">
                  <from>
                    <xdr:col>16</xdr:col>
                    <xdr:colOff>0</xdr:colOff>
                    <xdr:row>192</xdr:row>
                    <xdr:rowOff>0</xdr:rowOff>
                  </from>
                  <to>
                    <xdr:col>17</xdr:col>
                    <xdr:colOff>0</xdr:colOff>
                    <xdr:row>193</xdr:row>
                    <xdr:rowOff>0</xdr:rowOff>
                  </to>
                </anchor>
              </controlPr>
            </control>
          </mc:Choice>
        </mc:AlternateContent>
        <mc:AlternateContent xmlns:mc="http://schemas.openxmlformats.org/markup-compatibility/2006">
          <mc:Choice Requires="x14">
            <control shapeId="9658" r:id="rId140" name="Drop Down 442">
              <controlPr defaultSize="0" autoLine="0" autoPict="0">
                <anchor moveWithCells="1" sizeWithCells="1">
                  <from>
                    <xdr:col>16</xdr:col>
                    <xdr:colOff>0</xdr:colOff>
                    <xdr:row>193</xdr:row>
                    <xdr:rowOff>0</xdr:rowOff>
                  </from>
                  <to>
                    <xdr:col>17</xdr:col>
                    <xdr:colOff>0</xdr:colOff>
                    <xdr:row>194</xdr:row>
                    <xdr:rowOff>0</xdr:rowOff>
                  </to>
                </anchor>
              </controlPr>
            </control>
          </mc:Choice>
        </mc:AlternateContent>
        <mc:AlternateContent xmlns:mc="http://schemas.openxmlformats.org/markup-compatibility/2006">
          <mc:Choice Requires="x14">
            <control shapeId="9659" r:id="rId141" name="Drop Down 443">
              <controlPr defaultSize="0" autoLine="0" autoPict="0">
                <anchor moveWithCells="1" sizeWithCells="1">
                  <from>
                    <xdr:col>16</xdr:col>
                    <xdr:colOff>0</xdr:colOff>
                    <xdr:row>194</xdr:row>
                    <xdr:rowOff>0</xdr:rowOff>
                  </from>
                  <to>
                    <xdr:col>17</xdr:col>
                    <xdr:colOff>0</xdr:colOff>
                    <xdr:row>195</xdr:row>
                    <xdr:rowOff>0</xdr:rowOff>
                  </to>
                </anchor>
              </controlPr>
            </control>
          </mc:Choice>
        </mc:AlternateContent>
        <mc:AlternateContent xmlns:mc="http://schemas.openxmlformats.org/markup-compatibility/2006">
          <mc:Choice Requires="x14">
            <control shapeId="9660" r:id="rId142" name="Drop Down 444">
              <controlPr defaultSize="0" autoLine="0" autoPict="0">
                <anchor moveWithCells="1" sizeWithCells="1">
                  <from>
                    <xdr:col>16</xdr:col>
                    <xdr:colOff>0</xdr:colOff>
                    <xdr:row>195</xdr:row>
                    <xdr:rowOff>0</xdr:rowOff>
                  </from>
                  <to>
                    <xdr:col>17</xdr:col>
                    <xdr:colOff>0</xdr:colOff>
                    <xdr:row>196</xdr:row>
                    <xdr:rowOff>0</xdr:rowOff>
                  </to>
                </anchor>
              </controlPr>
            </control>
          </mc:Choice>
        </mc:AlternateContent>
        <mc:AlternateContent xmlns:mc="http://schemas.openxmlformats.org/markup-compatibility/2006">
          <mc:Choice Requires="x14">
            <control shapeId="9661" r:id="rId143" name="Drop Down 445">
              <controlPr defaultSize="0" autoLine="0" autoPict="0">
                <anchor moveWithCells="1" sizeWithCells="1">
                  <from>
                    <xdr:col>16</xdr:col>
                    <xdr:colOff>0</xdr:colOff>
                    <xdr:row>196</xdr:row>
                    <xdr:rowOff>0</xdr:rowOff>
                  </from>
                  <to>
                    <xdr:col>17</xdr:col>
                    <xdr:colOff>0</xdr:colOff>
                    <xdr:row>197</xdr:row>
                    <xdr:rowOff>0</xdr:rowOff>
                  </to>
                </anchor>
              </controlPr>
            </control>
          </mc:Choice>
        </mc:AlternateContent>
        <mc:AlternateContent xmlns:mc="http://schemas.openxmlformats.org/markup-compatibility/2006">
          <mc:Choice Requires="x14">
            <control shapeId="9662" r:id="rId144" name="Drop Down 446">
              <controlPr defaultSize="0" autoLine="0" autoPict="0">
                <anchor moveWithCells="1" sizeWithCells="1">
                  <from>
                    <xdr:col>16</xdr:col>
                    <xdr:colOff>0</xdr:colOff>
                    <xdr:row>197</xdr:row>
                    <xdr:rowOff>0</xdr:rowOff>
                  </from>
                  <to>
                    <xdr:col>17</xdr:col>
                    <xdr:colOff>0</xdr:colOff>
                    <xdr:row>198</xdr:row>
                    <xdr:rowOff>0</xdr:rowOff>
                  </to>
                </anchor>
              </controlPr>
            </control>
          </mc:Choice>
        </mc:AlternateContent>
        <mc:AlternateContent xmlns:mc="http://schemas.openxmlformats.org/markup-compatibility/2006">
          <mc:Choice Requires="x14">
            <control shapeId="9663" r:id="rId145" name="Drop Down 447">
              <controlPr defaultSize="0" autoLine="0" autoPict="0">
                <anchor moveWithCells="1" sizeWithCells="1">
                  <from>
                    <xdr:col>16</xdr:col>
                    <xdr:colOff>0</xdr:colOff>
                    <xdr:row>198</xdr:row>
                    <xdr:rowOff>0</xdr:rowOff>
                  </from>
                  <to>
                    <xdr:col>17</xdr:col>
                    <xdr:colOff>0</xdr:colOff>
                    <xdr:row>199</xdr:row>
                    <xdr:rowOff>0</xdr:rowOff>
                  </to>
                </anchor>
              </controlPr>
            </control>
          </mc:Choice>
        </mc:AlternateContent>
        <mc:AlternateContent xmlns:mc="http://schemas.openxmlformats.org/markup-compatibility/2006">
          <mc:Choice Requires="x14">
            <control shapeId="9664" r:id="rId146" name="Drop Down 448">
              <controlPr defaultSize="0" autoLine="0" autoPict="0">
                <anchor moveWithCells="1" sizeWithCells="1">
                  <from>
                    <xdr:col>16</xdr:col>
                    <xdr:colOff>0</xdr:colOff>
                    <xdr:row>199</xdr:row>
                    <xdr:rowOff>0</xdr:rowOff>
                  </from>
                  <to>
                    <xdr:col>17</xdr:col>
                    <xdr:colOff>0</xdr:colOff>
                    <xdr:row>200</xdr:row>
                    <xdr:rowOff>0</xdr:rowOff>
                  </to>
                </anchor>
              </controlPr>
            </control>
          </mc:Choice>
        </mc:AlternateContent>
        <mc:AlternateContent xmlns:mc="http://schemas.openxmlformats.org/markup-compatibility/2006">
          <mc:Choice Requires="x14">
            <control shapeId="9665" r:id="rId147" name="Drop Down 449">
              <controlPr defaultSize="0" autoLine="0" autoPict="0">
                <anchor moveWithCells="1" sizeWithCells="1">
                  <from>
                    <xdr:col>16</xdr:col>
                    <xdr:colOff>0</xdr:colOff>
                    <xdr:row>200</xdr:row>
                    <xdr:rowOff>0</xdr:rowOff>
                  </from>
                  <to>
                    <xdr:col>17</xdr:col>
                    <xdr:colOff>0</xdr:colOff>
                    <xdr:row>201</xdr:row>
                    <xdr:rowOff>0</xdr:rowOff>
                  </to>
                </anchor>
              </controlPr>
            </control>
          </mc:Choice>
        </mc:AlternateContent>
        <mc:AlternateContent xmlns:mc="http://schemas.openxmlformats.org/markup-compatibility/2006">
          <mc:Choice Requires="x14">
            <control shapeId="9666" r:id="rId148" name="Drop Down 450">
              <controlPr defaultSize="0" autoLine="0" autoPict="0">
                <anchor moveWithCells="1" sizeWithCells="1">
                  <from>
                    <xdr:col>16</xdr:col>
                    <xdr:colOff>0</xdr:colOff>
                    <xdr:row>201</xdr:row>
                    <xdr:rowOff>0</xdr:rowOff>
                  </from>
                  <to>
                    <xdr:col>17</xdr:col>
                    <xdr:colOff>0</xdr:colOff>
                    <xdr:row>202</xdr:row>
                    <xdr:rowOff>0</xdr:rowOff>
                  </to>
                </anchor>
              </controlPr>
            </control>
          </mc:Choice>
        </mc:AlternateContent>
        <mc:AlternateContent xmlns:mc="http://schemas.openxmlformats.org/markup-compatibility/2006">
          <mc:Choice Requires="x14">
            <control shapeId="9667" r:id="rId149" name="Drop Down 451">
              <controlPr defaultSize="0" autoLine="0" autoPict="0">
                <anchor moveWithCells="1" sizeWithCells="1">
                  <from>
                    <xdr:col>16</xdr:col>
                    <xdr:colOff>0</xdr:colOff>
                    <xdr:row>202</xdr:row>
                    <xdr:rowOff>0</xdr:rowOff>
                  </from>
                  <to>
                    <xdr:col>17</xdr:col>
                    <xdr:colOff>0</xdr:colOff>
                    <xdr:row>203</xdr:row>
                    <xdr:rowOff>0</xdr:rowOff>
                  </to>
                </anchor>
              </controlPr>
            </control>
          </mc:Choice>
        </mc:AlternateContent>
        <mc:AlternateContent xmlns:mc="http://schemas.openxmlformats.org/markup-compatibility/2006">
          <mc:Choice Requires="x14">
            <control shapeId="9668" r:id="rId150" name="Drop Down 452">
              <controlPr defaultSize="0" autoLine="0" autoPict="0">
                <anchor moveWithCells="1" sizeWithCells="1">
                  <from>
                    <xdr:col>16</xdr:col>
                    <xdr:colOff>0</xdr:colOff>
                    <xdr:row>203</xdr:row>
                    <xdr:rowOff>0</xdr:rowOff>
                  </from>
                  <to>
                    <xdr:col>17</xdr:col>
                    <xdr:colOff>0</xdr:colOff>
                    <xdr:row>203</xdr:row>
                    <xdr:rowOff>107950</xdr:rowOff>
                  </to>
                </anchor>
              </controlPr>
            </control>
          </mc:Choice>
        </mc:AlternateContent>
        <mc:AlternateContent xmlns:mc="http://schemas.openxmlformats.org/markup-compatibility/2006">
          <mc:Choice Requires="x14">
            <control shapeId="9669" r:id="rId151" name="Drop Down 453">
              <controlPr defaultSize="0" autoLine="0" autoPict="0">
                <anchor moveWithCells="1" sizeWithCells="1">
                  <from>
                    <xdr:col>16</xdr:col>
                    <xdr:colOff>0</xdr:colOff>
                    <xdr:row>204</xdr:row>
                    <xdr:rowOff>0</xdr:rowOff>
                  </from>
                  <to>
                    <xdr:col>17</xdr:col>
                    <xdr:colOff>0</xdr:colOff>
                    <xdr:row>204</xdr:row>
                    <xdr:rowOff>107950</xdr:rowOff>
                  </to>
                </anchor>
              </controlPr>
            </control>
          </mc:Choice>
        </mc:AlternateContent>
        <mc:AlternateContent xmlns:mc="http://schemas.openxmlformats.org/markup-compatibility/2006">
          <mc:Choice Requires="x14">
            <control shapeId="9670" r:id="rId152" name="Drop Down 454">
              <controlPr defaultSize="0" autoLine="0" autoPict="0">
                <anchor moveWithCells="1" sizeWithCells="1">
                  <from>
                    <xdr:col>16</xdr:col>
                    <xdr:colOff>0</xdr:colOff>
                    <xdr:row>205</xdr:row>
                    <xdr:rowOff>0</xdr:rowOff>
                  </from>
                  <to>
                    <xdr:col>17</xdr:col>
                    <xdr:colOff>0</xdr:colOff>
                    <xdr:row>205</xdr:row>
                    <xdr:rowOff>107950</xdr:rowOff>
                  </to>
                </anchor>
              </controlPr>
            </control>
          </mc:Choice>
        </mc:AlternateContent>
        <mc:AlternateContent xmlns:mc="http://schemas.openxmlformats.org/markup-compatibility/2006">
          <mc:Choice Requires="x14">
            <control shapeId="9671" r:id="rId153" name="Drop Down 455">
              <controlPr defaultSize="0" autoLine="0" autoPict="0">
                <anchor moveWithCells="1" sizeWithCells="1">
                  <from>
                    <xdr:col>16</xdr:col>
                    <xdr:colOff>0</xdr:colOff>
                    <xdr:row>206</xdr:row>
                    <xdr:rowOff>0</xdr:rowOff>
                  </from>
                  <to>
                    <xdr:col>17</xdr:col>
                    <xdr:colOff>0</xdr:colOff>
                    <xdr:row>206</xdr:row>
                    <xdr:rowOff>107950</xdr:rowOff>
                  </to>
                </anchor>
              </controlPr>
            </control>
          </mc:Choice>
        </mc:AlternateContent>
        <mc:AlternateContent xmlns:mc="http://schemas.openxmlformats.org/markup-compatibility/2006">
          <mc:Choice Requires="x14">
            <control shapeId="9672" r:id="rId154" name="Drop Down 456">
              <controlPr defaultSize="0" autoLine="0" autoPict="0">
                <anchor moveWithCells="1" sizeWithCells="1">
                  <from>
                    <xdr:col>16</xdr:col>
                    <xdr:colOff>0</xdr:colOff>
                    <xdr:row>207</xdr:row>
                    <xdr:rowOff>0</xdr:rowOff>
                  </from>
                  <to>
                    <xdr:col>17</xdr:col>
                    <xdr:colOff>0</xdr:colOff>
                    <xdr:row>207</xdr:row>
                    <xdr:rowOff>107950</xdr:rowOff>
                  </to>
                </anchor>
              </controlPr>
            </control>
          </mc:Choice>
        </mc:AlternateContent>
        <mc:AlternateContent xmlns:mc="http://schemas.openxmlformats.org/markup-compatibility/2006">
          <mc:Choice Requires="x14">
            <control shapeId="9678" r:id="rId155" name="Drop Down 462">
              <controlPr defaultSize="0" autoLine="0" autoPict="0">
                <anchor moveWithCells="1" sizeWithCells="1">
                  <from>
                    <xdr:col>16</xdr:col>
                    <xdr:colOff>0</xdr:colOff>
                    <xdr:row>62</xdr:row>
                    <xdr:rowOff>0</xdr:rowOff>
                  </from>
                  <to>
                    <xdr:col>17</xdr:col>
                    <xdr:colOff>0</xdr:colOff>
                    <xdr:row>63</xdr:row>
                    <xdr:rowOff>0</xdr:rowOff>
                  </to>
                </anchor>
              </controlPr>
            </control>
          </mc:Choice>
        </mc:AlternateContent>
        <mc:AlternateContent xmlns:mc="http://schemas.openxmlformats.org/markup-compatibility/2006">
          <mc:Choice Requires="x14">
            <control shapeId="9679" r:id="rId156" name="Drop Down 463">
              <controlPr defaultSize="0" autoLine="0" autoPict="0">
                <anchor moveWithCells="1" sizeWithCells="1">
                  <from>
                    <xdr:col>16</xdr:col>
                    <xdr:colOff>0</xdr:colOff>
                    <xdr:row>63</xdr:row>
                    <xdr:rowOff>0</xdr:rowOff>
                  </from>
                  <to>
                    <xdr:col>17</xdr:col>
                    <xdr:colOff>0</xdr:colOff>
                    <xdr:row>64</xdr:row>
                    <xdr:rowOff>0</xdr:rowOff>
                  </to>
                </anchor>
              </controlPr>
            </control>
          </mc:Choice>
        </mc:AlternateContent>
        <mc:AlternateContent xmlns:mc="http://schemas.openxmlformats.org/markup-compatibility/2006">
          <mc:Choice Requires="x14">
            <control shapeId="9680" r:id="rId157" name="Drop Down 464">
              <controlPr defaultSize="0" autoLine="0" autoPict="0">
                <anchor moveWithCells="1" sizeWithCells="1">
                  <from>
                    <xdr:col>16</xdr:col>
                    <xdr:colOff>0</xdr:colOff>
                    <xdr:row>64</xdr:row>
                    <xdr:rowOff>0</xdr:rowOff>
                  </from>
                  <to>
                    <xdr:col>17</xdr:col>
                    <xdr:colOff>0</xdr:colOff>
                    <xdr:row>65</xdr:row>
                    <xdr:rowOff>0</xdr:rowOff>
                  </to>
                </anchor>
              </controlPr>
            </control>
          </mc:Choice>
        </mc:AlternateContent>
        <mc:AlternateContent xmlns:mc="http://schemas.openxmlformats.org/markup-compatibility/2006">
          <mc:Choice Requires="x14">
            <control shapeId="9682" r:id="rId158" name="Drop Down 466">
              <controlPr defaultSize="0" autoLine="0" autoPict="0">
                <anchor moveWithCells="1" sizeWithCells="1">
                  <from>
                    <xdr:col>16</xdr:col>
                    <xdr:colOff>0</xdr:colOff>
                    <xdr:row>20</xdr:row>
                    <xdr:rowOff>0</xdr:rowOff>
                  </from>
                  <to>
                    <xdr:col>17</xdr:col>
                    <xdr:colOff>0</xdr:colOff>
                    <xdr:row>21</xdr:row>
                    <xdr:rowOff>0</xdr:rowOff>
                  </to>
                </anchor>
              </controlPr>
            </control>
          </mc:Choice>
        </mc:AlternateContent>
        <mc:AlternateContent xmlns:mc="http://schemas.openxmlformats.org/markup-compatibility/2006">
          <mc:Choice Requires="x14">
            <control shapeId="9683" r:id="rId159" name="Drop Down 467">
              <controlPr defaultSize="0" autoLine="0" autoPict="0">
                <anchor moveWithCells="1" sizeWithCells="1">
                  <from>
                    <xdr:col>16</xdr:col>
                    <xdr:colOff>0</xdr:colOff>
                    <xdr:row>21</xdr:row>
                    <xdr:rowOff>0</xdr:rowOff>
                  </from>
                  <to>
                    <xdr:col>17</xdr:col>
                    <xdr:colOff>0</xdr:colOff>
                    <xdr:row>22</xdr:row>
                    <xdr:rowOff>0</xdr:rowOff>
                  </to>
                </anchor>
              </controlPr>
            </control>
          </mc:Choice>
        </mc:AlternateContent>
        <mc:AlternateContent xmlns:mc="http://schemas.openxmlformats.org/markup-compatibility/2006">
          <mc:Choice Requires="x14">
            <control shapeId="9684" r:id="rId160" name="Drop Down 468">
              <controlPr defaultSize="0" autoLine="0" autoPict="0">
                <anchor moveWithCells="1" sizeWithCells="1">
                  <from>
                    <xdr:col>16</xdr:col>
                    <xdr:colOff>0</xdr:colOff>
                    <xdr:row>22</xdr:row>
                    <xdr:rowOff>0</xdr:rowOff>
                  </from>
                  <to>
                    <xdr:col>17</xdr:col>
                    <xdr:colOff>0</xdr:colOff>
                    <xdr:row>23</xdr:row>
                    <xdr:rowOff>0</xdr:rowOff>
                  </to>
                </anchor>
              </controlPr>
            </control>
          </mc:Choice>
        </mc:AlternateContent>
        <mc:AlternateContent xmlns:mc="http://schemas.openxmlformats.org/markup-compatibility/2006">
          <mc:Choice Requires="x14">
            <control shapeId="9685" r:id="rId161" name="Drop Down 469">
              <controlPr defaultSize="0" autoLine="0" autoPict="0">
                <anchor moveWithCells="1" sizeWithCells="1">
                  <from>
                    <xdr:col>16</xdr:col>
                    <xdr:colOff>0</xdr:colOff>
                    <xdr:row>146</xdr:row>
                    <xdr:rowOff>0</xdr:rowOff>
                  </from>
                  <to>
                    <xdr:col>17</xdr:col>
                    <xdr:colOff>0</xdr:colOff>
                    <xdr:row>147</xdr:row>
                    <xdr:rowOff>0</xdr:rowOff>
                  </to>
                </anchor>
              </controlPr>
            </control>
          </mc:Choice>
        </mc:AlternateContent>
        <mc:AlternateContent xmlns:mc="http://schemas.openxmlformats.org/markup-compatibility/2006">
          <mc:Choice Requires="x14">
            <control shapeId="9686" r:id="rId162" name="Drop Down 470">
              <controlPr defaultSize="0" autoLine="0" autoPict="0">
                <anchor moveWithCells="1" sizeWithCells="1">
                  <from>
                    <xdr:col>16</xdr:col>
                    <xdr:colOff>0</xdr:colOff>
                    <xdr:row>147</xdr:row>
                    <xdr:rowOff>0</xdr:rowOff>
                  </from>
                  <to>
                    <xdr:col>17</xdr:col>
                    <xdr:colOff>0</xdr:colOff>
                    <xdr:row>148</xdr:row>
                    <xdr:rowOff>0</xdr:rowOff>
                  </to>
                </anchor>
              </controlPr>
            </control>
          </mc:Choice>
        </mc:AlternateContent>
        <mc:AlternateContent xmlns:mc="http://schemas.openxmlformats.org/markup-compatibility/2006">
          <mc:Choice Requires="x14">
            <control shapeId="9687" r:id="rId163" name="Drop Down 471">
              <controlPr defaultSize="0" autoLine="0" autoPict="0">
                <anchor moveWithCells="1" sizeWithCells="1">
                  <from>
                    <xdr:col>16</xdr:col>
                    <xdr:colOff>0</xdr:colOff>
                    <xdr:row>148</xdr:row>
                    <xdr:rowOff>0</xdr:rowOff>
                  </from>
                  <to>
                    <xdr:col>17</xdr:col>
                    <xdr:colOff>0</xdr:colOff>
                    <xdr:row>149</xdr:row>
                    <xdr:rowOff>0</xdr:rowOff>
                  </to>
                </anchor>
              </controlPr>
            </control>
          </mc:Choice>
        </mc:AlternateContent>
        <mc:AlternateContent xmlns:mc="http://schemas.openxmlformats.org/markup-compatibility/2006">
          <mc:Choice Requires="x14">
            <control shapeId="9688" r:id="rId164" name="Drop Down 472">
              <controlPr defaultSize="0" autoLine="0" autoPict="0">
                <anchor moveWithCells="1" sizeWithCells="1">
                  <from>
                    <xdr:col>16</xdr:col>
                    <xdr:colOff>0</xdr:colOff>
                    <xdr:row>188</xdr:row>
                    <xdr:rowOff>0</xdr:rowOff>
                  </from>
                  <to>
                    <xdr:col>17</xdr:col>
                    <xdr:colOff>0</xdr:colOff>
                    <xdr:row>189</xdr:row>
                    <xdr:rowOff>0</xdr:rowOff>
                  </to>
                </anchor>
              </controlPr>
            </control>
          </mc:Choice>
        </mc:AlternateContent>
        <mc:AlternateContent xmlns:mc="http://schemas.openxmlformats.org/markup-compatibility/2006">
          <mc:Choice Requires="x14">
            <control shapeId="9689" r:id="rId165" name="Drop Down 473">
              <controlPr defaultSize="0" autoLine="0" autoPict="0">
                <anchor moveWithCells="1" sizeWithCells="1">
                  <from>
                    <xdr:col>16</xdr:col>
                    <xdr:colOff>0</xdr:colOff>
                    <xdr:row>189</xdr:row>
                    <xdr:rowOff>0</xdr:rowOff>
                  </from>
                  <to>
                    <xdr:col>17</xdr:col>
                    <xdr:colOff>0</xdr:colOff>
                    <xdr:row>190</xdr:row>
                    <xdr:rowOff>0</xdr:rowOff>
                  </to>
                </anchor>
              </controlPr>
            </control>
          </mc:Choice>
        </mc:AlternateContent>
        <mc:AlternateContent xmlns:mc="http://schemas.openxmlformats.org/markup-compatibility/2006">
          <mc:Choice Requires="x14">
            <control shapeId="9690" r:id="rId166" name="Drop Down 474">
              <controlPr defaultSize="0" autoLine="0" autoPict="0">
                <anchor moveWithCells="1" sizeWithCells="1">
                  <from>
                    <xdr:col>16</xdr:col>
                    <xdr:colOff>0</xdr:colOff>
                    <xdr:row>190</xdr:row>
                    <xdr:rowOff>0</xdr:rowOff>
                  </from>
                  <to>
                    <xdr:col>17</xdr:col>
                    <xdr:colOff>0</xdr:colOff>
                    <xdr:row>191</xdr:row>
                    <xdr:rowOff>0</xdr:rowOff>
                  </to>
                </anchor>
              </controlPr>
            </control>
          </mc:Choice>
        </mc:AlternateContent>
        <mc:AlternateContent xmlns:mc="http://schemas.openxmlformats.org/markup-compatibility/2006">
          <mc:Choice Requires="x14">
            <control shapeId="9592" r:id="rId167" name="Drop Down 376">
              <controlPr defaultSize="0" autoLine="0" autoPict="0">
                <anchor moveWithCells="1" sizeWithCells="1">
                  <from>
                    <xdr:col>16</xdr:col>
                    <xdr:colOff>0</xdr:colOff>
                    <xdr:row>103</xdr:row>
                    <xdr:rowOff>0</xdr:rowOff>
                  </from>
                  <to>
                    <xdr:col>17</xdr:col>
                    <xdr:colOff>0</xdr:colOff>
                    <xdr:row>104</xdr:row>
                    <xdr:rowOff>0</xdr:rowOff>
                  </to>
                </anchor>
              </controlPr>
            </control>
          </mc:Choice>
        </mc:AlternateContent>
        <mc:AlternateContent xmlns:mc="http://schemas.openxmlformats.org/markup-compatibility/2006">
          <mc:Choice Requires="x14">
            <control shapeId="9691" r:id="rId168" name="Drop Down 475">
              <controlPr defaultSize="0" autoLine="0" autoPict="0">
                <anchor moveWithCells="1" sizeWithCells="1">
                  <from>
                    <xdr:col>16</xdr:col>
                    <xdr:colOff>0</xdr:colOff>
                    <xdr:row>104</xdr:row>
                    <xdr:rowOff>0</xdr:rowOff>
                  </from>
                  <to>
                    <xdr:col>17</xdr:col>
                    <xdr:colOff>0</xdr:colOff>
                    <xdr:row>105</xdr:row>
                    <xdr:rowOff>0</xdr:rowOff>
                  </to>
                </anchor>
              </controlPr>
            </control>
          </mc:Choice>
        </mc:AlternateContent>
        <mc:AlternateContent xmlns:mc="http://schemas.openxmlformats.org/markup-compatibility/2006">
          <mc:Choice Requires="x14">
            <control shapeId="9692" r:id="rId169" name="Drop Down 476">
              <controlPr defaultSize="0" autoLine="0" autoPict="0">
                <anchor moveWithCells="1" sizeWithCells="1">
                  <from>
                    <xdr:col>16</xdr:col>
                    <xdr:colOff>0</xdr:colOff>
                    <xdr:row>105</xdr:row>
                    <xdr:rowOff>0</xdr:rowOff>
                  </from>
                  <to>
                    <xdr:col>17</xdr:col>
                    <xdr:colOff>0</xdr:colOff>
                    <xdr:row>106</xdr:row>
                    <xdr:rowOff>0</xdr:rowOff>
                  </to>
                </anchor>
              </controlPr>
            </control>
          </mc:Choice>
        </mc:AlternateContent>
        <mc:AlternateContent xmlns:mc="http://schemas.openxmlformats.org/markup-compatibility/2006">
          <mc:Choice Requires="x14">
            <control shapeId="9693" r:id="rId170" name="Drop Down 477">
              <controlPr defaultSize="0" autoLine="0" autoPict="0">
                <anchor moveWithCells="1" sizeWithCells="1">
                  <from>
                    <xdr:col>16</xdr:col>
                    <xdr:colOff>0</xdr:colOff>
                    <xdr:row>106</xdr:row>
                    <xdr:rowOff>0</xdr:rowOff>
                  </from>
                  <to>
                    <xdr:col>17</xdr:col>
                    <xdr:colOff>0</xdr:colOff>
                    <xdr:row>107</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EEA47F"/>
  </sheetPr>
  <dimension ref="A1:AC688"/>
  <sheetViews>
    <sheetView showGridLines="0" workbookViewId="0">
      <pane xSplit="3" ySplit="5" topLeftCell="D6" activePane="bottomRight" state="frozen"/>
      <selection activeCell="B2" sqref="B2"/>
      <selection pane="topRight" activeCell="D2" sqref="D2"/>
      <selection pane="bottomLeft" activeCell="B6" sqref="B6"/>
      <selection pane="bottomRight" activeCell="D6" sqref="D6"/>
    </sheetView>
  </sheetViews>
  <sheetFormatPr defaultColWidth="27" defaultRowHeight="14" x14ac:dyDescent="0.3"/>
  <cols>
    <col min="1" max="1" width="19.26953125" style="46" hidden="1" customWidth="1"/>
    <col min="2" max="2" width="58.1796875" style="46" bestFit="1" customWidth="1"/>
    <col min="3" max="3" width="85.81640625" style="46" hidden="1" customWidth="1"/>
    <col min="4" max="5" width="8.7265625" style="57" bestFit="1" customWidth="1"/>
    <col min="6" max="6" width="10.81640625" style="57" bestFit="1" customWidth="1"/>
    <col min="7" max="7" width="11.81640625" style="57" bestFit="1" customWidth="1"/>
    <col min="8" max="8" width="20.54296875" style="57" bestFit="1" customWidth="1"/>
    <col min="9" max="9" width="20.1796875" style="57" bestFit="1" customWidth="1"/>
    <col min="10" max="10" width="18" style="57" bestFit="1" customWidth="1"/>
    <col min="11" max="11" width="6.453125" style="46" bestFit="1" customWidth="1"/>
    <col min="12" max="12" width="11.7265625" style="46" bestFit="1" customWidth="1"/>
    <col min="13" max="13" width="13.26953125" style="46" bestFit="1" customWidth="1"/>
    <col min="14" max="14" width="9.7265625" style="46" bestFit="1" customWidth="1"/>
    <col min="15" max="15" width="9.1796875" style="57" bestFit="1" customWidth="1"/>
    <col min="16" max="16" width="15.453125" style="57" bestFit="1" customWidth="1"/>
    <col min="17" max="17" width="20.54296875" style="57" bestFit="1" customWidth="1"/>
    <col min="18" max="18" width="20.26953125" style="57" bestFit="1" customWidth="1"/>
    <col min="19" max="19" width="25.1796875" style="57" bestFit="1" customWidth="1"/>
    <col min="20" max="20" width="17.54296875" style="57" bestFit="1" customWidth="1"/>
    <col min="21" max="21" width="16.54296875" style="57" bestFit="1" customWidth="1"/>
    <col min="22" max="22" width="20.1796875" style="46" bestFit="1" customWidth="1"/>
    <col min="23" max="23" width="5.453125" style="46" bestFit="1" customWidth="1"/>
    <col min="24" max="24" width="9.7265625" style="46" bestFit="1" customWidth="1"/>
    <col min="25" max="25" width="10.7265625" style="46" bestFit="1" customWidth="1"/>
    <col min="26" max="26" width="6.453125" style="46" bestFit="1" customWidth="1"/>
    <col min="27" max="27" width="26.7265625" style="46" bestFit="1" customWidth="1"/>
    <col min="28" max="28" width="2.54296875" style="46" hidden="1" customWidth="1"/>
    <col min="29" max="29" width="14.54296875" style="46" hidden="1" customWidth="1"/>
    <col min="30" max="30" width="0" style="46" hidden="1" customWidth="1"/>
    <col min="31" max="16384" width="27" style="46"/>
  </cols>
  <sheetData>
    <row r="1" spans="1:29" ht="15" hidden="1" customHeight="1" x14ac:dyDescent="0.3">
      <c r="C1" s="46">
        <v>1</v>
      </c>
      <c r="D1" s="57">
        <f>C1+1</f>
        <v>2</v>
      </c>
      <c r="E1" s="57">
        <f t="shared" ref="E1:Z1" si="0">D1+1</f>
        <v>3</v>
      </c>
      <c r="F1" s="57">
        <f t="shared" si="0"/>
        <v>4</v>
      </c>
      <c r="G1" s="57">
        <f t="shared" si="0"/>
        <v>5</v>
      </c>
      <c r="H1" s="57">
        <f t="shared" si="0"/>
        <v>6</v>
      </c>
      <c r="I1" s="57">
        <f t="shared" si="0"/>
        <v>7</v>
      </c>
      <c r="J1" s="57">
        <f t="shared" si="0"/>
        <v>8</v>
      </c>
      <c r="K1" s="57">
        <f t="shared" si="0"/>
        <v>9</v>
      </c>
      <c r="L1" s="57">
        <f t="shared" si="0"/>
        <v>10</v>
      </c>
      <c r="M1" s="57">
        <f t="shared" si="0"/>
        <v>11</v>
      </c>
      <c r="N1" s="57">
        <f t="shared" si="0"/>
        <v>12</v>
      </c>
      <c r="O1" s="57">
        <f t="shared" si="0"/>
        <v>13</v>
      </c>
      <c r="P1" s="57">
        <f t="shared" si="0"/>
        <v>14</v>
      </c>
      <c r="Q1" s="57">
        <f t="shared" si="0"/>
        <v>15</v>
      </c>
      <c r="R1" s="57">
        <f>Q1+1</f>
        <v>16</v>
      </c>
      <c r="S1" s="57">
        <f t="shared" si="0"/>
        <v>17</v>
      </c>
      <c r="T1" s="57">
        <f t="shared" si="0"/>
        <v>18</v>
      </c>
      <c r="U1" s="57">
        <f t="shared" si="0"/>
        <v>19</v>
      </c>
      <c r="V1" s="57">
        <f t="shared" si="0"/>
        <v>20</v>
      </c>
      <c r="W1" s="57">
        <f t="shared" si="0"/>
        <v>21</v>
      </c>
      <c r="X1" s="57">
        <f t="shared" si="0"/>
        <v>22</v>
      </c>
      <c r="Y1" s="57">
        <f t="shared" si="0"/>
        <v>23</v>
      </c>
      <c r="Z1" s="57">
        <f t="shared" si="0"/>
        <v>24</v>
      </c>
      <c r="AB1" s="46">
        <v>25</v>
      </c>
    </row>
    <row r="2" spans="1:29" ht="31.5" customHeight="1" x14ac:dyDescent="0.3">
      <c r="A2" s="49"/>
      <c r="B2" s="1098" t="str">
        <f ca="1">'Translation Table'!H1682</f>
        <v>Summary of the equipment schedules production and processing facilities.</v>
      </c>
      <c r="C2" s="1099"/>
      <c r="D2" s="1099"/>
      <c r="E2" s="1099"/>
      <c r="F2" s="1099"/>
      <c r="G2" s="1099"/>
      <c r="H2" s="1099"/>
      <c r="I2" s="134"/>
      <c r="J2" s="134"/>
      <c r="K2" s="134"/>
      <c r="L2" s="134"/>
      <c r="M2" s="134"/>
      <c r="N2" s="134"/>
      <c r="O2" s="134"/>
      <c r="P2" s="134"/>
      <c r="Q2" s="134"/>
      <c r="R2" s="134"/>
      <c r="S2" s="134"/>
      <c r="T2" s="134"/>
      <c r="U2" s="134"/>
      <c r="V2" s="134"/>
      <c r="W2" s="134"/>
      <c r="X2" s="134"/>
      <c r="Y2" s="134"/>
      <c r="Z2" s="134"/>
      <c r="AA2" s="135"/>
    </row>
    <row r="3" spans="1:29" ht="15.5" x14ac:dyDescent="0.35">
      <c r="A3" s="49" t="str">
        <f ca="1">'Translation Table'!H1683</f>
        <v>Sector</v>
      </c>
      <c r="B3" s="1092" t="str">
        <f ca="1">'Translation Table'!H1685</f>
        <v>Process Unit or Area</v>
      </c>
      <c r="C3" s="1092" t="str">
        <f ca="1">'Translation Table'!H1685</f>
        <v>Process Unit or Area</v>
      </c>
      <c r="D3" s="1083" t="str">
        <f ca="1">'Translation Table'!H1686</f>
        <v>Number of Emission Sources Associated with the Process</v>
      </c>
      <c r="E3" s="1083"/>
      <c r="F3" s="1093"/>
      <c r="G3" s="1093"/>
      <c r="H3" s="1093"/>
      <c r="I3" s="1093"/>
      <c r="J3" s="1093"/>
      <c r="K3" s="1093"/>
      <c r="L3" s="1093"/>
      <c r="M3" s="1093"/>
      <c r="N3" s="1093"/>
      <c r="O3" s="1093"/>
      <c r="P3" s="1093"/>
      <c r="Q3" s="1093"/>
      <c r="R3" s="1093"/>
      <c r="S3" s="1093"/>
      <c r="T3" s="1093"/>
      <c r="U3" s="1093"/>
      <c r="V3" s="1093"/>
      <c r="W3" s="1093"/>
      <c r="X3" s="1093"/>
      <c r="Y3" s="1093"/>
      <c r="Z3" s="129" t="str">
        <f ca="1">'Translation Table'!H1687</f>
        <v>Vessel</v>
      </c>
      <c r="AA3" s="133" t="str">
        <f ca="1">'Translation Table'!H1688</f>
        <v>Primary Reference</v>
      </c>
      <c r="AC3" s="46" t="str">
        <f ca="1">'Translation Table'!H1688</f>
        <v>Primary Reference</v>
      </c>
    </row>
    <row r="4" spans="1:29" ht="15.5" x14ac:dyDescent="0.3">
      <c r="A4" s="49"/>
      <c r="B4" s="1092"/>
      <c r="C4" s="1092"/>
      <c r="D4" s="1094" t="str">
        <f ca="1">'Translation Table'!H1690</f>
        <v>PRV</v>
      </c>
      <c r="E4" s="1095" t="str">
        <f ca="1">'Translation Table'!H1691</f>
        <v>OEL</v>
      </c>
      <c r="F4" s="1096"/>
      <c r="G4" s="1097"/>
      <c r="H4" s="1090" t="str">
        <f ca="1">'Translation Table'!H1692</f>
        <v>Unit Blowdown System</v>
      </c>
      <c r="I4" s="1103" t="str">
        <f ca="1">'Translation Table'!H1693</f>
        <v>Sampling Connections</v>
      </c>
      <c r="J4" s="1103" t="str">
        <f ca="1">'Translation Table'!H1694</f>
        <v>Process Drains</v>
      </c>
      <c r="K4" s="1094" t="str">
        <f ca="1">'Translation Table'!H1695</f>
        <v>Hydrocarbon Gas Service</v>
      </c>
      <c r="L4" s="1094"/>
      <c r="M4" s="1094"/>
      <c r="N4" s="1094"/>
      <c r="O4" s="1094"/>
      <c r="P4" s="1094"/>
      <c r="Q4" s="1094"/>
      <c r="R4" s="1094"/>
      <c r="S4" s="1094"/>
      <c r="T4" s="1094"/>
      <c r="U4" s="1094"/>
      <c r="V4" s="1094"/>
      <c r="W4" s="1094" t="str">
        <f ca="1">'Translation Table'!H1696</f>
        <v>Hydrocarbon Liquid Service</v>
      </c>
      <c r="X4" s="1094"/>
      <c r="Y4" s="1094"/>
      <c r="Z4" s="129" t="str">
        <f ca="1">'Translation Table'!H1697</f>
        <v>Count</v>
      </c>
      <c r="AA4" s="1088"/>
      <c r="AC4" s="46" t="str">
        <f ca="1">'Translation Table'!H1697</f>
        <v>Count</v>
      </c>
    </row>
    <row r="5" spans="1:29" ht="49.5" customHeight="1" x14ac:dyDescent="0.3">
      <c r="A5" s="49"/>
      <c r="B5" s="1092"/>
      <c r="C5" s="1092"/>
      <c r="D5" s="1094"/>
      <c r="E5" s="67" t="str">
        <f ca="1">'Translation Table'!H1698</f>
        <v>Gas</v>
      </c>
      <c r="F5" s="67" t="str">
        <f ca="1">'Translation Table'!H1699</f>
        <v>Light Liquid</v>
      </c>
      <c r="G5" s="67" t="str">
        <f ca="1">'Translation Table'!H1700</f>
        <v>Heavy Liquid</v>
      </c>
      <c r="H5" s="1091"/>
      <c r="I5" s="1104"/>
      <c r="J5" s="1104"/>
      <c r="K5" s="68" t="str">
        <f ca="1">'Translation Table'!H1701</f>
        <v>Valves</v>
      </c>
      <c r="L5" s="67" t="str">
        <f ca="1">'Translation Table'!H1702</f>
        <v>Block Valves</v>
      </c>
      <c r="M5" s="67" t="str">
        <f ca="1">'Translation Table'!H1703</f>
        <v>Control Valves</v>
      </c>
      <c r="N5" s="68" t="str">
        <f ca="1">'Translation Table'!H1704</f>
        <v>Connector</v>
      </c>
      <c r="O5" s="68" t="str">
        <f ca="1">'Translation Table'!H1705</f>
        <v>Regulator</v>
      </c>
      <c r="P5" s="67" t="str">
        <f ca="1">'Translation Table'!H1706</f>
        <v>Compressor Seal (Reciprocating)</v>
      </c>
      <c r="Q5" s="67" t="str">
        <f ca="1">'Translation Table'!H1707</f>
        <v>Compressor Seal (Wet) (Centrifugal)</v>
      </c>
      <c r="R5" s="67" t="str">
        <f ca="1">'Translation Table'!H1708</f>
        <v>Compressor (Dry) Seal (Centrifugal)</v>
      </c>
      <c r="S5" s="67" t="str">
        <f ca="1">'Translation Table'!H1710</f>
        <v>Crankcase Vent (Reciprocating Compressor)</v>
      </c>
      <c r="T5" s="67" t="str">
        <f ca="1">'Translation Table'!H1711</f>
        <v>Flow Meter (Orifice)</v>
      </c>
      <c r="U5" s="67" t="str">
        <f ca="1">'Translation Table'!H1712</f>
        <v>Flow Meter (Other)</v>
      </c>
      <c r="V5" s="67" t="str">
        <f ca="1">'Translation Table'!H1713</f>
        <v>Instrument Controllers</v>
      </c>
      <c r="W5" s="68" t="str">
        <f ca="1">'Translation Table'!H1714</f>
        <v>Valve</v>
      </c>
      <c r="X5" s="68" t="str">
        <f ca="1">'Translation Table'!H1715</f>
        <v>Connector</v>
      </c>
      <c r="Y5" s="67" t="str">
        <f ca="1">'Translation Table'!H1716</f>
        <v>Pump Seals</v>
      </c>
      <c r="Z5" s="111"/>
      <c r="AA5" s="1089"/>
    </row>
    <row r="6" spans="1:29" ht="16.5" customHeight="1" x14ac:dyDescent="0.3">
      <c r="A6" s="49" t="str">
        <f ca="1">'Translation Table'!H1717</f>
        <v>Offshore Oil Production</v>
      </c>
      <c r="B6" s="130" t="str">
        <f ca="1">'Translation Table'!H1726</f>
        <v>Blowdown System: Generic (Pit or Vent)</v>
      </c>
      <c r="C6" s="54" t="str">
        <f ca="1">'Translation Table'!H1726</f>
        <v>Blowdown System: Generic (Pit or Vent)</v>
      </c>
      <c r="D6" s="219">
        <v>0</v>
      </c>
      <c r="E6" s="219">
        <v>0</v>
      </c>
      <c r="F6" s="219"/>
      <c r="G6" s="219"/>
      <c r="H6" s="219">
        <v>1</v>
      </c>
      <c r="I6" s="219"/>
      <c r="J6" s="219"/>
      <c r="K6" s="219">
        <f>L6+M6</f>
        <v>2</v>
      </c>
      <c r="L6" s="219">
        <v>1</v>
      </c>
      <c r="M6" s="219">
        <v>1</v>
      </c>
      <c r="N6" s="219">
        <v>2</v>
      </c>
      <c r="O6" s="219"/>
      <c r="P6" s="219"/>
      <c r="Q6" s="219"/>
      <c r="R6" s="219"/>
      <c r="S6" s="219"/>
      <c r="T6" s="219"/>
      <c r="U6" s="219"/>
      <c r="V6" s="219">
        <v>1</v>
      </c>
      <c r="W6" s="219"/>
      <c r="X6" s="219"/>
      <c r="Y6" s="219"/>
      <c r="Z6" s="219">
        <v>0</v>
      </c>
      <c r="AA6" s="220" t="s">
        <v>2474</v>
      </c>
      <c r="AC6" s="46">
        <v>0</v>
      </c>
    </row>
    <row r="7" spans="1:29" ht="16.5" customHeight="1" x14ac:dyDescent="0.3">
      <c r="A7" s="49"/>
      <c r="B7" s="54" t="str">
        <f ca="1">'Translation Table'!H1727</f>
        <v>Aerial Cooler: Natural Gas Service</v>
      </c>
      <c r="C7" s="54" t="str">
        <f ca="1">'Translation Table'!H1727</f>
        <v>Aerial Cooler: Natural Gas Service</v>
      </c>
      <c r="D7" s="219">
        <v>0</v>
      </c>
      <c r="E7" s="219">
        <v>0</v>
      </c>
      <c r="F7" s="219"/>
      <c r="G7" s="219"/>
      <c r="H7" s="219">
        <v>0</v>
      </c>
      <c r="I7" s="219"/>
      <c r="J7" s="219"/>
      <c r="K7" s="219">
        <f t="shared" ref="K7:K70" si="1">L7+M7</f>
        <v>4</v>
      </c>
      <c r="L7" s="219">
        <v>4</v>
      </c>
      <c r="M7" s="219"/>
      <c r="N7" s="219">
        <v>428</v>
      </c>
      <c r="O7" s="219"/>
      <c r="P7" s="219"/>
      <c r="Q7" s="219"/>
      <c r="R7" s="219"/>
      <c r="S7" s="219"/>
      <c r="T7" s="219"/>
      <c r="U7" s="219"/>
      <c r="V7" s="219">
        <v>1</v>
      </c>
      <c r="W7" s="219"/>
      <c r="X7" s="219"/>
      <c r="Y7" s="219"/>
      <c r="Z7" s="219">
        <v>0</v>
      </c>
      <c r="AA7" s="220" t="s">
        <v>2474</v>
      </c>
    </row>
    <row r="8" spans="1:29" ht="16.5" customHeight="1" x14ac:dyDescent="0.3">
      <c r="A8" s="49"/>
      <c r="B8" s="130" t="str">
        <f ca="1">'Translation Table'!H1728</f>
        <v>Aerial Cooler: Hydrocarbon Liquid Service</v>
      </c>
      <c r="C8" s="54" t="str">
        <f ca="1">'Translation Table'!H1728</f>
        <v>Aerial Cooler: Hydrocarbon Liquid Service</v>
      </c>
      <c r="D8" s="219">
        <v>0</v>
      </c>
      <c r="E8" s="219">
        <v>0</v>
      </c>
      <c r="F8" s="219"/>
      <c r="G8" s="219"/>
      <c r="H8" s="219">
        <v>0</v>
      </c>
      <c r="I8" s="219"/>
      <c r="J8" s="219"/>
      <c r="K8" s="219">
        <f t="shared" si="1"/>
        <v>0</v>
      </c>
      <c r="L8" s="219"/>
      <c r="M8" s="219"/>
      <c r="N8" s="219"/>
      <c r="O8" s="219"/>
      <c r="P8" s="219"/>
      <c r="Q8" s="219"/>
      <c r="R8" s="219"/>
      <c r="S8" s="219"/>
      <c r="T8" s="219"/>
      <c r="U8" s="219"/>
      <c r="V8" s="219">
        <v>1</v>
      </c>
      <c r="W8" s="219">
        <v>4</v>
      </c>
      <c r="X8" s="219">
        <v>428</v>
      </c>
      <c r="Y8" s="219"/>
      <c r="Z8" s="219">
        <v>0</v>
      </c>
      <c r="AA8" s="220" t="s">
        <v>2474</v>
      </c>
    </row>
    <row r="9" spans="1:29" ht="16.5" customHeight="1" x14ac:dyDescent="0.3">
      <c r="A9" s="49"/>
      <c r="B9" s="54" t="str">
        <f ca="1">'Translation Table'!H1729</f>
        <v>Chemical Injection Pump: Pneumatic (Diaphragm Type)</v>
      </c>
      <c r="C9" s="54" t="str">
        <f ca="1">'Translation Table'!H1729</f>
        <v>Chemical Injection Pump: Pneumatic (Diaphragm Type)</v>
      </c>
      <c r="D9" s="219">
        <v>0</v>
      </c>
      <c r="E9" s="219">
        <v>1</v>
      </c>
      <c r="F9" s="219"/>
      <c r="G9" s="219"/>
      <c r="H9" s="219">
        <v>0</v>
      </c>
      <c r="I9" s="219"/>
      <c r="J9" s="219"/>
      <c r="K9" s="219">
        <f t="shared" si="1"/>
        <v>1</v>
      </c>
      <c r="L9" s="219">
        <v>1</v>
      </c>
      <c r="M9" s="219">
        <v>0</v>
      </c>
      <c r="N9" s="219">
        <v>6</v>
      </c>
      <c r="O9" s="219">
        <v>1</v>
      </c>
      <c r="P9" s="219"/>
      <c r="Q9" s="219"/>
      <c r="R9" s="219"/>
      <c r="S9" s="219"/>
      <c r="T9" s="219"/>
      <c r="U9" s="219"/>
      <c r="V9" s="219">
        <v>0</v>
      </c>
      <c r="W9" s="219">
        <v>0</v>
      </c>
      <c r="X9" s="219">
        <v>0</v>
      </c>
      <c r="Y9" s="219"/>
      <c r="Z9" s="219">
        <v>0</v>
      </c>
      <c r="AA9" s="220" t="s">
        <v>269</v>
      </c>
      <c r="AC9" s="46">
        <v>0</v>
      </c>
    </row>
    <row r="10" spans="1:29" ht="16.5" customHeight="1" x14ac:dyDescent="0.3">
      <c r="A10" s="49"/>
      <c r="B10" s="130" t="str">
        <f ca="1">'Translation Table'!H1730</f>
        <v>Chemical Injection Pump: Pneumatic (Piston Type)</v>
      </c>
      <c r="C10" s="54" t="str">
        <f ca="1">'Translation Table'!H1730</f>
        <v>Chemical Injection Pump: Pneumatic (Piston Type)</v>
      </c>
      <c r="D10" s="219">
        <v>0</v>
      </c>
      <c r="E10" s="219">
        <v>1</v>
      </c>
      <c r="F10" s="219"/>
      <c r="G10" s="219"/>
      <c r="H10" s="219">
        <v>0</v>
      </c>
      <c r="I10" s="219"/>
      <c r="J10" s="219"/>
      <c r="K10" s="219">
        <f t="shared" si="1"/>
        <v>1</v>
      </c>
      <c r="L10" s="219">
        <v>1</v>
      </c>
      <c r="M10" s="219"/>
      <c r="N10" s="219">
        <v>6</v>
      </c>
      <c r="O10" s="219">
        <v>1</v>
      </c>
      <c r="P10" s="219"/>
      <c r="Q10" s="219"/>
      <c r="R10" s="219"/>
      <c r="S10" s="219"/>
      <c r="T10" s="219"/>
      <c r="U10" s="219"/>
      <c r="V10" s="219">
        <v>0</v>
      </c>
      <c r="W10" s="219">
        <v>0</v>
      </c>
      <c r="X10" s="219">
        <v>0</v>
      </c>
      <c r="Y10" s="219"/>
      <c r="Z10" s="219">
        <v>0</v>
      </c>
      <c r="AA10" s="220" t="s">
        <v>269</v>
      </c>
      <c r="AC10" s="46">
        <v>0</v>
      </c>
    </row>
    <row r="11" spans="1:29" ht="16.5" customHeight="1" x14ac:dyDescent="0.3">
      <c r="A11" s="49"/>
      <c r="B11" s="54" t="str">
        <f ca="1">'Translation Table'!H1731</f>
        <v>Chemical Injection Pump: Pneumatic (Unknown Type)</v>
      </c>
      <c r="C11" s="54" t="str">
        <f ca="1">'Translation Table'!H1731</f>
        <v>Chemical Injection Pump: Pneumatic (Unknown Type)</v>
      </c>
      <c r="D11" s="219">
        <v>0</v>
      </c>
      <c r="E11" s="219">
        <v>1</v>
      </c>
      <c r="F11" s="219"/>
      <c r="G11" s="219"/>
      <c r="H11" s="219">
        <v>0</v>
      </c>
      <c r="I11" s="219"/>
      <c r="J11" s="219"/>
      <c r="K11" s="219">
        <f t="shared" si="1"/>
        <v>1</v>
      </c>
      <c r="L11" s="219">
        <v>1</v>
      </c>
      <c r="M11" s="219"/>
      <c r="N11" s="219">
        <v>6</v>
      </c>
      <c r="O11" s="219">
        <v>1</v>
      </c>
      <c r="P11" s="219"/>
      <c r="Q11" s="219"/>
      <c r="R11" s="219"/>
      <c r="S11" s="219"/>
      <c r="T11" s="219"/>
      <c r="U11" s="219"/>
      <c r="V11" s="219">
        <v>0</v>
      </c>
      <c r="W11" s="219">
        <v>0</v>
      </c>
      <c r="X11" s="219">
        <v>0</v>
      </c>
      <c r="Y11" s="219"/>
      <c r="Z11" s="219">
        <v>0</v>
      </c>
      <c r="AA11" s="220" t="s">
        <v>269</v>
      </c>
      <c r="AC11" s="46">
        <v>0</v>
      </c>
    </row>
    <row r="12" spans="1:29" ht="16.5" customHeight="1" x14ac:dyDescent="0.3">
      <c r="A12" s="49"/>
      <c r="B12" s="130" t="str">
        <f ca="1">'Translation Table'!H1732</f>
        <v>Compressor: Centrifugal: (Stages: 1) (Seals: Wet) (Driver: Electric Motor)</v>
      </c>
      <c r="C12" s="54" t="str">
        <f ca="1">'Translation Table'!H1732</f>
        <v>Compressor: Centrifugal: (Stages: 1) (Seals: Wet) (Driver: Electric Motor)</v>
      </c>
      <c r="D12" s="219">
        <v>1</v>
      </c>
      <c r="E12" s="219">
        <v>3</v>
      </c>
      <c r="F12" s="219"/>
      <c r="G12" s="219"/>
      <c r="H12" s="219">
        <v>0</v>
      </c>
      <c r="I12" s="219"/>
      <c r="J12" s="219"/>
      <c r="K12" s="219">
        <f t="shared" si="1"/>
        <v>48.75</v>
      </c>
      <c r="L12" s="219">
        <v>42.5</v>
      </c>
      <c r="M12" s="219">
        <v>6.25</v>
      </c>
      <c r="N12" s="219">
        <v>1415.25</v>
      </c>
      <c r="O12" s="219">
        <v>1</v>
      </c>
      <c r="P12" s="219"/>
      <c r="Q12" s="219">
        <v>2</v>
      </c>
      <c r="R12" s="219"/>
      <c r="S12" s="219"/>
      <c r="T12" s="219">
        <v>1</v>
      </c>
      <c r="U12" s="219"/>
      <c r="V12" s="219">
        <v>1</v>
      </c>
      <c r="W12" s="219">
        <v>3</v>
      </c>
      <c r="X12" s="219">
        <v>8</v>
      </c>
      <c r="Y12" s="219"/>
      <c r="Z12" s="219">
        <v>1</v>
      </c>
      <c r="AA12" s="220" t="s">
        <v>2474</v>
      </c>
      <c r="AC12" s="46">
        <v>0</v>
      </c>
    </row>
    <row r="13" spans="1:29" ht="16.5" customHeight="1" x14ac:dyDescent="0.3">
      <c r="A13" s="49"/>
      <c r="B13" s="54" t="str">
        <f ca="1">'Translation Table'!H1733</f>
        <v>Compressor: Centrifugal: (Stages: 1) (Seals: Wet) (Driver: Gas Turbine)</v>
      </c>
      <c r="C13" s="54" t="str">
        <f ca="1">'Translation Table'!H1733</f>
        <v>Compressor: Centrifugal: (Stages: 1) (Seals: Wet) (Driver: Gas Turbine)</v>
      </c>
      <c r="D13" s="219">
        <v>2.29</v>
      </c>
      <c r="E13" s="219">
        <v>3.43</v>
      </c>
      <c r="F13" s="219"/>
      <c r="G13" s="219"/>
      <c r="H13" s="219">
        <v>0</v>
      </c>
      <c r="I13" s="219"/>
      <c r="J13" s="219"/>
      <c r="K13" s="219">
        <f t="shared" si="1"/>
        <v>68.61</v>
      </c>
      <c r="L13" s="219">
        <v>62.36</v>
      </c>
      <c r="M13" s="219">
        <v>6.25</v>
      </c>
      <c r="N13" s="219">
        <v>1510.96</v>
      </c>
      <c r="O13" s="219">
        <v>5</v>
      </c>
      <c r="P13" s="219"/>
      <c r="Q13" s="219">
        <v>2</v>
      </c>
      <c r="R13" s="219"/>
      <c r="S13" s="219"/>
      <c r="T13" s="219">
        <v>1</v>
      </c>
      <c r="U13" s="219"/>
      <c r="V13" s="219">
        <v>5</v>
      </c>
      <c r="W13" s="219">
        <v>5</v>
      </c>
      <c r="X13" s="219">
        <v>11</v>
      </c>
      <c r="Y13" s="219"/>
      <c r="Z13" s="219">
        <v>2</v>
      </c>
      <c r="AA13" s="220" t="s">
        <v>2474</v>
      </c>
      <c r="AC13" s="46">
        <v>0</v>
      </c>
    </row>
    <row r="14" spans="1:29" ht="16.5" customHeight="1" x14ac:dyDescent="0.3">
      <c r="A14" s="49"/>
      <c r="B14" s="130" t="str">
        <f ca="1">'Translation Table'!H1734</f>
        <v>Compressor: Centrifugal: (Stages: 2) (Seals: Wet) (Driver: Electric Motor)</v>
      </c>
      <c r="C14" s="54" t="str">
        <f ca="1">'Translation Table'!H1734</f>
        <v>Compressor: Centrifugal: (Stages: 2) (Seals: Wet) (Driver: Electric Motor)</v>
      </c>
      <c r="D14" s="219">
        <v>2</v>
      </c>
      <c r="E14" s="219">
        <v>4.5</v>
      </c>
      <c r="F14" s="219"/>
      <c r="G14" s="219"/>
      <c r="H14" s="219">
        <v>0</v>
      </c>
      <c r="I14" s="219"/>
      <c r="J14" s="219"/>
      <c r="K14" s="219">
        <f t="shared" si="1"/>
        <v>76.5</v>
      </c>
      <c r="L14" s="219">
        <v>69.25</v>
      </c>
      <c r="M14" s="219">
        <v>7.25</v>
      </c>
      <c r="N14" s="219">
        <v>2736.75</v>
      </c>
      <c r="O14" s="219">
        <v>1</v>
      </c>
      <c r="P14" s="219"/>
      <c r="Q14" s="219">
        <v>4</v>
      </c>
      <c r="R14" s="219"/>
      <c r="S14" s="219"/>
      <c r="T14" s="219">
        <v>1</v>
      </c>
      <c r="U14" s="219"/>
      <c r="V14" s="219">
        <v>5</v>
      </c>
      <c r="W14" s="219">
        <v>6</v>
      </c>
      <c r="X14" s="219">
        <v>16</v>
      </c>
      <c r="Y14" s="219"/>
      <c r="Z14" s="219">
        <v>2</v>
      </c>
      <c r="AA14" s="220" t="s">
        <v>2474</v>
      </c>
      <c r="AC14" s="46">
        <v>0</v>
      </c>
    </row>
    <row r="15" spans="1:29" ht="16.5" customHeight="1" x14ac:dyDescent="0.3">
      <c r="A15" s="49"/>
      <c r="B15" s="54" t="str">
        <f ca="1">'Translation Table'!H1735</f>
        <v>Compressor: Centrifugal: (Stages: 2) (Seals: Wet) (Driver: Gas Turbine)</v>
      </c>
      <c r="C15" s="54" t="str">
        <f ca="1">'Translation Table'!H1735</f>
        <v>Compressor: Centrifugal: (Stages: 2) (Seals: Wet) (Driver: Gas Turbine)</v>
      </c>
      <c r="D15" s="219">
        <v>5</v>
      </c>
      <c r="E15" s="219">
        <v>4.93</v>
      </c>
      <c r="F15" s="219"/>
      <c r="G15" s="219"/>
      <c r="H15" s="219">
        <v>0</v>
      </c>
      <c r="I15" s="219"/>
      <c r="J15" s="219"/>
      <c r="K15" s="219">
        <f t="shared" si="1"/>
        <v>96.46</v>
      </c>
      <c r="L15" s="219">
        <v>89.11</v>
      </c>
      <c r="M15" s="219">
        <v>7.35</v>
      </c>
      <c r="N15" s="219">
        <v>2832.46</v>
      </c>
      <c r="O15" s="219">
        <v>5</v>
      </c>
      <c r="P15" s="219"/>
      <c r="Q15" s="219">
        <v>4</v>
      </c>
      <c r="R15" s="219"/>
      <c r="S15" s="219"/>
      <c r="T15" s="219">
        <v>1</v>
      </c>
      <c r="U15" s="219"/>
      <c r="V15" s="219">
        <v>5</v>
      </c>
      <c r="W15" s="219">
        <v>6</v>
      </c>
      <c r="X15" s="219">
        <v>16</v>
      </c>
      <c r="Y15" s="219"/>
      <c r="Z15" s="219">
        <v>3</v>
      </c>
      <c r="AA15" s="220" t="s">
        <v>2474</v>
      </c>
      <c r="AC15" s="46">
        <v>0</v>
      </c>
    </row>
    <row r="16" spans="1:29" ht="16.5" customHeight="1" x14ac:dyDescent="0.3">
      <c r="A16" s="49"/>
      <c r="B16" s="130" t="str">
        <f ca="1">'Translation Table'!H1736</f>
        <v>Compressor: Centrifugal: (Stages: 1) (Seals: Dry) (Driver: Electric Motor)</v>
      </c>
      <c r="C16" s="54" t="str">
        <f ca="1">'Translation Table'!H1736</f>
        <v>Compressor: Centrifugal: (Stages: 1) (Seals: Dry) (Driver: Electric Motor)</v>
      </c>
      <c r="D16" s="219">
        <v>1</v>
      </c>
      <c r="E16" s="219">
        <v>3</v>
      </c>
      <c r="F16" s="219"/>
      <c r="G16" s="219"/>
      <c r="H16" s="219">
        <v>0</v>
      </c>
      <c r="I16" s="219"/>
      <c r="J16" s="219"/>
      <c r="K16" s="219">
        <f t="shared" si="1"/>
        <v>48.75</v>
      </c>
      <c r="L16" s="219">
        <v>42.5</v>
      </c>
      <c r="M16" s="219">
        <v>6.25</v>
      </c>
      <c r="N16" s="219">
        <v>1415.25</v>
      </c>
      <c r="O16" s="219">
        <v>1</v>
      </c>
      <c r="P16" s="219"/>
      <c r="Q16" s="219"/>
      <c r="R16" s="219">
        <v>2</v>
      </c>
      <c r="S16" s="219"/>
      <c r="T16" s="219">
        <v>1</v>
      </c>
      <c r="U16" s="219"/>
      <c r="V16" s="219">
        <v>1</v>
      </c>
      <c r="W16" s="219">
        <v>3</v>
      </c>
      <c r="X16" s="219">
        <v>8</v>
      </c>
      <c r="Y16" s="219"/>
      <c r="Z16" s="219">
        <v>1</v>
      </c>
      <c r="AA16" s="220" t="s">
        <v>2474</v>
      </c>
      <c r="AC16" s="46">
        <v>0</v>
      </c>
    </row>
    <row r="17" spans="1:29" ht="16.5" customHeight="1" x14ac:dyDescent="0.3">
      <c r="A17" s="49"/>
      <c r="B17" s="54" t="str">
        <f ca="1">'Translation Table'!H1737</f>
        <v>Compressor: Centrifugal: (Stages: 1) (Seals: Dry) (Driver: Gas Turbine)</v>
      </c>
      <c r="C17" s="54" t="str">
        <f ca="1">'Translation Table'!H1737</f>
        <v>Compressor: Centrifugal: (Stages: 1) (Seals: Dry) (Driver: Gas Turbine)</v>
      </c>
      <c r="D17" s="219">
        <v>2.29</v>
      </c>
      <c r="E17" s="219">
        <v>3.43</v>
      </c>
      <c r="F17" s="219"/>
      <c r="G17" s="219"/>
      <c r="H17" s="219">
        <v>0</v>
      </c>
      <c r="I17" s="219"/>
      <c r="J17" s="219"/>
      <c r="K17" s="219">
        <f t="shared" si="1"/>
        <v>68.61</v>
      </c>
      <c r="L17" s="219">
        <v>62.36</v>
      </c>
      <c r="M17" s="219">
        <v>6.25</v>
      </c>
      <c r="N17" s="219">
        <v>1510.96</v>
      </c>
      <c r="O17" s="219">
        <v>5</v>
      </c>
      <c r="P17" s="219"/>
      <c r="Q17" s="219"/>
      <c r="R17" s="219">
        <v>2</v>
      </c>
      <c r="S17" s="219"/>
      <c r="T17" s="219">
        <v>1</v>
      </c>
      <c r="U17" s="219"/>
      <c r="V17" s="219">
        <v>5</v>
      </c>
      <c r="W17" s="219">
        <v>5</v>
      </c>
      <c r="X17" s="219">
        <v>11</v>
      </c>
      <c r="Y17" s="219"/>
      <c r="Z17" s="219">
        <v>2</v>
      </c>
      <c r="AA17" s="220" t="s">
        <v>2474</v>
      </c>
      <c r="AC17" s="46">
        <v>0</v>
      </c>
    </row>
    <row r="18" spans="1:29" ht="16.5" customHeight="1" x14ac:dyDescent="0.3">
      <c r="A18" s="49"/>
      <c r="B18" s="130" t="str">
        <f ca="1">'Translation Table'!H1738</f>
        <v>Compressor: Centrifugal: (Stages: 2) (Seals: Dry) (Driver: Electric Motor)</v>
      </c>
      <c r="C18" s="54" t="str">
        <f ca="1">'Translation Table'!H1738</f>
        <v>Compressor: Centrifugal: (Stages: 2) (Seals: Dry) (Driver: Electric Motor)</v>
      </c>
      <c r="D18" s="219">
        <v>2</v>
      </c>
      <c r="E18" s="219">
        <v>4.5</v>
      </c>
      <c r="F18" s="219"/>
      <c r="G18" s="219"/>
      <c r="H18" s="219">
        <v>0</v>
      </c>
      <c r="I18" s="219"/>
      <c r="J18" s="219"/>
      <c r="K18" s="219">
        <f t="shared" si="1"/>
        <v>76.5</v>
      </c>
      <c r="L18" s="219">
        <v>69.25</v>
      </c>
      <c r="M18" s="219">
        <v>7.25</v>
      </c>
      <c r="N18" s="219">
        <v>2736.75</v>
      </c>
      <c r="O18" s="219">
        <v>1</v>
      </c>
      <c r="P18" s="219"/>
      <c r="Q18" s="219"/>
      <c r="R18" s="219">
        <v>4</v>
      </c>
      <c r="S18" s="219"/>
      <c r="T18" s="219">
        <v>1</v>
      </c>
      <c r="U18" s="219"/>
      <c r="V18" s="219">
        <v>5</v>
      </c>
      <c r="W18" s="219">
        <v>6</v>
      </c>
      <c r="X18" s="219">
        <v>16</v>
      </c>
      <c r="Y18" s="219"/>
      <c r="Z18" s="219">
        <v>2</v>
      </c>
      <c r="AA18" s="220" t="s">
        <v>2474</v>
      </c>
      <c r="AC18" s="46">
        <v>0</v>
      </c>
    </row>
    <row r="19" spans="1:29" ht="16.5" customHeight="1" x14ac:dyDescent="0.3">
      <c r="A19" s="49"/>
      <c r="B19" s="54" t="str">
        <f ca="1">'Translation Table'!H1739</f>
        <v>Compressor: Centrifugal: (Stages: 2) (Seals: Dry) (Driver: Gas Turbine)</v>
      </c>
      <c r="C19" s="54" t="str">
        <f ca="1">'Translation Table'!H1739</f>
        <v>Compressor: Centrifugal: (Stages: 2) (Seals: Dry) (Driver: Gas Turbine)</v>
      </c>
      <c r="D19" s="219">
        <v>5</v>
      </c>
      <c r="E19" s="219">
        <v>4.93</v>
      </c>
      <c r="F19" s="219"/>
      <c r="G19" s="219"/>
      <c r="H19" s="219">
        <v>0</v>
      </c>
      <c r="I19" s="219"/>
      <c r="J19" s="219"/>
      <c r="K19" s="219">
        <f t="shared" si="1"/>
        <v>96.46</v>
      </c>
      <c r="L19" s="219">
        <v>89.11</v>
      </c>
      <c r="M19" s="219">
        <v>7.35</v>
      </c>
      <c r="N19" s="219">
        <v>2832.46</v>
      </c>
      <c r="O19" s="219">
        <v>5</v>
      </c>
      <c r="P19" s="219"/>
      <c r="Q19" s="219"/>
      <c r="R19" s="219">
        <v>4</v>
      </c>
      <c r="S19" s="219"/>
      <c r="T19" s="219">
        <v>1</v>
      </c>
      <c r="U19" s="219"/>
      <c r="V19" s="219">
        <v>5</v>
      </c>
      <c r="W19" s="219">
        <v>6</v>
      </c>
      <c r="X19" s="219">
        <v>16</v>
      </c>
      <c r="Y19" s="219"/>
      <c r="Z19" s="219">
        <v>3</v>
      </c>
      <c r="AA19" s="220" t="s">
        <v>2474</v>
      </c>
      <c r="AC19" s="46">
        <v>0</v>
      </c>
    </row>
    <row r="20" spans="1:29" ht="16.5" customHeight="1" x14ac:dyDescent="0.3">
      <c r="A20" s="49"/>
      <c r="B20" s="130" t="str">
        <f ca="1">'Translation Table'!H1740</f>
        <v>Compressor: Reciprocating: (Stages: 1) (Driver: Electric Motor)</v>
      </c>
      <c r="C20" s="54" t="str">
        <f ca="1">'Translation Table'!H1740</f>
        <v>Compressor: Reciprocating: (Stages: 1) (Driver: Electric Motor)</v>
      </c>
      <c r="D20" s="219">
        <v>3</v>
      </c>
      <c r="E20" s="219">
        <v>3</v>
      </c>
      <c r="F20" s="219"/>
      <c r="G20" s="219"/>
      <c r="H20" s="219">
        <v>0</v>
      </c>
      <c r="I20" s="219"/>
      <c r="J20" s="219"/>
      <c r="K20" s="219">
        <f t="shared" si="1"/>
        <v>38.17</v>
      </c>
      <c r="L20" s="219">
        <v>33.5</v>
      </c>
      <c r="M20" s="219">
        <v>4.67</v>
      </c>
      <c r="N20" s="219">
        <v>489.83</v>
      </c>
      <c r="O20" s="219">
        <v>1.33</v>
      </c>
      <c r="P20" s="219">
        <v>4</v>
      </c>
      <c r="Q20" s="219"/>
      <c r="R20" s="219"/>
      <c r="S20" s="219">
        <v>1</v>
      </c>
      <c r="T20" s="219">
        <v>1</v>
      </c>
      <c r="U20" s="219">
        <v>0</v>
      </c>
      <c r="V20" s="219">
        <v>3</v>
      </c>
      <c r="W20" s="219">
        <v>4</v>
      </c>
      <c r="X20" s="219">
        <v>20</v>
      </c>
      <c r="Y20" s="219"/>
      <c r="Z20" s="219">
        <v>1</v>
      </c>
      <c r="AA20" s="220" t="s">
        <v>2474</v>
      </c>
      <c r="AC20" s="46">
        <v>0</v>
      </c>
    </row>
    <row r="21" spans="1:29" ht="16.5" customHeight="1" x14ac:dyDescent="0.3">
      <c r="A21" s="49"/>
      <c r="B21" s="54" t="str">
        <f ca="1">'Translation Table'!H1741</f>
        <v>Compressor: Reciprocating: (Stages: 1) (Driver: Recip Engine)</v>
      </c>
      <c r="C21" s="54" t="str">
        <f ca="1">'Translation Table'!H1741</f>
        <v>Compressor: Reciprocating: (Stages: 1) (Driver: Recip Engine)</v>
      </c>
      <c r="D21" s="219">
        <v>3.79</v>
      </c>
      <c r="E21" s="219">
        <v>3.43</v>
      </c>
      <c r="F21" s="219"/>
      <c r="G21" s="219"/>
      <c r="H21" s="219">
        <v>0</v>
      </c>
      <c r="I21" s="219"/>
      <c r="J21" s="219"/>
      <c r="K21" s="219">
        <f t="shared" si="1"/>
        <v>50.53</v>
      </c>
      <c r="L21" s="219">
        <v>44.86</v>
      </c>
      <c r="M21" s="219">
        <v>5.67</v>
      </c>
      <c r="N21" s="219">
        <v>592.29999999999995</v>
      </c>
      <c r="O21" s="219">
        <v>2.33</v>
      </c>
      <c r="P21" s="219">
        <v>4</v>
      </c>
      <c r="Q21" s="219"/>
      <c r="R21" s="219"/>
      <c r="S21" s="219">
        <v>1</v>
      </c>
      <c r="T21" s="219">
        <v>1</v>
      </c>
      <c r="U21" s="219">
        <v>0</v>
      </c>
      <c r="V21" s="219">
        <v>3</v>
      </c>
      <c r="W21" s="219">
        <v>4</v>
      </c>
      <c r="X21" s="219">
        <v>20</v>
      </c>
      <c r="Y21" s="219"/>
      <c r="Z21" s="219">
        <v>1</v>
      </c>
      <c r="AA21" s="220" t="s">
        <v>2474</v>
      </c>
      <c r="AC21" s="46">
        <v>0</v>
      </c>
    </row>
    <row r="22" spans="1:29" ht="16.5" customHeight="1" x14ac:dyDescent="0.3">
      <c r="A22" s="49"/>
      <c r="B22" s="130" t="str">
        <f ca="1">'Translation Table'!H1742</f>
        <v>Compressor: Reciprocating: (Stages: 2) (Driver: Electric Motor)</v>
      </c>
      <c r="C22" s="54" t="str">
        <f ca="1">'Translation Table'!H1742</f>
        <v>Compressor: Reciprocating: (Stages: 2) (Driver: Electric Motor)</v>
      </c>
      <c r="D22" s="219">
        <v>3</v>
      </c>
      <c r="E22" s="219">
        <v>3.33</v>
      </c>
      <c r="F22" s="219"/>
      <c r="G22" s="219"/>
      <c r="H22" s="219">
        <v>0</v>
      </c>
      <c r="I22" s="219"/>
      <c r="J22" s="219"/>
      <c r="K22" s="219">
        <f t="shared" si="1"/>
        <v>43.83</v>
      </c>
      <c r="L22" s="219">
        <v>38.83</v>
      </c>
      <c r="M22" s="219">
        <v>5</v>
      </c>
      <c r="N22" s="219">
        <v>786.17</v>
      </c>
      <c r="O22" s="219">
        <v>1.67</v>
      </c>
      <c r="P22" s="219">
        <v>4</v>
      </c>
      <c r="Q22" s="219"/>
      <c r="R22" s="219"/>
      <c r="S22" s="219">
        <v>1</v>
      </c>
      <c r="T22" s="219">
        <v>1</v>
      </c>
      <c r="U22" s="219">
        <v>0</v>
      </c>
      <c r="V22" s="219">
        <v>4</v>
      </c>
      <c r="W22" s="219">
        <v>8</v>
      </c>
      <c r="X22" s="219">
        <v>40</v>
      </c>
      <c r="Y22" s="219"/>
      <c r="Z22" s="219">
        <v>2</v>
      </c>
      <c r="AA22" s="220" t="s">
        <v>2474</v>
      </c>
      <c r="AC22" s="46">
        <v>0</v>
      </c>
    </row>
    <row r="23" spans="1:29" ht="16.5" customHeight="1" x14ac:dyDescent="0.3">
      <c r="A23" s="49"/>
      <c r="B23" s="54" t="str">
        <f ca="1">'Translation Table'!H1743</f>
        <v>Compressor: Reciprocating: (Stages: 2) (Driver: Recip Engine)</v>
      </c>
      <c r="C23" s="54" t="str">
        <f ca="1">'Translation Table'!H1743</f>
        <v>Compressor: Reciprocating: (Stages: 2) (Driver: Recip Engine)</v>
      </c>
      <c r="D23" s="219">
        <v>3.79</v>
      </c>
      <c r="E23" s="219">
        <v>3.76</v>
      </c>
      <c r="F23" s="219"/>
      <c r="G23" s="219"/>
      <c r="H23" s="219">
        <v>0</v>
      </c>
      <c r="I23" s="219"/>
      <c r="J23" s="219"/>
      <c r="K23" s="219">
        <f t="shared" si="1"/>
        <v>56.19</v>
      </c>
      <c r="L23" s="219">
        <v>50.19</v>
      </c>
      <c r="M23" s="219">
        <v>6</v>
      </c>
      <c r="N23" s="219">
        <v>888.63</v>
      </c>
      <c r="O23" s="219">
        <v>2.67</v>
      </c>
      <c r="P23" s="219">
        <v>4</v>
      </c>
      <c r="Q23" s="219"/>
      <c r="R23" s="219"/>
      <c r="S23" s="219">
        <v>1</v>
      </c>
      <c r="T23" s="219">
        <v>1</v>
      </c>
      <c r="U23" s="219">
        <v>0</v>
      </c>
      <c r="V23" s="219">
        <v>4</v>
      </c>
      <c r="W23" s="219">
        <v>8</v>
      </c>
      <c r="X23" s="219">
        <v>40</v>
      </c>
      <c r="Y23" s="219"/>
      <c r="Z23" s="219">
        <v>2</v>
      </c>
      <c r="AA23" s="220" t="s">
        <v>2474</v>
      </c>
      <c r="AC23" s="46">
        <v>0</v>
      </c>
    </row>
    <row r="24" spans="1:29" ht="16.5" customHeight="1" x14ac:dyDescent="0.3">
      <c r="A24" s="49"/>
      <c r="B24" s="130" t="str">
        <f ca="1">'Translation Table'!H1744</f>
        <v>Compressor: Reciprocating: (Stages: 3) (Driver: Electric Motor)</v>
      </c>
      <c r="C24" s="54" t="str">
        <f ca="1">'Translation Table'!H1744</f>
        <v>Compressor: Reciprocating: (Stages: 3) (Driver: Electric Motor)</v>
      </c>
      <c r="D24" s="219">
        <v>4</v>
      </c>
      <c r="E24" s="219">
        <v>4.33</v>
      </c>
      <c r="F24" s="219"/>
      <c r="G24" s="219"/>
      <c r="H24" s="219">
        <v>0</v>
      </c>
      <c r="I24" s="219"/>
      <c r="J24" s="219"/>
      <c r="K24" s="219">
        <f t="shared" si="1"/>
        <v>56.83</v>
      </c>
      <c r="L24" s="219">
        <v>51.5</v>
      </c>
      <c r="M24" s="219">
        <v>5.33</v>
      </c>
      <c r="N24" s="219">
        <v>1138.5</v>
      </c>
      <c r="O24" s="219">
        <v>2</v>
      </c>
      <c r="P24" s="219">
        <v>6</v>
      </c>
      <c r="Q24" s="219"/>
      <c r="R24" s="219"/>
      <c r="S24" s="219">
        <v>1</v>
      </c>
      <c r="T24" s="219">
        <v>1</v>
      </c>
      <c r="U24" s="219">
        <v>0</v>
      </c>
      <c r="V24" s="219">
        <v>5</v>
      </c>
      <c r="W24" s="219">
        <v>12</v>
      </c>
      <c r="X24" s="219">
        <v>60</v>
      </c>
      <c r="Y24" s="219"/>
      <c r="Z24" s="219">
        <v>3</v>
      </c>
      <c r="AA24" s="220" t="s">
        <v>2474</v>
      </c>
      <c r="AC24" s="46">
        <v>0</v>
      </c>
    </row>
    <row r="25" spans="1:29" ht="16.5" customHeight="1" x14ac:dyDescent="0.3">
      <c r="A25" s="49"/>
      <c r="B25" s="54" t="str">
        <f ca="1">'Translation Table'!H1745</f>
        <v>Compressor: Reciprocating: (Stages: 3) (Driver: Recip Engine)</v>
      </c>
      <c r="C25" s="54" t="str">
        <f ca="1">'Translation Table'!H1745</f>
        <v>Compressor: Reciprocating: (Stages: 3) (Driver: Recip Engine)</v>
      </c>
      <c r="D25" s="219">
        <v>4.29</v>
      </c>
      <c r="E25" s="219">
        <v>4.76</v>
      </c>
      <c r="F25" s="219"/>
      <c r="G25" s="219"/>
      <c r="H25" s="219">
        <v>0</v>
      </c>
      <c r="I25" s="219"/>
      <c r="J25" s="219"/>
      <c r="K25" s="219">
        <f t="shared" si="1"/>
        <v>69.19</v>
      </c>
      <c r="L25" s="219">
        <v>62.86</v>
      </c>
      <c r="M25" s="219">
        <v>6.33</v>
      </c>
      <c r="N25" s="219">
        <v>1240.96</v>
      </c>
      <c r="O25" s="219">
        <v>3</v>
      </c>
      <c r="P25" s="219">
        <v>6</v>
      </c>
      <c r="Q25" s="219"/>
      <c r="R25" s="219"/>
      <c r="S25" s="219">
        <v>1</v>
      </c>
      <c r="T25" s="219">
        <v>1</v>
      </c>
      <c r="U25" s="219">
        <v>0</v>
      </c>
      <c r="V25" s="219">
        <v>5</v>
      </c>
      <c r="W25" s="219">
        <v>12</v>
      </c>
      <c r="X25" s="219">
        <v>60</v>
      </c>
      <c r="Y25" s="219"/>
      <c r="Z25" s="219">
        <v>3</v>
      </c>
      <c r="AA25" s="220" t="s">
        <v>2474</v>
      </c>
      <c r="AC25" s="46">
        <v>0</v>
      </c>
    </row>
    <row r="26" spans="1:29" ht="16.5" customHeight="1" x14ac:dyDescent="0.3">
      <c r="A26" s="49"/>
      <c r="B26" s="130" t="str">
        <f ca="1">'Translation Table'!H1746</f>
        <v>Compressor: Reciprocating: (Stages 4) (Driver: Electric Motor)</v>
      </c>
      <c r="C26" s="54" t="str">
        <f ca="1">'Translation Table'!H1746</f>
        <v>Compressor: Reciprocating: (Stages 4) (Driver: Electric Motor)</v>
      </c>
      <c r="D26" s="219">
        <v>7</v>
      </c>
      <c r="E26" s="219">
        <v>5.33</v>
      </c>
      <c r="F26" s="219"/>
      <c r="G26" s="219"/>
      <c r="H26" s="219">
        <v>0</v>
      </c>
      <c r="I26" s="219"/>
      <c r="J26" s="219"/>
      <c r="K26" s="219">
        <f t="shared" si="1"/>
        <v>69.84</v>
      </c>
      <c r="L26" s="219">
        <v>64.17</v>
      </c>
      <c r="M26" s="219">
        <v>5.67</v>
      </c>
      <c r="N26" s="219">
        <v>1490.83</v>
      </c>
      <c r="O26" s="219">
        <v>2.33</v>
      </c>
      <c r="P26" s="219">
        <v>8</v>
      </c>
      <c r="Q26" s="219"/>
      <c r="R26" s="219"/>
      <c r="S26" s="219">
        <v>1</v>
      </c>
      <c r="T26" s="219">
        <v>1</v>
      </c>
      <c r="U26" s="219">
        <v>0</v>
      </c>
      <c r="V26" s="219">
        <v>6</v>
      </c>
      <c r="W26" s="219">
        <v>16</v>
      </c>
      <c r="X26" s="219">
        <v>80</v>
      </c>
      <c r="Y26" s="219"/>
      <c r="Z26" s="219">
        <v>4</v>
      </c>
      <c r="AA26" s="220" t="s">
        <v>2474</v>
      </c>
    </row>
    <row r="27" spans="1:29" ht="16.5" customHeight="1" x14ac:dyDescent="0.3">
      <c r="A27" s="49"/>
      <c r="B27" s="54" t="str">
        <f ca="1">'Translation Table'!H1747</f>
        <v>Compressor: Reciprocating: (Stages 4) (Driver: Recip Engine)</v>
      </c>
      <c r="C27" s="54" t="str">
        <f ca="1">'Translation Table'!H1747</f>
        <v>Compressor: Reciprocating: (Stages 4) (Driver: Recip Engine)</v>
      </c>
      <c r="D27" s="219">
        <v>7.79</v>
      </c>
      <c r="E27" s="219">
        <v>5.76</v>
      </c>
      <c r="F27" s="219"/>
      <c r="G27" s="219"/>
      <c r="H27" s="219">
        <v>0</v>
      </c>
      <c r="I27" s="219"/>
      <c r="J27" s="219"/>
      <c r="K27" s="219">
        <f t="shared" si="1"/>
        <v>82.19</v>
      </c>
      <c r="L27" s="219">
        <v>75.52</v>
      </c>
      <c r="M27" s="219">
        <v>6.67</v>
      </c>
      <c r="N27" s="219">
        <v>1593.3</v>
      </c>
      <c r="O27" s="219">
        <v>3.33</v>
      </c>
      <c r="P27" s="219">
        <v>8</v>
      </c>
      <c r="Q27" s="219"/>
      <c r="R27" s="219"/>
      <c r="S27" s="219">
        <v>1</v>
      </c>
      <c r="T27" s="219">
        <v>1</v>
      </c>
      <c r="U27" s="219">
        <v>0</v>
      </c>
      <c r="V27" s="219">
        <v>6</v>
      </c>
      <c r="W27" s="219">
        <v>16</v>
      </c>
      <c r="X27" s="219">
        <v>80</v>
      </c>
      <c r="Y27" s="219"/>
      <c r="Z27" s="219">
        <v>4</v>
      </c>
      <c r="AA27" s="220" t="s">
        <v>2474</v>
      </c>
    </row>
    <row r="28" spans="1:29" ht="16.5" customHeight="1" x14ac:dyDescent="0.3">
      <c r="A28" s="49"/>
      <c r="B28" s="130" t="str">
        <f ca="1">'Translation Table'!H1748</f>
        <v>Compressor: Screw (Driver: Electric Motor)</v>
      </c>
      <c r="C28" s="54" t="str">
        <f ca="1">'Translation Table'!H1748</f>
        <v>Compressor: Screw (Driver: Electric Motor)</v>
      </c>
      <c r="D28" s="219">
        <v>2</v>
      </c>
      <c r="E28" s="219">
        <v>0</v>
      </c>
      <c r="F28" s="219"/>
      <c r="G28" s="219"/>
      <c r="H28" s="219">
        <v>0</v>
      </c>
      <c r="I28" s="219"/>
      <c r="J28" s="219"/>
      <c r="K28" s="219">
        <f t="shared" si="1"/>
        <v>33.5</v>
      </c>
      <c r="L28" s="219">
        <v>33.5</v>
      </c>
      <c r="M28" s="219"/>
      <c r="N28" s="219">
        <v>205.5</v>
      </c>
      <c r="O28" s="219">
        <v>1.5</v>
      </c>
      <c r="P28" s="219"/>
      <c r="Q28" s="219"/>
      <c r="R28" s="219"/>
      <c r="S28" s="219"/>
      <c r="T28" s="219"/>
      <c r="U28" s="219"/>
      <c r="V28" s="219">
        <v>3</v>
      </c>
      <c r="W28" s="219">
        <v>3</v>
      </c>
      <c r="X28" s="219">
        <v>6</v>
      </c>
      <c r="Y28" s="219"/>
      <c r="Z28" s="219">
        <v>1</v>
      </c>
      <c r="AA28" s="220" t="s">
        <v>2474</v>
      </c>
      <c r="AC28" s="46">
        <v>0</v>
      </c>
    </row>
    <row r="29" spans="1:29" ht="16.5" customHeight="1" x14ac:dyDescent="0.3">
      <c r="A29" s="49"/>
      <c r="B29" s="54" t="str">
        <f ca="1">'Translation Table'!H1749</f>
        <v>Compressor: Screw (Driver: Recip Engine)</v>
      </c>
      <c r="C29" s="54" t="str">
        <f ca="1">'Translation Table'!H1749</f>
        <v>Compressor: Screw (Driver: Recip Engine)</v>
      </c>
      <c r="D29" s="219">
        <v>2</v>
      </c>
      <c r="E29" s="219">
        <v>0</v>
      </c>
      <c r="F29" s="219"/>
      <c r="G29" s="219"/>
      <c r="H29" s="219">
        <v>0</v>
      </c>
      <c r="I29" s="219"/>
      <c r="J29" s="219"/>
      <c r="K29" s="219">
        <f t="shared" si="1"/>
        <v>36</v>
      </c>
      <c r="L29" s="219">
        <v>36</v>
      </c>
      <c r="M29" s="219"/>
      <c r="N29" s="219">
        <v>228</v>
      </c>
      <c r="O29" s="219">
        <v>2</v>
      </c>
      <c r="P29" s="219"/>
      <c r="Q29" s="219"/>
      <c r="R29" s="219"/>
      <c r="S29" s="219"/>
      <c r="T29" s="219"/>
      <c r="U29" s="219"/>
      <c r="V29" s="219">
        <v>3</v>
      </c>
      <c r="W29" s="219">
        <v>3</v>
      </c>
      <c r="X29" s="219">
        <v>6</v>
      </c>
      <c r="Y29" s="219"/>
      <c r="Z29" s="219">
        <v>1</v>
      </c>
      <c r="AA29" s="220" t="s">
        <v>517</v>
      </c>
      <c r="AC29" s="46">
        <v>0</v>
      </c>
    </row>
    <row r="30" spans="1:29" ht="16.5" customHeight="1" x14ac:dyDescent="0.3">
      <c r="A30" s="49"/>
      <c r="B30" s="130" t="str">
        <f ca="1">'Translation Table'!H1750</f>
        <v>Dehydration: Desiccant (Adsorber Columns: 2)</v>
      </c>
      <c r="C30" s="54" t="str">
        <f ca="1">'Translation Table'!H1750</f>
        <v>Dehydration: Desiccant (Adsorber Columns: 2)</v>
      </c>
      <c r="D30" s="219">
        <v>2</v>
      </c>
      <c r="E30" s="219">
        <v>0</v>
      </c>
      <c r="F30" s="219"/>
      <c r="G30" s="219"/>
      <c r="H30" s="219">
        <v>0</v>
      </c>
      <c r="I30" s="219"/>
      <c r="J30" s="219"/>
      <c r="K30" s="219">
        <f t="shared" si="1"/>
        <v>24</v>
      </c>
      <c r="L30" s="219">
        <v>24</v>
      </c>
      <c r="M30" s="219"/>
      <c r="N30" s="219">
        <v>100</v>
      </c>
      <c r="O30" s="219">
        <v>2</v>
      </c>
      <c r="P30" s="219"/>
      <c r="Q30" s="219"/>
      <c r="R30" s="219"/>
      <c r="S30" s="219"/>
      <c r="T30" s="219"/>
      <c r="U30" s="219"/>
      <c r="V30" s="219">
        <v>5</v>
      </c>
      <c r="W30" s="219">
        <v>7</v>
      </c>
      <c r="X30" s="219">
        <v>14</v>
      </c>
      <c r="Y30" s="219"/>
      <c r="Z30" s="219">
        <v>3</v>
      </c>
      <c r="AA30" s="220" t="s">
        <v>517</v>
      </c>
      <c r="AC30" s="46">
        <v>0</v>
      </c>
    </row>
    <row r="31" spans="1:29" ht="16.5" customHeight="1" x14ac:dyDescent="0.3">
      <c r="A31" s="49"/>
      <c r="B31" s="54" t="str">
        <f ca="1">'Translation Table'!H1751</f>
        <v>Dehydration: Desiccant (Adsorber Columns: 3)</v>
      </c>
      <c r="C31" s="54" t="str">
        <f ca="1">'Translation Table'!H1751</f>
        <v>Dehydration: Desiccant (Adsorber Columns: 3)</v>
      </c>
      <c r="D31" s="219">
        <v>3</v>
      </c>
      <c r="E31" s="219">
        <v>0</v>
      </c>
      <c r="F31" s="219"/>
      <c r="G31" s="219"/>
      <c r="H31" s="219">
        <v>0</v>
      </c>
      <c r="I31" s="219"/>
      <c r="J31" s="219"/>
      <c r="K31" s="219">
        <f t="shared" si="1"/>
        <v>30</v>
      </c>
      <c r="L31" s="219">
        <v>30</v>
      </c>
      <c r="M31" s="219"/>
      <c r="N31" s="219">
        <v>84</v>
      </c>
      <c r="O31" s="219">
        <v>2</v>
      </c>
      <c r="P31" s="219"/>
      <c r="Q31" s="219"/>
      <c r="R31" s="219"/>
      <c r="S31" s="219"/>
      <c r="T31" s="219"/>
      <c r="U31" s="219"/>
      <c r="V31" s="219">
        <v>5</v>
      </c>
      <c r="W31" s="219">
        <v>10</v>
      </c>
      <c r="X31" s="219">
        <v>20</v>
      </c>
      <c r="Y31" s="219"/>
      <c r="Z31" s="219">
        <v>4</v>
      </c>
      <c r="AA31" s="220" t="s">
        <v>2474</v>
      </c>
      <c r="AC31" s="46">
        <v>0</v>
      </c>
    </row>
    <row r="32" spans="1:29" ht="16.5" customHeight="1" x14ac:dyDescent="0.3">
      <c r="A32" s="49"/>
      <c r="B32" s="130" t="str">
        <f ca="1">'Translation Table'!H1752</f>
        <v>Dehydration: Glycol (with Gas-assisted Pump)</v>
      </c>
      <c r="C32" s="54" t="str">
        <f ca="1">'Translation Table'!H1752</f>
        <v>Dehydration: Glycol (with Gas-assisted Pump)</v>
      </c>
      <c r="D32" s="219">
        <v>1</v>
      </c>
      <c r="E32" s="219">
        <v>0</v>
      </c>
      <c r="F32" s="219"/>
      <c r="G32" s="219"/>
      <c r="H32" s="219">
        <v>0</v>
      </c>
      <c r="I32" s="219"/>
      <c r="J32" s="219"/>
      <c r="K32" s="219">
        <f t="shared" si="1"/>
        <v>24</v>
      </c>
      <c r="L32" s="219">
        <v>24</v>
      </c>
      <c r="M32" s="219"/>
      <c r="N32" s="219">
        <v>100</v>
      </c>
      <c r="O32" s="219">
        <v>2</v>
      </c>
      <c r="P32" s="219"/>
      <c r="Q32" s="219"/>
      <c r="R32" s="219"/>
      <c r="S32" s="219"/>
      <c r="T32" s="219"/>
      <c r="U32" s="219"/>
      <c r="V32" s="219">
        <v>5</v>
      </c>
      <c r="W32" s="219">
        <v>7</v>
      </c>
      <c r="X32" s="219">
        <v>14</v>
      </c>
      <c r="Y32" s="219"/>
      <c r="Z32" s="219">
        <v>2</v>
      </c>
      <c r="AA32" s="220" t="s">
        <v>517</v>
      </c>
      <c r="AC32" s="46">
        <v>0</v>
      </c>
    </row>
    <row r="33" spans="1:29" ht="16.5" customHeight="1" x14ac:dyDescent="0.3">
      <c r="A33" s="49"/>
      <c r="B33" s="54" t="str">
        <f ca="1">'Translation Table'!H1753</f>
        <v>Dehydration: Glycol (without Gas-assisted Pump)</v>
      </c>
      <c r="C33" s="54" t="str">
        <f ca="1">'Translation Table'!H1753</f>
        <v>Dehydration: Glycol (without Gas-assisted Pump)</v>
      </c>
      <c r="D33" s="219">
        <v>1</v>
      </c>
      <c r="E33" s="221">
        <v>0</v>
      </c>
      <c r="F33" s="221"/>
      <c r="G33" s="221"/>
      <c r="H33" s="221">
        <v>0</v>
      </c>
      <c r="I33" s="221"/>
      <c r="J33" s="221"/>
      <c r="K33" s="219">
        <f t="shared" si="1"/>
        <v>24</v>
      </c>
      <c r="L33" s="219">
        <v>24</v>
      </c>
      <c r="M33" s="219"/>
      <c r="N33" s="219">
        <v>100</v>
      </c>
      <c r="O33" s="221">
        <v>2</v>
      </c>
      <c r="P33" s="221"/>
      <c r="Q33" s="221"/>
      <c r="R33" s="221"/>
      <c r="S33" s="221"/>
      <c r="T33" s="221"/>
      <c r="U33" s="221"/>
      <c r="V33" s="221">
        <v>5</v>
      </c>
      <c r="W33" s="220">
        <v>7</v>
      </c>
      <c r="X33" s="220">
        <v>14</v>
      </c>
      <c r="Y33" s="220"/>
      <c r="Z33" s="221">
        <v>2</v>
      </c>
      <c r="AA33" s="220" t="s">
        <v>517</v>
      </c>
      <c r="AC33" s="46">
        <v>0</v>
      </c>
    </row>
    <row r="34" spans="1:29" ht="16.5" customHeight="1" x14ac:dyDescent="0.3">
      <c r="A34" s="49"/>
      <c r="B34" s="130" t="str">
        <f ca="1">'Translation Table'!H1754</f>
        <v>Flare System: Generic (Including Knock-out Drum)</v>
      </c>
      <c r="C34" s="54" t="str">
        <f ca="1">'Translation Table'!H1754</f>
        <v>Flare System: Generic (Including Knock-out Drum)</v>
      </c>
      <c r="D34" s="219">
        <v>0</v>
      </c>
      <c r="E34" s="219">
        <v>5</v>
      </c>
      <c r="F34" s="219"/>
      <c r="G34" s="219"/>
      <c r="H34" s="219">
        <v>0</v>
      </c>
      <c r="I34" s="219"/>
      <c r="J34" s="219"/>
      <c r="K34" s="219">
        <f t="shared" si="1"/>
        <v>35</v>
      </c>
      <c r="L34" s="219">
        <v>35</v>
      </c>
      <c r="M34" s="219"/>
      <c r="N34" s="219">
        <v>114</v>
      </c>
      <c r="O34" s="219">
        <v>1</v>
      </c>
      <c r="P34" s="219"/>
      <c r="Q34" s="219"/>
      <c r="R34" s="219"/>
      <c r="S34" s="219"/>
      <c r="T34" s="219"/>
      <c r="U34" s="219"/>
      <c r="V34" s="219">
        <v>1</v>
      </c>
      <c r="W34" s="219">
        <v>0</v>
      </c>
      <c r="X34" s="219">
        <v>0</v>
      </c>
      <c r="Y34" s="219"/>
      <c r="Z34" s="219">
        <v>1</v>
      </c>
      <c r="AA34" s="220" t="s">
        <v>2082</v>
      </c>
      <c r="AC34" s="46">
        <v>0</v>
      </c>
    </row>
    <row r="35" spans="1:29" ht="16.5" customHeight="1" x14ac:dyDescent="0.3">
      <c r="A35" s="49"/>
      <c r="B35" s="54" t="str">
        <f ca="1">'Translation Table'!H1755</f>
        <v>Heat Exchanger: Natural Gas/Steam</v>
      </c>
      <c r="C35" s="54" t="str">
        <f ca="1">'Translation Table'!H1755</f>
        <v>Heat Exchanger: Natural Gas/Steam</v>
      </c>
      <c r="D35" s="219">
        <v>0</v>
      </c>
      <c r="E35" s="219">
        <v>0</v>
      </c>
      <c r="F35" s="219"/>
      <c r="G35" s="219"/>
      <c r="H35" s="219">
        <v>0</v>
      </c>
      <c r="I35" s="219"/>
      <c r="J35" s="219"/>
      <c r="K35" s="219">
        <f t="shared" si="1"/>
        <v>4</v>
      </c>
      <c r="L35" s="219">
        <v>3</v>
      </c>
      <c r="M35" s="219">
        <v>1</v>
      </c>
      <c r="N35" s="219">
        <v>10</v>
      </c>
      <c r="O35" s="219">
        <v>0</v>
      </c>
      <c r="P35" s="219"/>
      <c r="Q35" s="219"/>
      <c r="R35" s="219"/>
      <c r="S35" s="219"/>
      <c r="T35" s="219"/>
      <c r="U35" s="219"/>
      <c r="V35" s="219">
        <v>0</v>
      </c>
      <c r="W35" s="219">
        <v>0</v>
      </c>
      <c r="X35" s="219">
        <v>0</v>
      </c>
      <c r="Y35" s="219"/>
      <c r="Z35" s="219">
        <v>0</v>
      </c>
      <c r="AA35" s="220" t="s">
        <v>2474</v>
      </c>
      <c r="AC35" s="46">
        <v>0</v>
      </c>
    </row>
    <row r="36" spans="1:29" ht="16.5" customHeight="1" x14ac:dyDescent="0.3">
      <c r="A36" s="49"/>
      <c r="B36" s="130" t="str">
        <f ca="1">'Translation Table'!H1756</f>
        <v>Heat Exchanger: Natural Gas/Natural Gas</v>
      </c>
      <c r="C36" s="54" t="str">
        <f ca="1">'Translation Table'!H1756</f>
        <v>Heat Exchanger: Natural Gas/Natural Gas</v>
      </c>
      <c r="D36" s="219">
        <v>0</v>
      </c>
      <c r="E36" s="219">
        <v>0</v>
      </c>
      <c r="F36" s="219"/>
      <c r="G36" s="219"/>
      <c r="H36" s="219">
        <v>0</v>
      </c>
      <c r="I36" s="219"/>
      <c r="J36" s="219"/>
      <c r="K36" s="219">
        <f t="shared" si="1"/>
        <v>10</v>
      </c>
      <c r="L36" s="219">
        <v>8</v>
      </c>
      <c r="M36" s="219">
        <v>2</v>
      </c>
      <c r="N36" s="219">
        <v>22</v>
      </c>
      <c r="O36" s="219">
        <v>0</v>
      </c>
      <c r="P36" s="219"/>
      <c r="Q36" s="219"/>
      <c r="R36" s="219"/>
      <c r="S36" s="219"/>
      <c r="T36" s="219"/>
      <c r="U36" s="219"/>
      <c r="V36" s="219">
        <v>0</v>
      </c>
      <c r="W36" s="219">
        <v>0</v>
      </c>
      <c r="X36" s="219">
        <v>0</v>
      </c>
      <c r="Y36" s="219"/>
      <c r="Z36" s="219">
        <v>0</v>
      </c>
      <c r="AA36" s="220" t="s">
        <v>2474</v>
      </c>
    </row>
    <row r="37" spans="1:29" ht="16.5" customHeight="1" x14ac:dyDescent="0.3">
      <c r="A37" s="49"/>
      <c r="B37" s="54" t="str">
        <f ca="1">'Translation Table'!H1757</f>
        <v>Heat Exchanger: Natural Gas/Non-Hydrocarbon Liquid</v>
      </c>
      <c r="C37" s="54" t="str">
        <f ca="1">'Translation Table'!H1757</f>
        <v>Heat Exchanger: Natural Gas/Non-Hydrocarbon Liquid</v>
      </c>
      <c r="D37" s="219">
        <v>0</v>
      </c>
      <c r="E37" s="219">
        <v>0</v>
      </c>
      <c r="F37" s="219"/>
      <c r="G37" s="219"/>
      <c r="H37" s="219">
        <v>0</v>
      </c>
      <c r="I37" s="219"/>
      <c r="J37" s="219"/>
      <c r="K37" s="219">
        <f t="shared" si="1"/>
        <v>4</v>
      </c>
      <c r="L37" s="219">
        <v>3</v>
      </c>
      <c r="M37" s="219">
        <v>1</v>
      </c>
      <c r="N37" s="219">
        <v>10</v>
      </c>
      <c r="O37" s="219">
        <v>0</v>
      </c>
      <c r="P37" s="219"/>
      <c r="Q37" s="219"/>
      <c r="R37" s="219"/>
      <c r="S37" s="219"/>
      <c r="T37" s="219"/>
      <c r="U37" s="219"/>
      <c r="V37" s="219">
        <v>0</v>
      </c>
      <c r="W37" s="219">
        <v>0</v>
      </c>
      <c r="X37" s="219">
        <v>0</v>
      </c>
      <c r="Y37" s="219"/>
      <c r="Z37" s="219">
        <v>0</v>
      </c>
      <c r="AA37" s="220" t="s">
        <v>2474</v>
      </c>
      <c r="AC37" s="46">
        <v>0</v>
      </c>
    </row>
    <row r="38" spans="1:29" ht="16.5" customHeight="1" x14ac:dyDescent="0.3">
      <c r="A38" s="49"/>
      <c r="B38" s="130" t="str">
        <f ca="1">'Translation Table'!H1758</f>
        <v>Heat Exchanger: Natural Gas/Hydrocarbon Liquid</v>
      </c>
      <c r="C38" s="54" t="str">
        <f ca="1">'Translation Table'!H1758</f>
        <v>Heat Exchanger: Natural Gas/Hydrocarbon Liquid</v>
      </c>
      <c r="D38" s="219">
        <v>0</v>
      </c>
      <c r="E38" s="219">
        <v>0</v>
      </c>
      <c r="F38" s="219"/>
      <c r="G38" s="219"/>
      <c r="H38" s="219">
        <v>0</v>
      </c>
      <c r="I38" s="219"/>
      <c r="J38" s="219"/>
      <c r="K38" s="219">
        <f t="shared" si="1"/>
        <v>4</v>
      </c>
      <c r="L38" s="219">
        <v>3</v>
      </c>
      <c r="M38" s="219">
        <v>1</v>
      </c>
      <c r="N38" s="219">
        <v>10</v>
      </c>
      <c r="O38" s="219">
        <v>0</v>
      </c>
      <c r="P38" s="219"/>
      <c r="Q38" s="219"/>
      <c r="R38" s="219"/>
      <c r="S38" s="219"/>
      <c r="T38" s="219"/>
      <c r="U38" s="219"/>
      <c r="V38" s="219">
        <v>0</v>
      </c>
      <c r="W38" s="219">
        <v>5</v>
      </c>
      <c r="X38" s="219">
        <v>10</v>
      </c>
      <c r="Y38" s="219"/>
      <c r="Z38" s="219">
        <v>0</v>
      </c>
      <c r="AA38" s="220" t="s">
        <v>2474</v>
      </c>
    </row>
    <row r="39" spans="1:29" ht="16.5" customHeight="1" x14ac:dyDescent="0.3">
      <c r="A39" s="49"/>
      <c r="B39" s="54" t="str">
        <f ca="1">'Translation Table'!H1759</f>
        <v>Heat Exchanger: Steam/Hydrocarbon Liquid</v>
      </c>
      <c r="C39" s="54" t="str">
        <f ca="1">'Translation Table'!H1759</f>
        <v>Heat Exchanger: Steam/Hydrocarbon Liquid</v>
      </c>
      <c r="D39" s="219">
        <v>0</v>
      </c>
      <c r="E39" s="219">
        <v>0</v>
      </c>
      <c r="F39" s="219"/>
      <c r="G39" s="219"/>
      <c r="H39" s="219">
        <v>0</v>
      </c>
      <c r="I39" s="219"/>
      <c r="J39" s="219"/>
      <c r="K39" s="219">
        <f t="shared" si="1"/>
        <v>0</v>
      </c>
      <c r="L39" s="219">
        <v>0</v>
      </c>
      <c r="M39" s="219">
        <v>0</v>
      </c>
      <c r="N39" s="219">
        <v>0</v>
      </c>
      <c r="O39" s="219">
        <v>0</v>
      </c>
      <c r="P39" s="219"/>
      <c r="Q39" s="219"/>
      <c r="R39" s="219"/>
      <c r="S39" s="219"/>
      <c r="T39" s="219"/>
      <c r="U39" s="219"/>
      <c r="V39" s="219">
        <v>0</v>
      </c>
      <c r="W39" s="219">
        <v>5</v>
      </c>
      <c r="X39" s="219">
        <v>10</v>
      </c>
      <c r="Y39" s="219"/>
      <c r="Z39" s="219">
        <v>0</v>
      </c>
      <c r="AA39" s="220" t="s">
        <v>2474</v>
      </c>
    </row>
    <row r="40" spans="1:29" ht="16.5" customHeight="1" x14ac:dyDescent="0.3">
      <c r="A40" s="49"/>
      <c r="B40" s="130" t="str">
        <f ca="1">'Translation Table'!H1760</f>
        <v>Heat Exchanger: Hydrocarbon Liquid/Hydrocarbon Liquid</v>
      </c>
      <c r="C40" s="54" t="str">
        <f ca="1">'Translation Table'!H1760</f>
        <v>Heat Exchanger: Hydrocarbon Liquid/Hydrocarbon Liquid</v>
      </c>
      <c r="D40" s="219">
        <v>0</v>
      </c>
      <c r="E40" s="219">
        <v>0</v>
      </c>
      <c r="F40" s="219"/>
      <c r="G40" s="219"/>
      <c r="H40" s="219">
        <v>0</v>
      </c>
      <c r="I40" s="219"/>
      <c r="J40" s="219"/>
      <c r="K40" s="219">
        <f t="shared" si="1"/>
        <v>0</v>
      </c>
      <c r="L40" s="219">
        <v>0</v>
      </c>
      <c r="M40" s="219">
        <v>0</v>
      </c>
      <c r="N40" s="219">
        <v>0</v>
      </c>
      <c r="O40" s="219">
        <v>0</v>
      </c>
      <c r="P40" s="219"/>
      <c r="Q40" s="219"/>
      <c r="R40" s="219"/>
      <c r="S40" s="219"/>
      <c r="T40" s="219"/>
      <c r="U40" s="219"/>
      <c r="V40" s="219">
        <v>0</v>
      </c>
      <c r="W40" s="219">
        <v>10</v>
      </c>
      <c r="X40" s="219">
        <v>20</v>
      </c>
      <c r="Y40" s="219"/>
      <c r="Z40" s="219">
        <v>0</v>
      </c>
      <c r="AA40" s="220" t="s">
        <v>2474</v>
      </c>
    </row>
    <row r="41" spans="1:29" ht="16.5" customHeight="1" x14ac:dyDescent="0.3">
      <c r="A41" s="49"/>
      <c r="B41" s="54" t="str">
        <f ca="1">'Translation Table'!H1761</f>
        <v>Heater/Boiler/Reboiler: Generic (Burner Assemblies: 1)</v>
      </c>
      <c r="C41" s="54" t="str">
        <f ca="1">'Translation Table'!H1761</f>
        <v>Heater/Boiler/Reboiler: Generic (Burner Assemblies: 1)</v>
      </c>
      <c r="D41" s="219">
        <v>2.29</v>
      </c>
      <c r="E41" s="219">
        <v>0.43</v>
      </c>
      <c r="F41" s="219"/>
      <c r="G41" s="219"/>
      <c r="H41" s="219">
        <v>0</v>
      </c>
      <c r="I41" s="219"/>
      <c r="J41" s="219"/>
      <c r="K41" s="219">
        <f t="shared" si="1"/>
        <v>31.21</v>
      </c>
      <c r="L41" s="219">
        <v>29.71</v>
      </c>
      <c r="M41" s="219">
        <v>1.5</v>
      </c>
      <c r="N41" s="219">
        <v>222.61</v>
      </c>
      <c r="O41" s="219">
        <v>5.76</v>
      </c>
      <c r="P41" s="219"/>
      <c r="Q41" s="219"/>
      <c r="R41" s="219"/>
      <c r="S41" s="219"/>
      <c r="T41" s="219"/>
      <c r="U41" s="219"/>
      <c r="V41" s="219">
        <v>0</v>
      </c>
      <c r="W41" s="219">
        <v>0</v>
      </c>
      <c r="X41" s="219">
        <v>0</v>
      </c>
      <c r="Y41" s="219"/>
      <c r="Z41" s="219">
        <v>1</v>
      </c>
      <c r="AA41" s="220" t="s">
        <v>2474</v>
      </c>
      <c r="AC41" s="46">
        <v>0</v>
      </c>
    </row>
    <row r="42" spans="1:29" ht="16.5" customHeight="1" x14ac:dyDescent="0.3">
      <c r="A42" s="49"/>
      <c r="B42" s="130" t="str">
        <f ca="1">'Translation Table'!H1762</f>
        <v>Heater/Boiler/Reboiler: Generic (Burner Assemblies: 2)</v>
      </c>
      <c r="C42" s="54" t="str">
        <f ca="1">'Translation Table'!H1762</f>
        <v>Heater/Boiler/Reboiler: Generic (Burner Assemblies: 2)</v>
      </c>
      <c r="D42" s="219">
        <v>7.59</v>
      </c>
      <c r="E42" s="219">
        <v>0.43</v>
      </c>
      <c r="F42" s="219"/>
      <c r="G42" s="219"/>
      <c r="H42" s="219">
        <v>0</v>
      </c>
      <c r="I42" s="219"/>
      <c r="J42" s="219"/>
      <c r="K42" s="219">
        <f t="shared" si="1"/>
        <v>44.510000000000005</v>
      </c>
      <c r="L42" s="219">
        <v>41.31</v>
      </c>
      <c r="M42" s="219">
        <v>3.2</v>
      </c>
      <c r="N42" s="219">
        <v>252.51</v>
      </c>
      <c r="O42" s="219">
        <v>7.59</v>
      </c>
      <c r="P42" s="219"/>
      <c r="Q42" s="219"/>
      <c r="R42" s="219"/>
      <c r="S42" s="219"/>
      <c r="T42" s="219"/>
      <c r="U42" s="219"/>
      <c r="V42" s="219">
        <v>0</v>
      </c>
      <c r="W42" s="219">
        <v>0</v>
      </c>
      <c r="X42" s="219">
        <v>0</v>
      </c>
      <c r="Y42" s="219"/>
      <c r="Z42" s="219">
        <v>1</v>
      </c>
      <c r="AA42" s="194" t="s">
        <v>2474</v>
      </c>
      <c r="AC42" s="46">
        <v>0</v>
      </c>
    </row>
    <row r="43" spans="1:29" ht="16.5" customHeight="1" x14ac:dyDescent="0.3">
      <c r="A43" s="49"/>
      <c r="B43" s="54" t="str">
        <f ca="1">'Translation Table'!H1763</f>
        <v>Heater/Boiler/Reboiler: Generic (Burner Assemblies: 3)</v>
      </c>
      <c r="C43" s="54" t="str">
        <f ca="1">'Translation Table'!H1763</f>
        <v>Heater/Boiler/Reboiler: Generic (Burner Assemblies: 3)</v>
      </c>
      <c r="D43" s="219">
        <v>12.89</v>
      </c>
      <c r="E43" s="219">
        <v>0.43</v>
      </c>
      <c r="F43" s="219"/>
      <c r="G43" s="219"/>
      <c r="H43" s="219">
        <v>0</v>
      </c>
      <c r="I43" s="219"/>
      <c r="J43" s="219"/>
      <c r="K43" s="219">
        <f t="shared" si="1"/>
        <v>57.809999999999995</v>
      </c>
      <c r="L43" s="219">
        <v>52.91</v>
      </c>
      <c r="M43" s="219">
        <v>4.9000000000000004</v>
      </c>
      <c r="N43" s="219">
        <v>282.41000000000003</v>
      </c>
      <c r="O43" s="221">
        <v>9.42</v>
      </c>
      <c r="P43" s="221"/>
      <c r="Q43" s="221"/>
      <c r="R43" s="221"/>
      <c r="S43" s="221"/>
      <c r="T43" s="221"/>
      <c r="U43" s="221"/>
      <c r="V43" s="221">
        <v>0</v>
      </c>
      <c r="W43" s="220">
        <v>0</v>
      </c>
      <c r="X43" s="220">
        <v>0</v>
      </c>
      <c r="Y43" s="220"/>
      <c r="Z43" s="221">
        <v>1</v>
      </c>
      <c r="AA43" s="220" t="s">
        <v>2474</v>
      </c>
      <c r="AC43" s="46">
        <v>0</v>
      </c>
    </row>
    <row r="44" spans="1:29" ht="16.5" customHeight="1" x14ac:dyDescent="0.3">
      <c r="A44" s="49"/>
      <c r="B44" s="130" t="str">
        <f ca="1">'Translation Table'!H1764</f>
        <v>Heater/Boiler/Reboiler: Line (Burner Assemblies: 1)</v>
      </c>
      <c r="C44" s="54" t="str">
        <f ca="1">'Translation Table'!H1764</f>
        <v>Heater/Boiler/Reboiler: Line (Burner Assemblies: 1)</v>
      </c>
      <c r="D44" s="219">
        <v>2.29</v>
      </c>
      <c r="E44" s="221">
        <v>0.43</v>
      </c>
      <c r="F44" s="221"/>
      <c r="G44" s="221"/>
      <c r="H44" s="221">
        <v>0</v>
      </c>
      <c r="I44" s="221"/>
      <c r="J44" s="221"/>
      <c r="K44" s="219">
        <f t="shared" si="1"/>
        <v>31.21</v>
      </c>
      <c r="L44" s="219">
        <v>29.71</v>
      </c>
      <c r="M44" s="219">
        <v>1.5</v>
      </c>
      <c r="N44" s="219">
        <v>222.61</v>
      </c>
      <c r="O44" s="221">
        <v>5.76</v>
      </c>
      <c r="P44" s="221"/>
      <c r="Q44" s="221"/>
      <c r="R44" s="221"/>
      <c r="S44" s="221"/>
      <c r="T44" s="221"/>
      <c r="U44" s="221"/>
      <c r="V44" s="221">
        <v>0</v>
      </c>
      <c r="W44" s="220">
        <v>0</v>
      </c>
      <c r="X44" s="220">
        <v>0</v>
      </c>
      <c r="Y44" s="220"/>
      <c r="Z44" s="221">
        <v>1</v>
      </c>
      <c r="AA44" s="220" t="s">
        <v>2474</v>
      </c>
    </row>
    <row r="45" spans="1:29" ht="16.5" customHeight="1" x14ac:dyDescent="0.3">
      <c r="A45" s="49"/>
      <c r="B45" s="54" t="str">
        <f ca="1">'Translation Table'!H1765</f>
        <v>Heater/Boiler/Reboiler: Line (Burner Assemblies: 2)</v>
      </c>
      <c r="C45" s="54" t="str">
        <f ca="1">'Translation Table'!H1765</f>
        <v>Heater/Boiler/Reboiler: Line (Burner Assemblies: 2)</v>
      </c>
      <c r="D45" s="219">
        <v>7.59</v>
      </c>
      <c r="E45" s="221">
        <v>0.43</v>
      </c>
      <c r="F45" s="221"/>
      <c r="G45" s="221"/>
      <c r="H45" s="221">
        <v>0</v>
      </c>
      <c r="I45" s="221"/>
      <c r="J45" s="221"/>
      <c r="K45" s="219">
        <f t="shared" si="1"/>
        <v>44.510000000000005</v>
      </c>
      <c r="L45" s="219">
        <v>41.31</v>
      </c>
      <c r="M45" s="219">
        <v>3.2</v>
      </c>
      <c r="N45" s="219">
        <v>252.51</v>
      </c>
      <c r="O45" s="219">
        <v>7.59</v>
      </c>
      <c r="P45" s="221"/>
      <c r="Q45" s="221"/>
      <c r="R45" s="221"/>
      <c r="S45" s="221"/>
      <c r="T45" s="221"/>
      <c r="U45" s="221"/>
      <c r="V45" s="221">
        <v>0</v>
      </c>
      <c r="W45" s="220">
        <v>0</v>
      </c>
      <c r="X45" s="220">
        <v>0</v>
      </c>
      <c r="Y45" s="220"/>
      <c r="Z45" s="221">
        <v>1</v>
      </c>
      <c r="AA45" s="220" t="s">
        <v>2474</v>
      </c>
    </row>
    <row r="46" spans="1:29" ht="16.5" customHeight="1" x14ac:dyDescent="0.3">
      <c r="A46" s="49"/>
      <c r="B46" s="130" t="str">
        <f ca="1">'Translation Table'!H1766</f>
        <v>Heater/Boiler/Reboiler: Line (Burner Assemblies: 3)</v>
      </c>
      <c r="C46" s="54" t="str">
        <f ca="1">'Translation Table'!H1766</f>
        <v>Heater/Boiler/Reboiler: Line (Burner Assemblies: 3)</v>
      </c>
      <c r="D46" s="219">
        <v>12.89</v>
      </c>
      <c r="E46" s="221">
        <v>0.43</v>
      </c>
      <c r="F46" s="221"/>
      <c r="G46" s="221"/>
      <c r="H46" s="221">
        <v>0</v>
      </c>
      <c r="I46" s="221"/>
      <c r="J46" s="221"/>
      <c r="K46" s="219">
        <f t="shared" si="1"/>
        <v>57.809999999999995</v>
      </c>
      <c r="L46" s="219">
        <v>52.91</v>
      </c>
      <c r="M46" s="219">
        <v>4.9000000000000004</v>
      </c>
      <c r="N46" s="219">
        <v>282.41000000000003</v>
      </c>
      <c r="O46" s="219">
        <v>9.42</v>
      </c>
      <c r="P46" s="221"/>
      <c r="Q46" s="221"/>
      <c r="R46" s="221"/>
      <c r="S46" s="221"/>
      <c r="T46" s="221"/>
      <c r="U46" s="221"/>
      <c r="V46" s="221">
        <v>0</v>
      </c>
      <c r="W46" s="220">
        <v>0</v>
      </c>
      <c r="X46" s="220">
        <v>0</v>
      </c>
      <c r="Y46" s="220"/>
      <c r="Z46" s="221">
        <v>1</v>
      </c>
      <c r="AA46" s="220" t="s">
        <v>2474</v>
      </c>
    </row>
    <row r="47" spans="1:29" ht="16.5" customHeight="1" x14ac:dyDescent="0.3">
      <c r="A47" s="49"/>
      <c r="B47" s="54" t="str">
        <f ca="1">'Translation Table'!H1767</f>
        <v>Heater/Boiler/Reboiler: Treater (Burner Assemblies: 1)</v>
      </c>
      <c r="C47" s="54" t="str">
        <f ca="1">'Translation Table'!H1767</f>
        <v>Heater/Boiler/Reboiler: Treater (Burner Assemblies: 1)</v>
      </c>
      <c r="D47" s="219">
        <v>2.29</v>
      </c>
      <c r="E47" s="221">
        <v>0.43</v>
      </c>
      <c r="F47" s="221"/>
      <c r="G47" s="221"/>
      <c r="H47" s="221">
        <v>0</v>
      </c>
      <c r="I47" s="221"/>
      <c r="J47" s="221"/>
      <c r="K47" s="219">
        <f t="shared" si="1"/>
        <v>31.21</v>
      </c>
      <c r="L47" s="219">
        <v>29.71</v>
      </c>
      <c r="M47" s="219">
        <v>1.5</v>
      </c>
      <c r="N47" s="219">
        <v>222.61</v>
      </c>
      <c r="O47" s="219">
        <v>5.76</v>
      </c>
      <c r="P47" s="221"/>
      <c r="Q47" s="221"/>
      <c r="R47" s="221"/>
      <c r="S47" s="221"/>
      <c r="T47" s="221"/>
      <c r="U47" s="221"/>
      <c r="V47" s="221">
        <v>0</v>
      </c>
      <c r="W47" s="220">
        <v>0</v>
      </c>
      <c r="X47" s="220">
        <v>0</v>
      </c>
      <c r="Y47" s="220"/>
      <c r="Z47" s="221">
        <v>2</v>
      </c>
      <c r="AA47" s="220" t="s">
        <v>2474</v>
      </c>
      <c r="AC47" s="46">
        <v>0</v>
      </c>
    </row>
    <row r="48" spans="1:29" ht="16.5" customHeight="1" x14ac:dyDescent="0.3">
      <c r="A48" s="49"/>
      <c r="B48" s="130" t="str">
        <f ca="1">'Translation Table'!H1768</f>
        <v>Heater/Boiler/Reboiler: Treater (Burner Assemblies: 2)</v>
      </c>
      <c r="C48" s="54" t="str">
        <f ca="1">'Translation Table'!H1768</f>
        <v>Heater/Boiler/Reboiler: Treater (Burner Assemblies: 2)</v>
      </c>
      <c r="D48" s="219">
        <v>7.59</v>
      </c>
      <c r="E48" s="221">
        <v>0.43</v>
      </c>
      <c r="F48" s="221"/>
      <c r="G48" s="221"/>
      <c r="H48" s="221">
        <v>0</v>
      </c>
      <c r="I48" s="221"/>
      <c r="J48" s="221"/>
      <c r="K48" s="219">
        <f t="shared" si="1"/>
        <v>44.510000000000005</v>
      </c>
      <c r="L48" s="219">
        <v>41.31</v>
      </c>
      <c r="M48" s="219">
        <v>3.2</v>
      </c>
      <c r="N48" s="219">
        <v>252.51</v>
      </c>
      <c r="O48" s="219">
        <v>7.59</v>
      </c>
      <c r="P48" s="221"/>
      <c r="Q48" s="221"/>
      <c r="R48" s="221"/>
      <c r="S48" s="221"/>
      <c r="T48" s="221"/>
      <c r="U48" s="221"/>
      <c r="V48" s="221">
        <v>0</v>
      </c>
      <c r="W48" s="220">
        <v>0</v>
      </c>
      <c r="X48" s="220">
        <v>0</v>
      </c>
      <c r="Y48" s="220"/>
      <c r="Z48" s="221">
        <v>2</v>
      </c>
      <c r="AA48" s="220" t="s">
        <v>2474</v>
      </c>
      <c r="AC48" s="46">
        <v>0</v>
      </c>
    </row>
    <row r="49" spans="1:29" ht="16.5" customHeight="1" x14ac:dyDescent="0.3">
      <c r="A49" s="49"/>
      <c r="B49" s="54" t="str">
        <f ca="1">'Translation Table'!H1769</f>
        <v>Heater/Boiler/Reboiler: Treater (Burner Assemblies: 3)</v>
      </c>
      <c r="C49" s="54" t="str">
        <f ca="1">'Translation Table'!H1769</f>
        <v>Heater/Boiler/Reboiler: Treater (Burner Assemblies: 3)</v>
      </c>
      <c r="D49" s="219">
        <v>12.89</v>
      </c>
      <c r="E49" s="221">
        <v>0.43</v>
      </c>
      <c r="F49" s="221"/>
      <c r="G49" s="221"/>
      <c r="H49" s="221">
        <v>0</v>
      </c>
      <c r="I49" s="221"/>
      <c r="J49" s="221"/>
      <c r="K49" s="219">
        <f t="shared" si="1"/>
        <v>57.809999999999995</v>
      </c>
      <c r="L49" s="219">
        <v>52.91</v>
      </c>
      <c r="M49" s="219">
        <v>4.9000000000000004</v>
      </c>
      <c r="N49" s="219">
        <v>282.41000000000003</v>
      </c>
      <c r="O49" s="221">
        <v>9.42</v>
      </c>
      <c r="P49" s="221"/>
      <c r="Q49" s="221"/>
      <c r="R49" s="221"/>
      <c r="S49" s="221"/>
      <c r="T49" s="221"/>
      <c r="U49" s="221"/>
      <c r="V49" s="221">
        <v>0</v>
      </c>
      <c r="W49" s="220">
        <v>0</v>
      </c>
      <c r="X49" s="220">
        <v>0</v>
      </c>
      <c r="Y49" s="220"/>
      <c r="Z49" s="221">
        <v>2</v>
      </c>
      <c r="AA49" s="220" t="s">
        <v>2474</v>
      </c>
      <c r="AC49" s="46">
        <v>0</v>
      </c>
    </row>
    <row r="50" spans="1:29" ht="16.5" customHeight="1" x14ac:dyDescent="0.3">
      <c r="A50" s="49"/>
      <c r="B50" s="130" t="str">
        <f ca="1">'Translation Table'!H1770</f>
        <v>Hydrocarbon Dewpoint Control: Joule-Thomson Unit (Excluding Compressor)</v>
      </c>
      <c r="C50" s="54" t="str">
        <f ca="1">'Translation Table'!H1770</f>
        <v>Hydrocarbon Dewpoint Control: Joule-Thomson Unit (Excluding Compressor)</v>
      </c>
      <c r="D50" s="219">
        <v>0</v>
      </c>
      <c r="E50" s="219">
        <v>0</v>
      </c>
      <c r="F50" s="219"/>
      <c r="G50" s="219"/>
      <c r="H50" s="219">
        <v>0</v>
      </c>
      <c r="I50" s="219"/>
      <c r="J50" s="219"/>
      <c r="K50" s="219">
        <f t="shared" si="1"/>
        <v>19</v>
      </c>
      <c r="L50" s="219">
        <v>19</v>
      </c>
      <c r="M50" s="219"/>
      <c r="N50" s="219">
        <v>79</v>
      </c>
      <c r="O50" s="219">
        <v>2</v>
      </c>
      <c r="P50" s="219"/>
      <c r="Q50" s="219"/>
      <c r="R50" s="219"/>
      <c r="S50" s="219"/>
      <c r="T50" s="219"/>
      <c r="U50" s="219"/>
      <c r="V50" s="219">
        <v>2</v>
      </c>
      <c r="W50" s="219">
        <v>11</v>
      </c>
      <c r="X50" s="219">
        <v>41</v>
      </c>
      <c r="Y50" s="219"/>
      <c r="Z50" s="219">
        <v>0</v>
      </c>
      <c r="AA50" s="220" t="s">
        <v>517</v>
      </c>
      <c r="AC50" s="46">
        <v>0</v>
      </c>
    </row>
    <row r="51" spans="1:29" ht="16.5" customHeight="1" x14ac:dyDescent="0.3">
      <c r="A51" s="49"/>
      <c r="B51" s="54" t="str">
        <f ca="1">'Translation Table'!H1771</f>
        <v>Hydrocarbon Dewpoint Control: Propane Refrigeration</v>
      </c>
      <c r="C51" s="54" t="str">
        <f ca="1">'Translation Table'!H1771</f>
        <v>Hydrocarbon Dewpoint Control: Propane Refrigeration</v>
      </c>
      <c r="D51" s="219">
        <v>2</v>
      </c>
      <c r="E51" s="219">
        <v>0</v>
      </c>
      <c r="F51" s="219"/>
      <c r="G51" s="219"/>
      <c r="H51" s="219">
        <v>0</v>
      </c>
      <c r="I51" s="219"/>
      <c r="J51" s="219"/>
      <c r="K51" s="219">
        <f t="shared" si="1"/>
        <v>65</v>
      </c>
      <c r="L51" s="219">
        <v>65</v>
      </c>
      <c r="M51" s="219"/>
      <c r="N51" s="219">
        <v>170</v>
      </c>
      <c r="O51" s="219">
        <v>2</v>
      </c>
      <c r="P51" s="219"/>
      <c r="Q51" s="219"/>
      <c r="R51" s="219"/>
      <c r="S51" s="219"/>
      <c r="T51" s="219"/>
      <c r="U51" s="219"/>
      <c r="V51" s="219">
        <v>2</v>
      </c>
      <c r="W51" s="219">
        <v>13</v>
      </c>
      <c r="X51" s="219">
        <v>31</v>
      </c>
      <c r="Y51" s="219"/>
      <c r="Z51" s="219">
        <v>4</v>
      </c>
      <c r="AA51" s="220" t="s">
        <v>517</v>
      </c>
      <c r="AC51" s="46">
        <v>0</v>
      </c>
    </row>
    <row r="52" spans="1:29" ht="16.5" customHeight="1" x14ac:dyDescent="0.3">
      <c r="A52" s="49"/>
      <c r="B52" s="130" t="str">
        <f ca="1">'Translation Table'!H1772</f>
        <v>Inlet/Outlet Header: Oil Facilities (Fittings Per Pipeline)</v>
      </c>
      <c r="C52" s="54" t="str">
        <f ca="1">'Translation Table'!H1772</f>
        <v>Inlet/Outlet Header: Oil Facilities (Fittings Per Pipeline)</v>
      </c>
      <c r="D52" s="219">
        <v>0</v>
      </c>
      <c r="E52" s="219">
        <v>0</v>
      </c>
      <c r="F52" s="219"/>
      <c r="G52" s="219"/>
      <c r="H52" s="219">
        <v>0</v>
      </c>
      <c r="I52" s="219"/>
      <c r="J52" s="219"/>
      <c r="K52" s="219">
        <f t="shared" si="1"/>
        <v>0</v>
      </c>
      <c r="L52" s="219"/>
      <c r="M52" s="219"/>
      <c r="N52" s="219"/>
      <c r="O52" s="219"/>
      <c r="P52" s="219"/>
      <c r="Q52" s="219"/>
      <c r="R52" s="219"/>
      <c r="S52" s="219"/>
      <c r="T52" s="219"/>
      <c r="U52" s="219"/>
      <c r="V52" s="219">
        <v>0</v>
      </c>
      <c r="W52" s="219">
        <v>7</v>
      </c>
      <c r="X52" s="219">
        <v>16</v>
      </c>
      <c r="Y52" s="219"/>
      <c r="Z52" s="219">
        <v>0</v>
      </c>
      <c r="AA52" s="220" t="s">
        <v>2474</v>
      </c>
    </row>
    <row r="53" spans="1:29" ht="16.5" customHeight="1" x14ac:dyDescent="0.3">
      <c r="A53" s="49"/>
      <c r="B53" s="54" t="str">
        <f ca="1">'Translation Table'!H1773</f>
        <v>LPG Extraction: Deepcut (C2 to C4)</v>
      </c>
      <c r="C53" s="54" t="str">
        <f ca="1">'Translation Table'!H1773</f>
        <v>LPG Extraction: Deepcut (C2 to C4)</v>
      </c>
      <c r="D53" s="219">
        <v>10</v>
      </c>
      <c r="E53" s="219">
        <v>0</v>
      </c>
      <c r="F53" s="219"/>
      <c r="G53" s="219"/>
      <c r="H53" s="219">
        <v>0</v>
      </c>
      <c r="I53" s="219"/>
      <c r="J53" s="219"/>
      <c r="K53" s="219">
        <f t="shared" si="1"/>
        <v>131</v>
      </c>
      <c r="L53" s="219">
        <v>131</v>
      </c>
      <c r="M53" s="219"/>
      <c r="N53" s="219">
        <v>241</v>
      </c>
      <c r="O53" s="219">
        <v>4</v>
      </c>
      <c r="P53" s="219"/>
      <c r="Q53" s="219">
        <v>2</v>
      </c>
      <c r="R53" s="219"/>
      <c r="S53" s="219"/>
      <c r="T53" s="219"/>
      <c r="U53" s="219"/>
      <c r="V53" s="219">
        <v>14</v>
      </c>
      <c r="W53" s="219">
        <v>121</v>
      </c>
      <c r="X53" s="219">
        <v>386</v>
      </c>
      <c r="Y53" s="219">
        <v>2</v>
      </c>
      <c r="Z53" s="219">
        <v>6</v>
      </c>
      <c r="AA53" s="220" t="s">
        <v>517</v>
      </c>
      <c r="AC53" s="46">
        <v>0</v>
      </c>
    </row>
    <row r="54" spans="1:29" ht="16.5" customHeight="1" x14ac:dyDescent="0.3">
      <c r="A54" s="49"/>
      <c r="B54" s="130" t="str">
        <f ca="1">'Translation Table'!H1774</f>
        <v>LPG Extraction: Shallow Cut (C3 to C4)</v>
      </c>
      <c r="C54" s="54" t="str">
        <f ca="1">'Translation Table'!H1774</f>
        <v>LPG Extraction: Shallow Cut (C3 to C4)</v>
      </c>
      <c r="D54" s="219">
        <v>6</v>
      </c>
      <c r="E54" s="219">
        <v>0</v>
      </c>
      <c r="F54" s="219"/>
      <c r="G54" s="219"/>
      <c r="H54" s="219">
        <v>0</v>
      </c>
      <c r="I54" s="219"/>
      <c r="J54" s="219"/>
      <c r="K54" s="219">
        <f t="shared" si="1"/>
        <v>48</v>
      </c>
      <c r="L54" s="219">
        <v>48</v>
      </c>
      <c r="M54" s="219"/>
      <c r="N54" s="219">
        <v>123</v>
      </c>
      <c r="O54" s="219">
        <v>4</v>
      </c>
      <c r="P54" s="219"/>
      <c r="Q54" s="219"/>
      <c r="R54" s="219"/>
      <c r="S54" s="219"/>
      <c r="T54" s="219"/>
      <c r="U54" s="219"/>
      <c r="V54" s="219">
        <v>6</v>
      </c>
      <c r="W54" s="219">
        <v>2</v>
      </c>
      <c r="X54" s="219">
        <v>9</v>
      </c>
      <c r="Y54" s="219"/>
      <c r="Z54" s="219">
        <v>8</v>
      </c>
      <c r="AA54" s="220" t="s">
        <v>517</v>
      </c>
      <c r="AC54" s="46">
        <v>0</v>
      </c>
    </row>
    <row r="55" spans="1:29" ht="16.5" customHeight="1" x14ac:dyDescent="0.3">
      <c r="A55" s="49"/>
      <c r="B55" s="54" t="str">
        <f ca="1">'Translation Table'!H1775</f>
        <v>NGL – Natural Gas Liquefaction</v>
      </c>
      <c r="C55" s="54" t="str">
        <f ca="1">'Translation Table'!H1775</f>
        <v>NGL – Natural Gas Liquefaction</v>
      </c>
      <c r="D55" s="219">
        <v>10</v>
      </c>
      <c r="E55" s="219">
        <v>0</v>
      </c>
      <c r="F55" s="219"/>
      <c r="G55" s="219"/>
      <c r="H55" s="219">
        <v>0</v>
      </c>
      <c r="I55" s="219"/>
      <c r="J55" s="219"/>
      <c r="K55" s="219">
        <f t="shared" si="1"/>
        <v>131</v>
      </c>
      <c r="L55" s="219">
        <v>131</v>
      </c>
      <c r="M55" s="219"/>
      <c r="N55" s="219">
        <v>192</v>
      </c>
      <c r="O55" s="219">
        <v>6</v>
      </c>
      <c r="P55" s="219"/>
      <c r="Q55" s="219"/>
      <c r="R55" s="219"/>
      <c r="S55" s="219"/>
      <c r="T55" s="219"/>
      <c r="U55" s="219"/>
      <c r="V55" s="219">
        <v>10</v>
      </c>
      <c r="W55" s="219">
        <v>121</v>
      </c>
      <c r="X55" s="219">
        <v>386</v>
      </c>
      <c r="Y55" s="219"/>
      <c r="Z55" s="219">
        <v>8</v>
      </c>
      <c r="AA55" s="220" t="s">
        <v>517</v>
      </c>
      <c r="AC55" s="46">
        <v>0</v>
      </c>
    </row>
    <row r="56" spans="1:29" ht="16.5" customHeight="1" x14ac:dyDescent="0.3">
      <c r="A56" s="49"/>
      <c r="B56" s="130" t="str">
        <f ca="1">'Translation Table'!H1776</f>
        <v>PIG Receiver or Sender</v>
      </c>
      <c r="C56" s="54" t="str">
        <f ca="1">'Translation Table'!H1776</f>
        <v>PIG Receiver or Sender</v>
      </c>
      <c r="D56" s="219">
        <v>0</v>
      </c>
      <c r="E56" s="219">
        <v>0</v>
      </c>
      <c r="F56" s="219"/>
      <c r="G56" s="219"/>
      <c r="H56" s="219">
        <v>0</v>
      </c>
      <c r="I56" s="219"/>
      <c r="J56" s="219"/>
      <c r="K56" s="219">
        <f t="shared" si="1"/>
        <v>3</v>
      </c>
      <c r="L56" s="219">
        <v>3</v>
      </c>
      <c r="M56" s="219"/>
      <c r="N56" s="219">
        <v>241</v>
      </c>
      <c r="O56" s="219">
        <v>0</v>
      </c>
      <c r="P56" s="219"/>
      <c r="Q56" s="219"/>
      <c r="R56" s="219"/>
      <c r="S56" s="219"/>
      <c r="T56" s="219"/>
      <c r="U56" s="219"/>
      <c r="V56" s="219">
        <v>0</v>
      </c>
      <c r="W56" s="219"/>
      <c r="X56" s="219"/>
      <c r="Y56" s="219"/>
      <c r="Z56" s="219">
        <v>1</v>
      </c>
      <c r="AA56" s="220" t="s">
        <v>517</v>
      </c>
      <c r="AC56" s="46">
        <v>0</v>
      </c>
    </row>
    <row r="57" spans="1:29" ht="16.5" customHeight="1" x14ac:dyDescent="0.3">
      <c r="A57" s="49"/>
      <c r="B57" s="54" t="str">
        <f ca="1">'Translation Table'!H1777</f>
        <v>Power Generator: Natural Gas Fuelled (Driver: Gas Turbine)</v>
      </c>
      <c r="C57" s="54" t="str">
        <f ca="1">'Translation Table'!H1777</f>
        <v>Power Generator: Natural Gas Fuelled (Driver: Gas Turbine)</v>
      </c>
      <c r="D57" s="219">
        <v>1.62</v>
      </c>
      <c r="E57" s="219">
        <v>1.93</v>
      </c>
      <c r="F57" s="219"/>
      <c r="G57" s="219"/>
      <c r="H57" s="219">
        <v>0</v>
      </c>
      <c r="I57" s="219"/>
      <c r="J57" s="219"/>
      <c r="K57" s="219">
        <f t="shared" si="1"/>
        <v>39.86</v>
      </c>
      <c r="L57" s="219">
        <v>32.94</v>
      </c>
      <c r="M57" s="219">
        <v>6.92</v>
      </c>
      <c r="N57" s="219">
        <v>203.8</v>
      </c>
      <c r="O57" s="219">
        <v>4.33</v>
      </c>
      <c r="P57" s="219"/>
      <c r="Q57" s="219"/>
      <c r="R57" s="219"/>
      <c r="S57" s="219"/>
      <c r="T57" s="219"/>
      <c r="U57" s="219"/>
      <c r="V57" s="219">
        <v>2</v>
      </c>
      <c r="W57" s="219">
        <v>0</v>
      </c>
      <c r="X57" s="219">
        <v>0</v>
      </c>
      <c r="Y57" s="219">
        <v>0</v>
      </c>
      <c r="Z57" s="219">
        <v>1</v>
      </c>
      <c r="AA57" s="220" t="s">
        <v>2474</v>
      </c>
      <c r="AC57" s="46">
        <v>0</v>
      </c>
    </row>
    <row r="58" spans="1:29" ht="16.5" customHeight="1" x14ac:dyDescent="0.3">
      <c r="A58" s="49"/>
      <c r="B58" s="130" t="str">
        <f ca="1">'Translation Table'!H1778</f>
        <v>Power Generator: Natural Gas Fuelled (Driver: Recip. Engine)</v>
      </c>
      <c r="C58" s="54" t="str">
        <f ca="1">'Translation Table'!H1778</f>
        <v>Power Generator: Natural Gas Fuelled (Driver: Recip. Engine)</v>
      </c>
      <c r="D58" s="219">
        <v>3.29</v>
      </c>
      <c r="E58" s="219">
        <v>1.76</v>
      </c>
      <c r="F58" s="219"/>
      <c r="G58" s="219"/>
      <c r="H58" s="219">
        <v>0</v>
      </c>
      <c r="I58" s="219"/>
      <c r="J58" s="219"/>
      <c r="K58" s="219">
        <f t="shared" si="1"/>
        <v>26.189999999999998</v>
      </c>
      <c r="L58" s="219">
        <v>20.86</v>
      </c>
      <c r="M58" s="219">
        <v>5.33</v>
      </c>
      <c r="N58" s="219">
        <v>157.71</v>
      </c>
      <c r="O58" s="219">
        <v>1.5</v>
      </c>
      <c r="P58" s="219"/>
      <c r="Q58" s="219"/>
      <c r="R58" s="219"/>
      <c r="S58" s="219"/>
      <c r="T58" s="219"/>
      <c r="U58" s="219"/>
      <c r="V58" s="219">
        <v>2</v>
      </c>
      <c r="W58" s="219">
        <v>0</v>
      </c>
      <c r="X58" s="219">
        <v>0</v>
      </c>
      <c r="Y58" s="219">
        <v>0</v>
      </c>
      <c r="Z58" s="219">
        <v>1</v>
      </c>
      <c r="AA58" s="220" t="s">
        <v>2474</v>
      </c>
      <c r="AC58" s="46">
        <v>0</v>
      </c>
    </row>
    <row r="59" spans="1:29" ht="16.5" customHeight="1" x14ac:dyDescent="0.3">
      <c r="A59" s="49"/>
      <c r="B59" s="54" t="str">
        <f ca="1">'Translation Table'!H1779</f>
        <v>Pump: Hydrocarbon Service (Driver: Motor)</v>
      </c>
      <c r="C59" s="54" t="str">
        <f ca="1">'Translation Table'!H1779</f>
        <v>Pump: Hydrocarbon Service (Driver: Motor)</v>
      </c>
      <c r="D59" s="219">
        <v>0</v>
      </c>
      <c r="E59" s="219">
        <v>0</v>
      </c>
      <c r="F59" s="219"/>
      <c r="G59" s="219"/>
      <c r="H59" s="219">
        <v>0</v>
      </c>
      <c r="I59" s="219"/>
      <c r="J59" s="219"/>
      <c r="K59" s="219">
        <f t="shared" si="1"/>
        <v>0</v>
      </c>
      <c r="L59" s="219">
        <v>0</v>
      </c>
      <c r="M59" s="219">
        <v>0</v>
      </c>
      <c r="N59" s="219">
        <v>0</v>
      </c>
      <c r="O59" s="219">
        <v>0</v>
      </c>
      <c r="P59" s="219"/>
      <c r="Q59" s="219"/>
      <c r="R59" s="219"/>
      <c r="S59" s="219"/>
      <c r="T59" s="219"/>
      <c r="U59" s="219"/>
      <c r="V59" s="219">
        <v>0</v>
      </c>
      <c r="W59" s="219">
        <v>4</v>
      </c>
      <c r="X59" s="219">
        <v>10</v>
      </c>
      <c r="Y59" s="219">
        <v>1</v>
      </c>
      <c r="Z59" s="219">
        <v>0</v>
      </c>
      <c r="AA59" s="220" t="s">
        <v>2474</v>
      </c>
    </row>
    <row r="60" spans="1:29" ht="16.5" customHeight="1" x14ac:dyDescent="0.3">
      <c r="A60" s="49"/>
      <c r="B60" s="130" t="str">
        <f ca="1">'Translation Table'!H1780</f>
        <v>Pump: Hydrocarbon Service (Driver: Recip Engine) (Fuel: Gaseous)</v>
      </c>
      <c r="C60" s="54" t="str">
        <f ca="1">'Translation Table'!H1780</f>
        <v>Pump: Hydrocarbon Service (Driver: Recip Engine) (Fuel: Gaseous)</v>
      </c>
      <c r="D60" s="219">
        <v>3.29</v>
      </c>
      <c r="E60" s="221">
        <v>1.76</v>
      </c>
      <c r="F60" s="221"/>
      <c r="G60" s="221"/>
      <c r="H60" s="221">
        <v>0</v>
      </c>
      <c r="I60" s="221"/>
      <c r="J60" s="221"/>
      <c r="K60" s="219">
        <f t="shared" si="1"/>
        <v>26.189999999999998</v>
      </c>
      <c r="L60" s="219">
        <v>20.86</v>
      </c>
      <c r="M60" s="219">
        <v>5.33</v>
      </c>
      <c r="N60" s="219">
        <v>157.71</v>
      </c>
      <c r="O60" s="219">
        <v>1.5</v>
      </c>
      <c r="P60" s="221"/>
      <c r="Q60" s="219"/>
      <c r="R60" s="219"/>
      <c r="S60" s="219"/>
      <c r="T60" s="221"/>
      <c r="U60" s="221"/>
      <c r="V60" s="221">
        <v>2</v>
      </c>
      <c r="W60" s="219">
        <v>4</v>
      </c>
      <c r="X60" s="219">
        <v>10</v>
      </c>
      <c r="Y60" s="219">
        <v>1</v>
      </c>
      <c r="Z60" s="221">
        <v>0</v>
      </c>
      <c r="AA60" s="220" t="s">
        <v>2474</v>
      </c>
      <c r="AC60" s="46">
        <v>0</v>
      </c>
    </row>
    <row r="61" spans="1:29" ht="16.5" customHeight="1" x14ac:dyDescent="0.3">
      <c r="A61" s="49"/>
      <c r="B61" s="54" t="str">
        <f ca="1">'Translation Table'!H1781</f>
        <v>Pump: Hydrocarbon Service (Driver: Recip Engine) (Fuel: Liquid)</v>
      </c>
      <c r="C61" s="54" t="str">
        <f ca="1">'Translation Table'!H1781</f>
        <v>Pump: Hydrocarbon Service (Driver: Recip Engine) (Fuel: Liquid)</v>
      </c>
      <c r="D61" s="219">
        <v>0</v>
      </c>
      <c r="E61" s="221">
        <v>0</v>
      </c>
      <c r="F61" s="221"/>
      <c r="G61" s="221"/>
      <c r="H61" s="221">
        <v>0</v>
      </c>
      <c r="I61" s="221"/>
      <c r="J61" s="221"/>
      <c r="K61" s="219">
        <f t="shared" si="1"/>
        <v>0</v>
      </c>
      <c r="L61" s="219">
        <v>0</v>
      </c>
      <c r="M61" s="219">
        <v>0</v>
      </c>
      <c r="N61" s="219">
        <v>0</v>
      </c>
      <c r="O61" s="219">
        <v>0</v>
      </c>
      <c r="P61" s="221"/>
      <c r="Q61" s="219"/>
      <c r="R61" s="219"/>
      <c r="S61" s="219"/>
      <c r="T61" s="221"/>
      <c r="U61" s="221"/>
      <c r="V61" s="221">
        <v>1</v>
      </c>
      <c r="W61" s="219">
        <v>4</v>
      </c>
      <c r="X61" s="219">
        <v>10</v>
      </c>
      <c r="Y61" s="219">
        <v>1</v>
      </c>
      <c r="Z61" s="221">
        <v>0</v>
      </c>
      <c r="AA61" s="220" t="s">
        <v>2474</v>
      </c>
    </row>
    <row r="62" spans="1:29" ht="16.5" customHeight="1" x14ac:dyDescent="0.3">
      <c r="A62" s="49"/>
      <c r="B62" s="130" t="str">
        <f ca="1">'Translation Table'!H1782</f>
        <v>Pump: Non-Hydrocarbon Service (Driver: Recip Engine) (Fuel: Gaseous)</v>
      </c>
      <c r="C62" s="54" t="str">
        <f ca="1">'Translation Table'!H1782</f>
        <v>Pump: Non-Hydrocarbon Service (Driver: Recip Engine) (Fuel: Gaseous)</v>
      </c>
      <c r="D62" s="219">
        <v>3.29</v>
      </c>
      <c r="E62" s="221">
        <v>1.76</v>
      </c>
      <c r="F62" s="221"/>
      <c r="G62" s="221"/>
      <c r="H62" s="221">
        <v>0</v>
      </c>
      <c r="I62" s="221"/>
      <c r="J62" s="221"/>
      <c r="K62" s="219">
        <f t="shared" si="1"/>
        <v>26.189999999999998</v>
      </c>
      <c r="L62" s="219">
        <v>20.86</v>
      </c>
      <c r="M62" s="219">
        <v>5.33</v>
      </c>
      <c r="N62" s="219">
        <v>157.71</v>
      </c>
      <c r="O62" s="219">
        <v>1.5</v>
      </c>
      <c r="P62" s="221"/>
      <c r="Q62" s="219"/>
      <c r="R62" s="219"/>
      <c r="S62" s="219"/>
      <c r="T62" s="221"/>
      <c r="U62" s="221"/>
      <c r="V62" s="221">
        <v>2</v>
      </c>
      <c r="W62" s="220">
        <v>0</v>
      </c>
      <c r="X62" s="220">
        <v>0</v>
      </c>
      <c r="Y62" s="220">
        <v>0</v>
      </c>
      <c r="Z62" s="221">
        <v>0</v>
      </c>
      <c r="AA62" s="220" t="s">
        <v>2474</v>
      </c>
    </row>
    <row r="63" spans="1:29" ht="16.5" customHeight="1" x14ac:dyDescent="0.3">
      <c r="A63" s="49"/>
      <c r="B63" s="54" t="str">
        <f ca="1">'Translation Table'!H1783</f>
        <v>Pump: Non-Hydrocarbon Service (Driver: Recip Engine) (Fuel: Gaseous)</v>
      </c>
      <c r="C63" s="54" t="str">
        <f ca="1">'Translation Table'!H1783</f>
        <v>Pump: Non-Hydrocarbon Service (Driver: Recip Engine) (Fuel: Gaseous)</v>
      </c>
      <c r="D63" s="219">
        <v>3.29</v>
      </c>
      <c r="E63" s="221">
        <v>1.76</v>
      </c>
      <c r="F63" s="221"/>
      <c r="G63" s="221"/>
      <c r="H63" s="221">
        <v>0</v>
      </c>
      <c r="I63" s="221"/>
      <c r="J63" s="221"/>
      <c r="K63" s="219">
        <f t="shared" si="1"/>
        <v>26.189999999999998</v>
      </c>
      <c r="L63" s="219">
        <v>20.86</v>
      </c>
      <c r="M63" s="219">
        <v>5.33</v>
      </c>
      <c r="N63" s="219">
        <v>157.71</v>
      </c>
      <c r="O63" s="219">
        <v>1.5</v>
      </c>
      <c r="P63" s="221"/>
      <c r="Q63" s="219"/>
      <c r="R63" s="219"/>
      <c r="S63" s="219"/>
      <c r="T63" s="221"/>
      <c r="U63" s="221"/>
      <c r="V63" s="221">
        <v>2</v>
      </c>
      <c r="W63" s="220">
        <v>0</v>
      </c>
      <c r="X63" s="220">
        <v>0</v>
      </c>
      <c r="Y63" s="220">
        <v>0</v>
      </c>
      <c r="Z63" s="221">
        <v>0</v>
      </c>
      <c r="AA63" s="220" t="s">
        <v>2474</v>
      </c>
    </row>
    <row r="64" spans="1:29" ht="16.5" customHeight="1" x14ac:dyDescent="0.3">
      <c r="A64" s="49"/>
      <c r="B64" s="130" t="str">
        <f ca="1">'Translation Table'!H1784</f>
        <v>Refrigeration (Propane)</v>
      </c>
      <c r="C64" s="54" t="str">
        <f ca="1">'Translation Table'!H1784</f>
        <v>Refrigeration (Propane)</v>
      </c>
      <c r="D64" s="219">
        <v>2</v>
      </c>
      <c r="E64" s="221">
        <v>0</v>
      </c>
      <c r="F64" s="221"/>
      <c r="G64" s="221"/>
      <c r="H64" s="221">
        <v>0</v>
      </c>
      <c r="I64" s="221"/>
      <c r="J64" s="221"/>
      <c r="K64" s="219">
        <f t="shared" si="1"/>
        <v>65</v>
      </c>
      <c r="L64" s="219">
        <v>65</v>
      </c>
      <c r="M64" s="219"/>
      <c r="N64" s="219">
        <v>170</v>
      </c>
      <c r="O64" s="219">
        <v>2</v>
      </c>
      <c r="P64" s="221"/>
      <c r="Q64" s="219"/>
      <c r="R64" s="219"/>
      <c r="S64" s="219"/>
      <c r="T64" s="221"/>
      <c r="U64" s="221"/>
      <c r="V64" s="221">
        <v>6</v>
      </c>
      <c r="W64" s="220">
        <v>13</v>
      </c>
      <c r="X64" s="220">
        <v>31</v>
      </c>
      <c r="Y64" s="220"/>
      <c r="Z64" s="221">
        <v>4</v>
      </c>
      <c r="AA64" s="220" t="s">
        <v>517</v>
      </c>
      <c r="AC64" s="46">
        <v>0</v>
      </c>
    </row>
    <row r="65" spans="1:29" ht="16.5" customHeight="1" x14ac:dyDescent="0.3">
      <c r="A65" s="49"/>
      <c r="B65" s="54" t="str">
        <f ca="1">'Translation Table'!H1785</f>
        <v>Separator: Filter Separator</v>
      </c>
      <c r="C65" s="54" t="str">
        <f ca="1">'Translation Table'!H1785</f>
        <v>Separator: Filter Separator</v>
      </c>
      <c r="D65" s="219">
        <v>0.5</v>
      </c>
      <c r="E65" s="221">
        <v>1.5</v>
      </c>
      <c r="F65" s="221"/>
      <c r="G65" s="221"/>
      <c r="H65" s="221">
        <v>0</v>
      </c>
      <c r="I65" s="221"/>
      <c r="J65" s="221"/>
      <c r="K65" s="219">
        <f t="shared" si="1"/>
        <v>14</v>
      </c>
      <c r="L65" s="219">
        <v>13</v>
      </c>
      <c r="M65" s="219">
        <v>1</v>
      </c>
      <c r="N65" s="219">
        <v>64</v>
      </c>
      <c r="O65" s="219">
        <v>0.5</v>
      </c>
      <c r="P65" s="221"/>
      <c r="Q65" s="219"/>
      <c r="R65" s="219"/>
      <c r="S65" s="219"/>
      <c r="T65" s="221"/>
      <c r="U65" s="221"/>
      <c r="V65" s="221">
        <v>2</v>
      </c>
      <c r="W65" s="220">
        <v>6</v>
      </c>
      <c r="X65" s="220">
        <v>19.5</v>
      </c>
      <c r="Y65" s="220">
        <v>0</v>
      </c>
      <c r="Z65" s="221">
        <v>1</v>
      </c>
      <c r="AA65" s="220" t="s">
        <v>2474</v>
      </c>
      <c r="AC65" s="46">
        <v>0</v>
      </c>
    </row>
    <row r="66" spans="1:29" ht="16.5" customHeight="1" x14ac:dyDescent="0.3">
      <c r="A66" s="49"/>
      <c r="B66" s="130" t="str">
        <f ca="1">'Translation Table'!H1786</f>
        <v>Separator: Horizontal (Phases: 2)</v>
      </c>
      <c r="C66" s="54" t="str">
        <f ca="1">'Translation Table'!H1786</f>
        <v>Separator: Horizontal (Phases: 2)</v>
      </c>
      <c r="D66" s="219">
        <v>1</v>
      </c>
      <c r="E66" s="221">
        <v>0</v>
      </c>
      <c r="F66" s="221"/>
      <c r="G66" s="221"/>
      <c r="H66" s="221">
        <v>0</v>
      </c>
      <c r="I66" s="221"/>
      <c r="J66" s="221"/>
      <c r="K66" s="219">
        <f t="shared" si="1"/>
        <v>12</v>
      </c>
      <c r="L66" s="219">
        <v>12</v>
      </c>
      <c r="M66" s="219">
        <v>0</v>
      </c>
      <c r="N66" s="219">
        <v>40</v>
      </c>
      <c r="O66" s="219">
        <v>2</v>
      </c>
      <c r="P66" s="221"/>
      <c r="Q66" s="219"/>
      <c r="R66" s="219"/>
      <c r="S66" s="219"/>
      <c r="T66" s="221"/>
      <c r="U66" s="221"/>
      <c r="V66" s="221">
        <v>2</v>
      </c>
      <c r="W66" s="220">
        <v>17</v>
      </c>
      <c r="X66" s="220">
        <v>58</v>
      </c>
      <c r="Y66" s="220"/>
      <c r="Z66" s="221">
        <v>1</v>
      </c>
      <c r="AA66" s="220" t="s">
        <v>517</v>
      </c>
      <c r="AC66" s="46">
        <v>0</v>
      </c>
    </row>
    <row r="67" spans="1:29" ht="16.5" customHeight="1" x14ac:dyDescent="0.3">
      <c r="A67" s="49"/>
      <c r="B67" s="54" t="str">
        <f ca="1">'Translation Table'!H1787</f>
        <v>Separator: Horizontal (Phases: 3)</v>
      </c>
      <c r="C67" s="54" t="str">
        <f ca="1">'Translation Table'!H1787</f>
        <v>Separator: Horizontal (Phases: 3)</v>
      </c>
      <c r="D67" s="219">
        <v>1</v>
      </c>
      <c r="E67" s="221">
        <v>0</v>
      </c>
      <c r="F67" s="221"/>
      <c r="G67" s="221"/>
      <c r="H67" s="221">
        <v>0</v>
      </c>
      <c r="I67" s="221"/>
      <c r="J67" s="221"/>
      <c r="K67" s="219">
        <f t="shared" si="1"/>
        <v>12</v>
      </c>
      <c r="L67" s="219">
        <v>12</v>
      </c>
      <c r="M67" s="219">
        <v>0</v>
      </c>
      <c r="N67" s="219">
        <v>40</v>
      </c>
      <c r="O67" s="221">
        <v>2</v>
      </c>
      <c r="P67" s="221"/>
      <c r="Q67" s="221"/>
      <c r="R67" s="221"/>
      <c r="S67" s="221"/>
      <c r="T67" s="221"/>
      <c r="U67" s="221"/>
      <c r="V67" s="221">
        <v>2</v>
      </c>
      <c r="W67" s="220">
        <v>17</v>
      </c>
      <c r="X67" s="220">
        <v>58</v>
      </c>
      <c r="Y67" s="220"/>
      <c r="Z67" s="221">
        <v>1</v>
      </c>
      <c r="AA67" s="220" t="s">
        <v>2474</v>
      </c>
      <c r="AC67" s="46">
        <v>0</v>
      </c>
    </row>
    <row r="68" spans="1:29" ht="16.5" customHeight="1" x14ac:dyDescent="0.3">
      <c r="A68" s="49"/>
      <c r="B68" s="130" t="str">
        <f ca="1">'Translation Table'!H1788</f>
        <v>Separator: Vertical (Phases: 2)</v>
      </c>
      <c r="C68" s="54" t="str">
        <f ca="1">'Translation Table'!H1788</f>
        <v>Separator: Vertical (Phases: 2)</v>
      </c>
      <c r="D68" s="219">
        <v>1</v>
      </c>
      <c r="E68" s="221">
        <v>0</v>
      </c>
      <c r="F68" s="221"/>
      <c r="G68" s="221"/>
      <c r="H68" s="221">
        <v>0</v>
      </c>
      <c r="I68" s="221"/>
      <c r="J68" s="221"/>
      <c r="K68" s="219">
        <f t="shared" si="1"/>
        <v>12</v>
      </c>
      <c r="L68" s="219">
        <v>12</v>
      </c>
      <c r="M68" s="219">
        <v>0</v>
      </c>
      <c r="N68" s="219">
        <v>40</v>
      </c>
      <c r="O68" s="219">
        <v>2</v>
      </c>
      <c r="P68" s="219"/>
      <c r="Q68" s="221"/>
      <c r="R68" s="221"/>
      <c r="S68" s="221"/>
      <c r="T68" s="219"/>
      <c r="U68" s="221"/>
      <c r="V68" s="219">
        <v>2</v>
      </c>
      <c r="W68" s="220">
        <v>17</v>
      </c>
      <c r="X68" s="220">
        <v>58</v>
      </c>
      <c r="Y68" s="220"/>
      <c r="Z68" s="221">
        <v>1</v>
      </c>
      <c r="AA68" s="220" t="s">
        <v>517</v>
      </c>
      <c r="AC68" s="46">
        <v>0</v>
      </c>
    </row>
    <row r="69" spans="1:29" ht="16.5" customHeight="1" x14ac:dyDescent="0.3">
      <c r="A69" s="49"/>
      <c r="B69" s="54" t="str">
        <f ca="1">'Translation Table'!H1789</f>
        <v>Separator: Vertical (Phases: 3)</v>
      </c>
      <c r="C69" s="54" t="str">
        <f ca="1">'Translation Table'!H1789</f>
        <v>Separator: Vertical (Phases: 3)</v>
      </c>
      <c r="D69" s="219">
        <v>1</v>
      </c>
      <c r="E69" s="221">
        <v>0</v>
      </c>
      <c r="F69" s="221"/>
      <c r="G69" s="221"/>
      <c r="H69" s="221">
        <v>0</v>
      </c>
      <c r="I69" s="221"/>
      <c r="J69" s="221"/>
      <c r="K69" s="219">
        <f t="shared" si="1"/>
        <v>12</v>
      </c>
      <c r="L69" s="219">
        <v>12</v>
      </c>
      <c r="M69" s="219">
        <v>0</v>
      </c>
      <c r="N69" s="219">
        <v>40</v>
      </c>
      <c r="O69" s="221">
        <v>2</v>
      </c>
      <c r="P69" s="221"/>
      <c r="Q69" s="221"/>
      <c r="R69" s="221"/>
      <c r="S69" s="221"/>
      <c r="T69" s="221"/>
      <c r="U69" s="221"/>
      <c r="V69" s="221">
        <v>2</v>
      </c>
      <c r="W69" s="220">
        <v>17</v>
      </c>
      <c r="X69" s="220">
        <v>58</v>
      </c>
      <c r="Y69" s="220"/>
      <c r="Z69" s="221">
        <v>1</v>
      </c>
      <c r="AA69" s="220" t="s">
        <v>2474</v>
      </c>
    </row>
    <row r="70" spans="1:29" ht="16.5" customHeight="1" x14ac:dyDescent="0.3">
      <c r="A70" s="49"/>
      <c r="B70" s="130" t="str">
        <f ca="1">'Translation Table'!H1790</f>
        <v>Stabilizer: with Reflux Loop</v>
      </c>
      <c r="C70" s="54" t="str">
        <f ca="1">'Translation Table'!H1790</f>
        <v>Stabilizer: with Reflux Loop</v>
      </c>
      <c r="D70" s="219">
        <v>3</v>
      </c>
      <c r="E70" s="221">
        <v>0</v>
      </c>
      <c r="F70" s="221"/>
      <c r="G70" s="221"/>
      <c r="H70" s="221">
        <v>0</v>
      </c>
      <c r="I70" s="221"/>
      <c r="J70" s="221"/>
      <c r="K70" s="219">
        <f t="shared" si="1"/>
        <v>20</v>
      </c>
      <c r="L70" s="219">
        <v>20</v>
      </c>
      <c r="M70" s="219"/>
      <c r="N70" s="219">
        <v>80</v>
      </c>
      <c r="O70" s="219">
        <v>2</v>
      </c>
      <c r="P70" s="219"/>
      <c r="Q70" s="221"/>
      <c r="R70" s="221"/>
      <c r="S70" s="221"/>
      <c r="T70" s="219"/>
      <c r="U70" s="221"/>
      <c r="V70" s="219">
        <v>4</v>
      </c>
      <c r="W70" s="220">
        <v>77</v>
      </c>
      <c r="X70" s="220">
        <v>247</v>
      </c>
      <c r="Y70" s="220"/>
      <c r="Z70" s="221">
        <v>1</v>
      </c>
      <c r="AA70" s="220" t="s">
        <v>517</v>
      </c>
    </row>
    <row r="71" spans="1:29" ht="16.5" customHeight="1" x14ac:dyDescent="0.3">
      <c r="A71" s="49"/>
      <c r="B71" s="54" t="str">
        <f ca="1">'Translation Table'!H1791</f>
        <v>Stabilizer: without Reflux Loop</v>
      </c>
      <c r="C71" s="54" t="str">
        <f ca="1">'Translation Table'!H1791</f>
        <v>Stabilizer: without Reflux Loop</v>
      </c>
      <c r="D71" s="219">
        <v>2</v>
      </c>
      <c r="E71" s="221">
        <v>0</v>
      </c>
      <c r="F71" s="221"/>
      <c r="G71" s="221"/>
      <c r="H71" s="221">
        <v>0</v>
      </c>
      <c r="I71" s="221"/>
      <c r="J71" s="221"/>
      <c r="K71" s="219">
        <f t="shared" ref="K71:K134" si="2">L71+M71</f>
        <v>17</v>
      </c>
      <c r="L71" s="219">
        <v>17</v>
      </c>
      <c r="M71" s="219"/>
      <c r="N71" s="219">
        <v>74</v>
      </c>
      <c r="O71" s="221">
        <v>2</v>
      </c>
      <c r="P71" s="221"/>
      <c r="Q71" s="221"/>
      <c r="R71" s="221"/>
      <c r="S71" s="221"/>
      <c r="T71" s="221"/>
      <c r="U71" s="221"/>
      <c r="V71" s="221">
        <v>3</v>
      </c>
      <c r="W71" s="220">
        <v>74</v>
      </c>
      <c r="X71" s="220">
        <v>241</v>
      </c>
      <c r="Y71" s="220"/>
      <c r="Z71" s="221">
        <v>1</v>
      </c>
      <c r="AA71" s="220" t="s">
        <v>2474</v>
      </c>
    </row>
    <row r="72" spans="1:29" ht="16.5" customHeight="1" x14ac:dyDescent="0.3">
      <c r="A72" s="49"/>
      <c r="B72" s="130" t="str">
        <f ca="1">'Translation Table'!H1792</f>
        <v>Storage Tank (Produced Oil, with Vapor Control)</v>
      </c>
      <c r="C72" s="54" t="str">
        <f ca="1">'Translation Table'!H1792</f>
        <v>Storage Tank (Produced Oil, with Vapor Control)</v>
      </c>
      <c r="D72" s="219">
        <v>1</v>
      </c>
      <c r="E72" s="221">
        <v>0</v>
      </c>
      <c r="F72" s="221"/>
      <c r="G72" s="221"/>
      <c r="H72" s="221">
        <v>0</v>
      </c>
      <c r="I72" s="221"/>
      <c r="J72" s="221"/>
      <c r="K72" s="219">
        <f t="shared" si="2"/>
        <v>1</v>
      </c>
      <c r="L72" s="219">
        <v>1</v>
      </c>
      <c r="M72" s="219"/>
      <c r="N72" s="219">
        <v>2</v>
      </c>
      <c r="O72" s="219">
        <v>1</v>
      </c>
      <c r="P72" s="219"/>
      <c r="Q72" s="221"/>
      <c r="R72" s="221"/>
      <c r="S72" s="221"/>
      <c r="T72" s="219"/>
      <c r="U72" s="221"/>
      <c r="V72" s="219">
        <v>0</v>
      </c>
      <c r="W72" s="220">
        <v>10</v>
      </c>
      <c r="X72" s="220">
        <v>24</v>
      </c>
      <c r="Y72" s="220"/>
      <c r="Z72" s="221">
        <v>0</v>
      </c>
      <c r="AA72" s="220" t="s">
        <v>517</v>
      </c>
    </row>
    <row r="73" spans="1:29" ht="16.5" customHeight="1" x14ac:dyDescent="0.3">
      <c r="A73" s="49"/>
      <c r="B73" s="54" t="str">
        <f ca="1">'Translation Table'!H1793</f>
        <v>Storage Tank (Produced Oil, without Vapor Control)</v>
      </c>
      <c r="C73" s="54" t="str">
        <f ca="1">'Translation Table'!H1793</f>
        <v>Storage Tank (Produced Oil, without Vapor Control)</v>
      </c>
      <c r="D73" s="219">
        <v>0</v>
      </c>
      <c r="E73" s="219">
        <v>0</v>
      </c>
      <c r="F73" s="219"/>
      <c r="G73" s="219"/>
      <c r="H73" s="219">
        <v>0</v>
      </c>
      <c r="I73" s="219"/>
      <c r="J73" s="219"/>
      <c r="K73" s="219">
        <f t="shared" si="2"/>
        <v>0</v>
      </c>
      <c r="L73" s="219">
        <v>0</v>
      </c>
      <c r="M73" s="219"/>
      <c r="N73" s="219">
        <v>0</v>
      </c>
      <c r="O73" s="219">
        <v>0</v>
      </c>
      <c r="P73" s="219"/>
      <c r="Q73" s="219"/>
      <c r="R73" s="219"/>
      <c r="S73" s="219"/>
      <c r="T73" s="219"/>
      <c r="U73" s="219"/>
      <c r="V73" s="219">
        <v>0</v>
      </c>
      <c r="W73" s="219">
        <v>10</v>
      </c>
      <c r="X73" s="219">
        <v>24</v>
      </c>
      <c r="Y73" s="219"/>
      <c r="Z73" s="219">
        <v>0</v>
      </c>
      <c r="AA73" s="661" t="s">
        <v>517</v>
      </c>
    </row>
    <row r="74" spans="1:29" ht="16.5" customHeight="1" x14ac:dyDescent="0.3">
      <c r="A74" s="49"/>
      <c r="B74" s="130" t="str">
        <f ca="1">'Translation Table'!H1794</f>
        <v>Storage Tank (Produced Water, with Vapor Control)</v>
      </c>
      <c r="C74" s="54" t="str">
        <f ca="1">'Translation Table'!H1794</f>
        <v>Storage Tank (Produced Water, with Vapor Control)</v>
      </c>
      <c r="D74" s="219">
        <v>1</v>
      </c>
      <c r="E74" s="219">
        <v>0</v>
      </c>
      <c r="F74" s="219"/>
      <c r="G74" s="219"/>
      <c r="H74" s="219">
        <v>0</v>
      </c>
      <c r="I74" s="219"/>
      <c r="J74" s="219"/>
      <c r="K74" s="219">
        <f t="shared" si="2"/>
        <v>1</v>
      </c>
      <c r="L74" s="219">
        <v>1</v>
      </c>
      <c r="M74" s="219"/>
      <c r="N74" s="219">
        <v>2</v>
      </c>
      <c r="O74" s="219">
        <v>1</v>
      </c>
      <c r="P74" s="219"/>
      <c r="Q74" s="219"/>
      <c r="R74" s="219"/>
      <c r="S74" s="219"/>
      <c r="T74" s="219"/>
      <c r="U74" s="219"/>
      <c r="V74" s="219">
        <v>0</v>
      </c>
      <c r="W74" s="219">
        <v>10</v>
      </c>
      <c r="X74" s="219">
        <v>24</v>
      </c>
      <c r="Y74" s="219"/>
      <c r="Z74" s="219">
        <v>0</v>
      </c>
      <c r="AA74" s="661" t="s">
        <v>517</v>
      </c>
    </row>
    <row r="75" spans="1:29" ht="16.5" customHeight="1" x14ac:dyDescent="0.3">
      <c r="A75" s="49"/>
      <c r="B75" s="54" t="str">
        <f ca="1">'Translation Table'!H1795</f>
        <v>Storage Tank (Produced Water, without Vapor Control)</v>
      </c>
      <c r="C75" s="54" t="str">
        <f ca="1">'Translation Table'!H1795</f>
        <v>Storage Tank (Produced Water, without Vapor Control)</v>
      </c>
      <c r="D75" s="219">
        <v>0</v>
      </c>
      <c r="E75" s="221">
        <v>0</v>
      </c>
      <c r="F75" s="221"/>
      <c r="G75" s="221"/>
      <c r="H75" s="221">
        <v>0</v>
      </c>
      <c r="I75" s="221"/>
      <c r="J75" s="221"/>
      <c r="K75" s="219">
        <f t="shared" si="2"/>
        <v>0</v>
      </c>
      <c r="L75" s="219">
        <v>0</v>
      </c>
      <c r="M75" s="219"/>
      <c r="N75" s="219">
        <v>0</v>
      </c>
      <c r="O75" s="219">
        <v>0</v>
      </c>
      <c r="P75" s="221"/>
      <c r="Q75" s="221"/>
      <c r="R75" s="221"/>
      <c r="S75" s="221"/>
      <c r="T75" s="221"/>
      <c r="U75" s="221"/>
      <c r="V75" s="221">
        <v>0</v>
      </c>
      <c r="W75" s="220">
        <v>10</v>
      </c>
      <c r="X75" s="220">
        <v>24</v>
      </c>
      <c r="Y75" s="220"/>
      <c r="Z75" s="221">
        <v>0</v>
      </c>
      <c r="AA75" s="220" t="s">
        <v>517</v>
      </c>
    </row>
    <row r="76" spans="1:29" ht="16.5" customHeight="1" x14ac:dyDescent="0.3">
      <c r="A76" s="49"/>
      <c r="B76" s="130" t="str">
        <f ca="1">'Translation Table'!H1796</f>
        <v>Storage Tank: Chemicals with Natural Gas Blanketing)</v>
      </c>
      <c r="C76" s="54" t="str">
        <f ca="1">'Translation Table'!H1796</f>
        <v>Storage Tank: Chemicals with Natural Gas Blanketing)</v>
      </c>
      <c r="D76" s="219">
        <v>1</v>
      </c>
      <c r="E76" s="221">
        <v>0</v>
      </c>
      <c r="F76" s="221"/>
      <c r="G76" s="221"/>
      <c r="H76" s="221">
        <v>0</v>
      </c>
      <c r="I76" s="221"/>
      <c r="J76" s="221"/>
      <c r="K76" s="219">
        <f t="shared" si="2"/>
        <v>1</v>
      </c>
      <c r="L76" s="219">
        <v>1</v>
      </c>
      <c r="M76" s="219"/>
      <c r="N76" s="219">
        <v>2</v>
      </c>
      <c r="O76" s="219">
        <v>1</v>
      </c>
      <c r="P76" s="221"/>
      <c r="Q76" s="221"/>
      <c r="R76" s="221"/>
      <c r="S76" s="221"/>
      <c r="T76" s="221"/>
      <c r="U76" s="221"/>
      <c r="V76" s="221">
        <v>0</v>
      </c>
      <c r="W76" s="220">
        <v>0</v>
      </c>
      <c r="X76" s="220">
        <v>0</v>
      </c>
      <c r="Y76" s="220"/>
      <c r="Z76" s="221">
        <v>0</v>
      </c>
      <c r="AA76" s="691" t="s">
        <v>3413</v>
      </c>
    </row>
    <row r="77" spans="1:29" ht="16.5" customHeight="1" x14ac:dyDescent="0.3">
      <c r="A77" s="49"/>
      <c r="B77" s="54" t="str">
        <f ca="1">'Translation Table'!H1797</f>
        <v>Sulphur Recovery: Claus</v>
      </c>
      <c r="C77" s="54" t="str">
        <f ca="1">'Translation Table'!H1797</f>
        <v>Sulphur Recovery: Claus</v>
      </c>
      <c r="D77" s="219">
        <v>1</v>
      </c>
      <c r="E77" s="221">
        <v>0</v>
      </c>
      <c r="F77" s="221"/>
      <c r="G77" s="221"/>
      <c r="H77" s="221">
        <v>0</v>
      </c>
      <c r="I77" s="221"/>
      <c r="J77" s="221"/>
      <c r="K77" s="219">
        <f t="shared" si="2"/>
        <v>31</v>
      </c>
      <c r="L77" s="219">
        <v>31</v>
      </c>
      <c r="M77" s="219"/>
      <c r="N77" s="219">
        <v>134</v>
      </c>
      <c r="O77" s="219">
        <v>4</v>
      </c>
      <c r="P77" s="221"/>
      <c r="Q77" s="221"/>
      <c r="R77" s="221"/>
      <c r="S77" s="221"/>
      <c r="T77" s="221"/>
      <c r="U77" s="221"/>
      <c r="V77" s="221">
        <v>2</v>
      </c>
      <c r="W77" s="220">
        <v>7</v>
      </c>
      <c r="X77" s="220">
        <v>12</v>
      </c>
      <c r="Y77" s="220"/>
      <c r="Z77" s="221">
        <v>1</v>
      </c>
      <c r="AA77" s="220" t="s">
        <v>517</v>
      </c>
    </row>
    <row r="78" spans="1:29" ht="16.5" customHeight="1" x14ac:dyDescent="0.3">
      <c r="A78" s="49"/>
      <c r="B78" s="130" t="str">
        <f ca="1">'Translation Table'!H1798</f>
        <v>Sulphur Recovery: MCRC (Sub-dewpoint)</v>
      </c>
      <c r="C78" s="54" t="str">
        <f ca="1">'Translation Table'!H1798</f>
        <v>Sulphur Recovery: MCRC (Sub-dewpoint)</v>
      </c>
      <c r="D78" s="219">
        <v>1</v>
      </c>
      <c r="E78" s="219">
        <v>0</v>
      </c>
      <c r="F78" s="219"/>
      <c r="G78" s="219"/>
      <c r="H78" s="219">
        <v>0</v>
      </c>
      <c r="I78" s="219"/>
      <c r="J78" s="219"/>
      <c r="K78" s="219">
        <f t="shared" si="2"/>
        <v>31</v>
      </c>
      <c r="L78" s="219">
        <v>31</v>
      </c>
      <c r="M78" s="219"/>
      <c r="N78" s="219">
        <v>134</v>
      </c>
      <c r="O78" s="219">
        <v>4</v>
      </c>
      <c r="P78" s="219"/>
      <c r="Q78" s="219"/>
      <c r="R78" s="219"/>
      <c r="S78" s="219"/>
      <c r="T78" s="219"/>
      <c r="U78" s="219"/>
      <c r="V78" s="219">
        <v>2</v>
      </c>
      <c r="W78" s="219">
        <v>7</v>
      </c>
      <c r="X78" s="219">
        <v>12</v>
      </c>
      <c r="Y78" s="219"/>
      <c r="Z78" s="219">
        <v>1</v>
      </c>
      <c r="AA78" s="220" t="s">
        <v>517</v>
      </c>
    </row>
    <row r="79" spans="1:29" ht="16.5" customHeight="1" x14ac:dyDescent="0.3">
      <c r="A79" s="49"/>
      <c r="B79" s="54" t="str">
        <f ca="1">'Translation Table'!H1799</f>
        <v>Sweetening: (Physical Solvent)</v>
      </c>
      <c r="C79" s="54" t="str">
        <f ca="1">'Translation Table'!H1799</f>
        <v>Sweetening: (Physical Solvent)</v>
      </c>
      <c r="D79" s="219">
        <v>4</v>
      </c>
      <c r="E79" s="221">
        <v>0</v>
      </c>
      <c r="F79" s="221"/>
      <c r="G79" s="221"/>
      <c r="H79" s="221">
        <v>0</v>
      </c>
      <c r="I79" s="221"/>
      <c r="J79" s="221"/>
      <c r="K79" s="219">
        <f t="shared" si="2"/>
        <v>104</v>
      </c>
      <c r="L79" s="219">
        <v>104</v>
      </c>
      <c r="M79" s="219"/>
      <c r="N79" s="219">
        <v>248</v>
      </c>
      <c r="O79" s="219">
        <v>2</v>
      </c>
      <c r="P79" s="221"/>
      <c r="Q79" s="221"/>
      <c r="R79" s="221"/>
      <c r="S79" s="221"/>
      <c r="T79" s="219"/>
      <c r="U79" s="219"/>
      <c r="V79" s="221">
        <v>6</v>
      </c>
      <c r="W79" s="220">
        <v>26</v>
      </c>
      <c r="X79" s="220">
        <v>62</v>
      </c>
      <c r="Y79" s="220"/>
      <c r="Z79" s="221">
        <v>3</v>
      </c>
      <c r="AA79" s="220" t="s">
        <v>517</v>
      </c>
    </row>
    <row r="80" spans="1:29" ht="16.5" customHeight="1" x14ac:dyDescent="0.3">
      <c r="A80" s="49"/>
      <c r="B80" s="130" t="str">
        <f ca="1">'Translation Table'!H1800</f>
        <v>Sweetening: Chemsweet</v>
      </c>
      <c r="C80" s="54" t="str">
        <f ca="1">'Translation Table'!H1800</f>
        <v>Sweetening: Chemsweet</v>
      </c>
      <c r="D80" s="219">
        <v>8</v>
      </c>
      <c r="E80" s="219">
        <v>0</v>
      </c>
      <c r="F80" s="219"/>
      <c r="G80" s="219"/>
      <c r="H80" s="219">
        <v>0</v>
      </c>
      <c r="I80" s="219"/>
      <c r="J80" s="219"/>
      <c r="K80" s="219">
        <f t="shared" si="2"/>
        <v>63</v>
      </c>
      <c r="L80" s="219">
        <v>63</v>
      </c>
      <c r="M80" s="219"/>
      <c r="N80" s="219">
        <v>243</v>
      </c>
      <c r="O80" s="219">
        <v>2</v>
      </c>
      <c r="P80" s="219"/>
      <c r="Q80" s="219"/>
      <c r="R80" s="219"/>
      <c r="S80" s="219"/>
      <c r="T80" s="219"/>
      <c r="U80" s="219"/>
      <c r="V80" s="219">
        <v>6</v>
      </c>
      <c r="W80" s="219">
        <v>2</v>
      </c>
      <c r="X80" s="219">
        <v>0</v>
      </c>
      <c r="Y80" s="219"/>
      <c r="Z80" s="219">
        <v>3</v>
      </c>
      <c r="AA80" s="220" t="s">
        <v>517</v>
      </c>
    </row>
    <row r="81" spans="1:28" ht="16.5" customHeight="1" x14ac:dyDescent="0.3">
      <c r="A81" s="49"/>
      <c r="B81" s="54" t="str">
        <f ca="1">'Translation Table'!H1801</f>
        <v>Sweetening: DEA (Diethanolamine)</v>
      </c>
      <c r="C81" s="54" t="str">
        <f ca="1">'Translation Table'!H1801</f>
        <v>Sweetening: DEA (Diethanolamine)</v>
      </c>
      <c r="D81" s="219">
        <v>2</v>
      </c>
      <c r="E81" s="219">
        <v>3</v>
      </c>
      <c r="F81" s="219"/>
      <c r="G81" s="219"/>
      <c r="H81" s="219">
        <v>0</v>
      </c>
      <c r="I81" s="219"/>
      <c r="J81" s="219"/>
      <c r="K81" s="219">
        <f t="shared" si="2"/>
        <v>60</v>
      </c>
      <c r="L81" s="219">
        <v>60</v>
      </c>
      <c r="M81" s="219"/>
      <c r="N81" s="219">
        <v>702</v>
      </c>
      <c r="O81" s="219">
        <v>2</v>
      </c>
      <c r="P81" s="219"/>
      <c r="Q81" s="219"/>
      <c r="R81" s="219"/>
      <c r="S81" s="219"/>
      <c r="T81" s="219"/>
      <c r="U81" s="219"/>
      <c r="V81" s="219">
        <v>13</v>
      </c>
      <c r="W81" s="219">
        <v>1</v>
      </c>
      <c r="X81" s="219">
        <v>3</v>
      </c>
      <c r="Y81" s="219"/>
      <c r="Z81" s="219">
        <v>3</v>
      </c>
      <c r="AA81" s="220" t="s">
        <v>517</v>
      </c>
    </row>
    <row r="82" spans="1:28" ht="16.5" customHeight="1" x14ac:dyDescent="0.3">
      <c r="A82" s="49"/>
      <c r="B82" s="130" t="str">
        <f ca="1">'Translation Table'!H1802</f>
        <v>Sweetening: DGA (Diglycolamine)</v>
      </c>
      <c r="C82" s="54" t="str">
        <f ca="1">'Translation Table'!H1802</f>
        <v>Sweetening: DGA (Diglycolamine)</v>
      </c>
      <c r="D82" s="219">
        <v>2</v>
      </c>
      <c r="E82" s="219">
        <v>3</v>
      </c>
      <c r="F82" s="219"/>
      <c r="G82" s="219"/>
      <c r="H82" s="219">
        <v>0</v>
      </c>
      <c r="I82" s="219"/>
      <c r="J82" s="219"/>
      <c r="K82" s="219">
        <f t="shared" si="2"/>
        <v>60</v>
      </c>
      <c r="L82" s="219">
        <v>60</v>
      </c>
      <c r="M82" s="219"/>
      <c r="N82" s="219">
        <v>702</v>
      </c>
      <c r="O82" s="219">
        <v>2</v>
      </c>
      <c r="P82" s="219"/>
      <c r="Q82" s="219"/>
      <c r="R82" s="219"/>
      <c r="S82" s="219"/>
      <c r="T82" s="219"/>
      <c r="U82" s="219"/>
      <c r="V82" s="219">
        <v>13</v>
      </c>
      <c r="W82" s="219">
        <v>1</v>
      </c>
      <c r="X82" s="219">
        <v>3</v>
      </c>
      <c r="Y82" s="219"/>
      <c r="Z82" s="219">
        <v>3</v>
      </c>
      <c r="AA82" s="220" t="s">
        <v>517</v>
      </c>
    </row>
    <row r="83" spans="1:28" ht="16.5" customHeight="1" x14ac:dyDescent="0.3">
      <c r="A83" s="49"/>
      <c r="B83" s="54" t="str">
        <f ca="1">'Translation Table'!H1803</f>
        <v>Sweetening: Generic</v>
      </c>
      <c r="C83" s="54" t="str">
        <f ca="1">'Translation Table'!H1803</f>
        <v>Sweetening: Generic</v>
      </c>
      <c r="D83" s="219">
        <v>2</v>
      </c>
      <c r="E83" s="219">
        <v>3</v>
      </c>
      <c r="F83" s="219"/>
      <c r="G83" s="219"/>
      <c r="H83" s="219">
        <v>0</v>
      </c>
      <c r="I83" s="219"/>
      <c r="J83" s="219"/>
      <c r="K83" s="219">
        <f t="shared" si="2"/>
        <v>60</v>
      </c>
      <c r="L83" s="219">
        <v>60</v>
      </c>
      <c r="M83" s="219"/>
      <c r="N83" s="219">
        <v>702</v>
      </c>
      <c r="O83" s="219">
        <v>2</v>
      </c>
      <c r="P83" s="219"/>
      <c r="Q83" s="219"/>
      <c r="R83" s="219"/>
      <c r="S83" s="219"/>
      <c r="T83" s="219"/>
      <c r="U83" s="219"/>
      <c r="V83" s="219">
        <v>13</v>
      </c>
      <c r="W83" s="219">
        <v>1</v>
      </c>
      <c r="X83" s="219">
        <v>3</v>
      </c>
      <c r="Y83" s="219"/>
      <c r="Z83" s="219">
        <v>3</v>
      </c>
      <c r="AA83" s="194" t="s">
        <v>517</v>
      </c>
    </row>
    <row r="84" spans="1:28" ht="16.5" customHeight="1" x14ac:dyDescent="0.3">
      <c r="A84" s="49"/>
      <c r="B84" s="130" t="str">
        <f ca="1">'Translation Table'!H1804</f>
        <v>Sweetening: Iron Sponge</v>
      </c>
      <c r="C84" s="54" t="str">
        <f ca="1">'Translation Table'!H1804</f>
        <v>Sweetening: Iron Sponge</v>
      </c>
      <c r="D84" s="219">
        <v>1</v>
      </c>
      <c r="E84" s="219">
        <v>0</v>
      </c>
      <c r="F84" s="219"/>
      <c r="G84" s="219"/>
      <c r="H84" s="219">
        <v>0</v>
      </c>
      <c r="I84" s="219"/>
      <c r="J84" s="219"/>
      <c r="K84" s="219">
        <f t="shared" si="2"/>
        <v>31</v>
      </c>
      <c r="L84" s="219">
        <v>31</v>
      </c>
      <c r="M84" s="219"/>
      <c r="N84" s="219">
        <v>134</v>
      </c>
      <c r="O84" s="219">
        <v>2</v>
      </c>
      <c r="P84" s="219"/>
      <c r="Q84" s="219"/>
      <c r="R84" s="219"/>
      <c r="S84" s="219"/>
      <c r="T84" s="219"/>
      <c r="U84" s="219"/>
      <c r="V84" s="219">
        <v>2</v>
      </c>
      <c r="W84" s="219">
        <v>7</v>
      </c>
      <c r="X84" s="219">
        <v>12</v>
      </c>
      <c r="Y84" s="219"/>
      <c r="Z84" s="219">
        <v>3</v>
      </c>
      <c r="AA84" s="220" t="s">
        <v>517</v>
      </c>
    </row>
    <row r="85" spans="1:28" ht="16.5" customHeight="1" x14ac:dyDescent="0.3">
      <c r="A85" s="49"/>
      <c r="B85" s="54" t="str">
        <f ca="1">'Translation Table'!H1805</f>
        <v>Sweetening: LoCat</v>
      </c>
      <c r="C85" s="54" t="str">
        <f ca="1">'Translation Table'!H1805</f>
        <v>Sweetening: LoCat</v>
      </c>
      <c r="D85" s="219">
        <v>1</v>
      </c>
      <c r="E85" s="219">
        <v>0</v>
      </c>
      <c r="F85" s="219"/>
      <c r="G85" s="219"/>
      <c r="H85" s="221">
        <v>0</v>
      </c>
      <c r="I85" s="221"/>
      <c r="J85" s="221"/>
      <c r="K85" s="219">
        <f t="shared" si="2"/>
        <v>24</v>
      </c>
      <c r="L85" s="219">
        <v>24</v>
      </c>
      <c r="M85" s="219"/>
      <c r="N85" s="219">
        <v>100</v>
      </c>
      <c r="O85" s="219">
        <v>2</v>
      </c>
      <c r="P85" s="221"/>
      <c r="Q85" s="221"/>
      <c r="R85" s="221"/>
      <c r="S85" s="221"/>
      <c r="T85" s="221"/>
      <c r="U85" s="221"/>
      <c r="V85" s="221">
        <v>2</v>
      </c>
      <c r="W85" s="220">
        <v>7</v>
      </c>
      <c r="X85" s="220">
        <v>14</v>
      </c>
      <c r="Y85" s="220"/>
      <c r="Z85" s="221">
        <v>3</v>
      </c>
      <c r="AA85" s="220" t="s">
        <v>517</v>
      </c>
    </row>
    <row r="86" spans="1:28" ht="16.5" customHeight="1" x14ac:dyDescent="0.3">
      <c r="A86" s="49"/>
      <c r="B86" s="130" t="str">
        <f ca="1">'Translation Table'!H1806</f>
        <v>Sweetening: MDEA (Monodiethanolamine)</v>
      </c>
      <c r="C86" s="54" t="str">
        <f ca="1">'Translation Table'!H1806</f>
        <v>Sweetening: MDEA (Monodiethanolamine)</v>
      </c>
      <c r="D86" s="219">
        <v>2</v>
      </c>
      <c r="E86" s="221">
        <v>3</v>
      </c>
      <c r="F86" s="221"/>
      <c r="G86" s="221"/>
      <c r="H86" s="221">
        <v>0</v>
      </c>
      <c r="I86" s="221"/>
      <c r="J86" s="221"/>
      <c r="K86" s="219">
        <f t="shared" si="2"/>
        <v>60</v>
      </c>
      <c r="L86" s="219">
        <v>60</v>
      </c>
      <c r="M86" s="219"/>
      <c r="N86" s="219">
        <v>702</v>
      </c>
      <c r="O86" s="219">
        <v>2</v>
      </c>
      <c r="P86" s="221"/>
      <c r="Q86" s="221"/>
      <c r="R86" s="221"/>
      <c r="S86" s="221"/>
      <c r="T86" s="221"/>
      <c r="U86" s="221"/>
      <c r="V86" s="221">
        <v>13</v>
      </c>
      <c r="W86" s="220">
        <v>1</v>
      </c>
      <c r="X86" s="220">
        <v>3</v>
      </c>
      <c r="Y86" s="220"/>
      <c r="Z86" s="221">
        <v>3</v>
      </c>
      <c r="AA86" s="220" t="s">
        <v>517</v>
      </c>
    </row>
    <row r="87" spans="1:28" ht="16.5" customHeight="1" x14ac:dyDescent="0.3">
      <c r="A87" s="49"/>
      <c r="B87" s="54" t="str">
        <f ca="1">'Translation Table'!H1807</f>
        <v>Sweetening: MEA (Monoethanolamine)</v>
      </c>
      <c r="C87" s="54" t="str">
        <f ca="1">'Translation Table'!H1807</f>
        <v>Sweetening: MEA (Monoethanolamine)</v>
      </c>
      <c r="D87" s="219">
        <v>2</v>
      </c>
      <c r="E87" s="221">
        <v>3</v>
      </c>
      <c r="F87" s="221"/>
      <c r="G87" s="221"/>
      <c r="H87" s="221">
        <v>0</v>
      </c>
      <c r="I87" s="221"/>
      <c r="J87" s="221"/>
      <c r="K87" s="219">
        <f t="shared" si="2"/>
        <v>60</v>
      </c>
      <c r="L87" s="219">
        <v>60</v>
      </c>
      <c r="M87" s="219"/>
      <c r="N87" s="219">
        <v>702</v>
      </c>
      <c r="O87" s="219">
        <v>2</v>
      </c>
      <c r="P87" s="221"/>
      <c r="Q87" s="221"/>
      <c r="R87" s="221"/>
      <c r="S87" s="221"/>
      <c r="T87" s="221"/>
      <c r="U87" s="221"/>
      <c r="V87" s="221">
        <v>13</v>
      </c>
      <c r="W87" s="220">
        <v>1</v>
      </c>
      <c r="X87" s="220">
        <v>3</v>
      </c>
      <c r="Y87" s="220"/>
      <c r="Z87" s="221">
        <v>3</v>
      </c>
      <c r="AA87" s="220" t="s">
        <v>517</v>
      </c>
    </row>
    <row r="88" spans="1:28" ht="16.5" customHeight="1" x14ac:dyDescent="0.3">
      <c r="A88" s="49"/>
      <c r="B88" s="130" t="str">
        <f ca="1">'Translation Table'!H1808</f>
        <v>Sweetening: Selexol</v>
      </c>
      <c r="C88" s="54" t="str">
        <f ca="1">'Translation Table'!H1808</f>
        <v>Sweetening: Selexol</v>
      </c>
      <c r="D88" s="219">
        <v>4</v>
      </c>
      <c r="E88" s="221">
        <v>0</v>
      </c>
      <c r="F88" s="221"/>
      <c r="G88" s="221"/>
      <c r="H88" s="221">
        <v>0</v>
      </c>
      <c r="I88" s="221"/>
      <c r="J88" s="221"/>
      <c r="K88" s="219">
        <f t="shared" si="2"/>
        <v>104</v>
      </c>
      <c r="L88" s="219">
        <v>104</v>
      </c>
      <c r="M88" s="219"/>
      <c r="N88" s="219">
        <v>248</v>
      </c>
      <c r="O88" s="219">
        <v>2</v>
      </c>
      <c r="P88" s="221"/>
      <c r="Q88" s="221"/>
      <c r="R88" s="221"/>
      <c r="S88" s="221"/>
      <c r="T88" s="221"/>
      <c r="U88" s="221"/>
      <c r="V88" s="221">
        <v>6</v>
      </c>
      <c r="W88" s="220">
        <v>26</v>
      </c>
      <c r="X88" s="220">
        <v>62</v>
      </c>
      <c r="Y88" s="220"/>
      <c r="Z88" s="221">
        <v>3</v>
      </c>
      <c r="AA88" s="220" t="s">
        <v>517</v>
      </c>
    </row>
    <row r="89" spans="1:28" ht="16.5" customHeight="1" x14ac:dyDescent="0.3">
      <c r="A89" s="49"/>
      <c r="B89" s="54" t="str">
        <f ca="1">'Translation Table'!H1809</f>
        <v>Sweetening: Sulfacheck</v>
      </c>
      <c r="C89" s="54" t="str">
        <f ca="1">'Translation Table'!H1809</f>
        <v>Sweetening: Sulfacheck</v>
      </c>
      <c r="D89" s="219">
        <v>2</v>
      </c>
      <c r="E89" s="221">
        <v>3</v>
      </c>
      <c r="F89" s="221"/>
      <c r="G89" s="221"/>
      <c r="H89" s="221">
        <v>0</v>
      </c>
      <c r="I89" s="221"/>
      <c r="J89" s="221"/>
      <c r="K89" s="219">
        <f t="shared" si="2"/>
        <v>60</v>
      </c>
      <c r="L89" s="219">
        <v>60</v>
      </c>
      <c r="M89" s="219"/>
      <c r="N89" s="219">
        <v>702</v>
      </c>
      <c r="O89" s="219">
        <v>2</v>
      </c>
      <c r="P89" s="221"/>
      <c r="Q89" s="221"/>
      <c r="R89" s="221"/>
      <c r="S89" s="221"/>
      <c r="T89" s="221"/>
      <c r="U89" s="221"/>
      <c r="V89" s="221">
        <v>13</v>
      </c>
      <c r="W89" s="220">
        <v>1</v>
      </c>
      <c r="X89" s="220">
        <v>3</v>
      </c>
      <c r="Y89" s="220"/>
      <c r="Z89" s="221">
        <v>3</v>
      </c>
      <c r="AA89" s="220" t="s">
        <v>517</v>
      </c>
    </row>
    <row r="90" spans="1:28" ht="16.5" customHeight="1" x14ac:dyDescent="0.3">
      <c r="A90" s="49"/>
      <c r="B90" s="130" t="str">
        <f ca="1">'Translation Table'!H1810</f>
        <v>Sweetening: Sulfinol</v>
      </c>
      <c r="C90" s="54" t="str">
        <f ca="1">'Translation Table'!H1810</f>
        <v>Sweetening: Sulfinol</v>
      </c>
      <c r="D90" s="219">
        <v>2</v>
      </c>
      <c r="E90" s="221">
        <v>3</v>
      </c>
      <c r="F90" s="221"/>
      <c r="G90" s="221"/>
      <c r="H90" s="221">
        <v>0</v>
      </c>
      <c r="I90" s="221"/>
      <c r="J90" s="221"/>
      <c r="K90" s="219">
        <f t="shared" si="2"/>
        <v>60</v>
      </c>
      <c r="L90" s="219">
        <v>60</v>
      </c>
      <c r="M90" s="219"/>
      <c r="N90" s="219">
        <v>702</v>
      </c>
      <c r="O90" s="219">
        <v>2</v>
      </c>
      <c r="P90" s="221"/>
      <c r="Q90" s="221"/>
      <c r="R90" s="221"/>
      <c r="S90" s="221"/>
      <c r="T90" s="221"/>
      <c r="U90" s="221"/>
      <c r="V90" s="221">
        <v>12</v>
      </c>
      <c r="W90" s="220">
        <v>1</v>
      </c>
      <c r="X90" s="220">
        <v>3</v>
      </c>
      <c r="Y90" s="220"/>
      <c r="Z90" s="221">
        <v>3</v>
      </c>
      <c r="AA90" s="220" t="s">
        <v>517</v>
      </c>
    </row>
    <row r="91" spans="1:28" ht="16.5" customHeight="1" x14ac:dyDescent="0.3">
      <c r="A91" s="49"/>
      <c r="B91" s="54" t="str">
        <f ca="1">'Translation Table'!H1811</f>
        <v>Vapor Recovery Unit: Offshore</v>
      </c>
      <c r="C91" s="54" t="str">
        <f ca="1">'Translation Table'!H1811</f>
        <v>Vapor Recovery Unit: Offshore</v>
      </c>
      <c r="D91" s="219">
        <v>1</v>
      </c>
      <c r="E91" s="221">
        <v>8</v>
      </c>
      <c r="F91" s="221"/>
      <c r="G91" s="221"/>
      <c r="H91" s="221">
        <v>0</v>
      </c>
      <c r="I91" s="221"/>
      <c r="J91" s="221"/>
      <c r="K91" s="219">
        <f t="shared" si="2"/>
        <v>41</v>
      </c>
      <c r="L91" s="219">
        <v>41</v>
      </c>
      <c r="M91" s="219"/>
      <c r="N91" s="219">
        <v>162</v>
      </c>
      <c r="O91" s="219">
        <v>2</v>
      </c>
      <c r="P91" s="221"/>
      <c r="Q91" s="221"/>
      <c r="R91" s="221"/>
      <c r="S91" s="221"/>
      <c r="T91" s="221"/>
      <c r="U91" s="221"/>
      <c r="V91" s="221">
        <v>1</v>
      </c>
      <c r="W91" s="220">
        <v>0</v>
      </c>
      <c r="X91" s="220">
        <v>0</v>
      </c>
      <c r="Y91" s="220"/>
      <c r="Z91" s="221">
        <v>1</v>
      </c>
      <c r="AA91" s="220" t="s">
        <v>2081</v>
      </c>
    </row>
    <row r="92" spans="1:28" ht="16.5" customHeight="1" x14ac:dyDescent="0.3">
      <c r="A92" s="49"/>
      <c r="B92" s="130" t="str">
        <f ca="1">'Translation Table'!H1812</f>
        <v>Vapor Recovery Unit: Onshore</v>
      </c>
      <c r="C92" s="54" t="str">
        <f ca="1">'Translation Table'!H1812</f>
        <v>Vapor Recovery Unit: Onshore</v>
      </c>
      <c r="D92" s="219">
        <v>1</v>
      </c>
      <c r="E92" s="221">
        <v>3</v>
      </c>
      <c r="F92" s="221"/>
      <c r="G92" s="221"/>
      <c r="H92" s="221">
        <v>0</v>
      </c>
      <c r="I92" s="221"/>
      <c r="J92" s="221"/>
      <c r="K92" s="219">
        <f t="shared" si="2"/>
        <v>10</v>
      </c>
      <c r="L92" s="219">
        <v>10</v>
      </c>
      <c r="M92" s="219"/>
      <c r="N92" s="219">
        <v>78</v>
      </c>
      <c r="O92" s="219">
        <v>2</v>
      </c>
      <c r="P92" s="221"/>
      <c r="Q92" s="221"/>
      <c r="R92" s="221"/>
      <c r="S92" s="221"/>
      <c r="T92" s="221"/>
      <c r="U92" s="221"/>
      <c r="V92" s="221">
        <v>1</v>
      </c>
      <c r="W92" s="220">
        <v>0</v>
      </c>
      <c r="X92" s="220">
        <v>0</v>
      </c>
      <c r="Y92" s="220"/>
      <c r="Z92" s="221">
        <v>1</v>
      </c>
      <c r="AA92" s="220" t="s">
        <v>2081</v>
      </c>
    </row>
    <row r="93" spans="1:28" ht="16.5" customHeight="1" x14ac:dyDescent="0.3">
      <c r="A93" s="49"/>
      <c r="B93" s="54" t="str">
        <f ca="1">'Translation Table'!H1813</f>
        <v>Well: Offshore</v>
      </c>
      <c r="C93" s="54" t="str">
        <f ca="1">'Translation Table'!H1813</f>
        <v>Well: Offshore</v>
      </c>
      <c r="D93" s="219">
        <v>0</v>
      </c>
      <c r="E93" s="221">
        <v>3</v>
      </c>
      <c r="F93" s="221"/>
      <c r="G93" s="221"/>
      <c r="H93" s="221">
        <v>0</v>
      </c>
      <c r="I93" s="221"/>
      <c r="J93" s="221"/>
      <c r="K93" s="219">
        <f t="shared" si="2"/>
        <v>16</v>
      </c>
      <c r="L93" s="219">
        <v>16</v>
      </c>
      <c r="M93" s="219"/>
      <c r="N93" s="219">
        <v>60</v>
      </c>
      <c r="O93" s="219">
        <v>2</v>
      </c>
      <c r="P93" s="221"/>
      <c r="Q93" s="221"/>
      <c r="R93" s="221"/>
      <c r="S93" s="221"/>
      <c r="T93" s="221"/>
      <c r="U93" s="221"/>
      <c r="V93" s="221">
        <v>1</v>
      </c>
      <c r="W93" s="220">
        <v>0</v>
      </c>
      <c r="X93" s="220">
        <v>0</v>
      </c>
      <c r="Y93" s="220"/>
      <c r="Z93" s="221">
        <v>0</v>
      </c>
      <c r="AA93" s="220" t="s">
        <v>2474</v>
      </c>
    </row>
    <row r="94" spans="1:28" ht="16.5" customHeight="1" x14ac:dyDescent="0.3">
      <c r="A94" s="49" t="str">
        <f ca="1">'Translation Table'!H1718</f>
        <v>Offshore Gas Production</v>
      </c>
      <c r="B94" s="130" t="str">
        <f ca="1">'Translation Table'!H1814</f>
        <v>Blowdown System: Generic (Pit or Vent)</v>
      </c>
      <c r="C94" s="54" t="str">
        <f ca="1">'Translation Table'!H1814</f>
        <v>Blowdown System: Generic (Pit or Vent)</v>
      </c>
      <c r="D94" s="219">
        <v>0</v>
      </c>
      <c r="E94" s="219">
        <v>0</v>
      </c>
      <c r="F94" s="219"/>
      <c r="G94" s="219"/>
      <c r="H94" s="219">
        <v>1</v>
      </c>
      <c r="I94" s="219"/>
      <c r="J94" s="219"/>
      <c r="K94" s="219">
        <f t="shared" si="2"/>
        <v>2</v>
      </c>
      <c r="L94" s="219">
        <v>1</v>
      </c>
      <c r="M94" s="219">
        <v>1</v>
      </c>
      <c r="N94" s="219">
        <v>2</v>
      </c>
      <c r="O94" s="219"/>
      <c r="P94" s="219"/>
      <c r="Q94" s="219"/>
      <c r="R94" s="219"/>
      <c r="S94" s="219"/>
      <c r="T94" s="219"/>
      <c r="U94" s="219"/>
      <c r="V94" s="219">
        <v>1</v>
      </c>
      <c r="W94" s="219"/>
      <c r="X94" s="219"/>
      <c r="Y94" s="219"/>
      <c r="Z94" s="219">
        <v>0</v>
      </c>
      <c r="AA94" s="220" t="s">
        <v>2474</v>
      </c>
      <c r="AB94" s="127"/>
    </row>
    <row r="95" spans="1:28" ht="16.5" customHeight="1" x14ac:dyDescent="0.3">
      <c r="A95" s="49"/>
      <c r="B95" s="54" t="str">
        <f ca="1">'Translation Table'!H1815</f>
        <v>Aerial Cooler: Natural Gas Service</v>
      </c>
      <c r="C95" s="54" t="str">
        <f ca="1">'Translation Table'!H1815</f>
        <v>Aerial Cooler: Natural Gas Service</v>
      </c>
      <c r="D95" s="219">
        <v>0</v>
      </c>
      <c r="E95" s="219">
        <v>0</v>
      </c>
      <c r="F95" s="219"/>
      <c r="G95" s="219"/>
      <c r="H95" s="219">
        <v>0</v>
      </c>
      <c r="I95" s="219"/>
      <c r="J95" s="219"/>
      <c r="K95" s="219">
        <f t="shared" si="2"/>
        <v>4</v>
      </c>
      <c r="L95" s="219">
        <v>4</v>
      </c>
      <c r="M95" s="219"/>
      <c r="N95" s="219">
        <v>428</v>
      </c>
      <c r="O95" s="219"/>
      <c r="P95" s="219"/>
      <c r="Q95" s="219"/>
      <c r="R95" s="219"/>
      <c r="S95" s="219"/>
      <c r="T95" s="219"/>
      <c r="U95" s="219"/>
      <c r="V95" s="219">
        <v>1</v>
      </c>
      <c r="W95" s="219"/>
      <c r="X95" s="219"/>
      <c r="Y95" s="219"/>
      <c r="Z95" s="219">
        <v>0</v>
      </c>
      <c r="AA95" s="220" t="s">
        <v>2474</v>
      </c>
      <c r="AB95" s="690"/>
    </row>
    <row r="96" spans="1:28" ht="16.5" customHeight="1" x14ac:dyDescent="0.3">
      <c r="A96" s="49"/>
      <c r="B96" s="130" t="str">
        <f ca="1">'Translation Table'!H1816</f>
        <v>Aerial Cooler: Hydrocarbon Liquid Service</v>
      </c>
      <c r="C96" s="54" t="str">
        <f ca="1">'Translation Table'!H1816</f>
        <v>Aerial Cooler: Hydrocarbon Liquid Service</v>
      </c>
      <c r="D96" s="219">
        <v>0</v>
      </c>
      <c r="E96" s="219">
        <v>0</v>
      </c>
      <c r="F96" s="219"/>
      <c r="G96" s="219"/>
      <c r="H96" s="219">
        <v>0</v>
      </c>
      <c r="I96" s="219"/>
      <c r="J96" s="219"/>
      <c r="K96" s="219">
        <f t="shared" si="2"/>
        <v>0</v>
      </c>
      <c r="L96" s="219"/>
      <c r="M96" s="219"/>
      <c r="N96" s="219"/>
      <c r="O96" s="219"/>
      <c r="P96" s="219"/>
      <c r="Q96" s="219"/>
      <c r="R96" s="219"/>
      <c r="S96" s="219"/>
      <c r="T96" s="219"/>
      <c r="U96" s="219"/>
      <c r="V96" s="219">
        <v>1</v>
      </c>
      <c r="W96" s="219">
        <v>4</v>
      </c>
      <c r="X96" s="219">
        <v>428</v>
      </c>
      <c r="Y96" s="219"/>
      <c r="Z96" s="219">
        <v>0</v>
      </c>
      <c r="AA96" s="220" t="s">
        <v>2474</v>
      </c>
      <c r="AB96" s="690"/>
    </row>
    <row r="97" spans="1:27" ht="16.5" customHeight="1" x14ac:dyDescent="0.3">
      <c r="A97" s="49"/>
      <c r="B97" s="54" t="str">
        <f ca="1">'Translation Table'!H1817</f>
        <v>Chemical Injection Pump: Pneumatic (Diaphragm Type)</v>
      </c>
      <c r="C97" s="54" t="str">
        <f ca="1">'Translation Table'!H1817</f>
        <v>Chemical Injection Pump: Pneumatic (Diaphragm Type)</v>
      </c>
      <c r="D97" s="219">
        <v>0</v>
      </c>
      <c r="E97" s="219">
        <v>1</v>
      </c>
      <c r="F97" s="219"/>
      <c r="G97" s="219"/>
      <c r="H97" s="219">
        <v>0</v>
      </c>
      <c r="I97" s="219"/>
      <c r="J97" s="219"/>
      <c r="K97" s="219">
        <f t="shared" si="2"/>
        <v>1</v>
      </c>
      <c r="L97" s="219">
        <v>1</v>
      </c>
      <c r="M97" s="219">
        <v>0</v>
      </c>
      <c r="N97" s="219">
        <v>6</v>
      </c>
      <c r="O97" s="219">
        <v>1</v>
      </c>
      <c r="P97" s="219"/>
      <c r="Q97" s="219"/>
      <c r="R97" s="219"/>
      <c r="S97" s="219"/>
      <c r="T97" s="219"/>
      <c r="U97" s="219"/>
      <c r="V97" s="219">
        <v>0</v>
      </c>
      <c r="W97" s="219">
        <v>0</v>
      </c>
      <c r="X97" s="219">
        <v>0</v>
      </c>
      <c r="Y97" s="219"/>
      <c r="Z97" s="219">
        <v>0</v>
      </c>
      <c r="AA97" s="220" t="s">
        <v>269</v>
      </c>
    </row>
    <row r="98" spans="1:27" ht="16.5" customHeight="1" x14ac:dyDescent="0.3">
      <c r="A98" s="49"/>
      <c r="B98" s="130" t="str">
        <f ca="1">'Translation Table'!H1818</f>
        <v>Chemical Injection Pump: Pneumatic (Piston Type)</v>
      </c>
      <c r="C98" s="54" t="str">
        <f ca="1">'Translation Table'!H1818</f>
        <v>Chemical Injection Pump: Pneumatic (Piston Type)</v>
      </c>
      <c r="D98" s="219">
        <v>0</v>
      </c>
      <c r="E98" s="219">
        <v>1</v>
      </c>
      <c r="F98" s="219"/>
      <c r="G98" s="219"/>
      <c r="H98" s="219">
        <v>0</v>
      </c>
      <c r="I98" s="219"/>
      <c r="J98" s="219"/>
      <c r="K98" s="219">
        <f t="shared" si="2"/>
        <v>1</v>
      </c>
      <c r="L98" s="219">
        <v>1</v>
      </c>
      <c r="M98" s="219"/>
      <c r="N98" s="219">
        <v>6</v>
      </c>
      <c r="O98" s="219">
        <v>1</v>
      </c>
      <c r="P98" s="219"/>
      <c r="Q98" s="219"/>
      <c r="R98" s="219"/>
      <c r="S98" s="219"/>
      <c r="T98" s="219"/>
      <c r="U98" s="219"/>
      <c r="V98" s="219">
        <v>0</v>
      </c>
      <c r="W98" s="219">
        <v>0</v>
      </c>
      <c r="X98" s="219">
        <v>0</v>
      </c>
      <c r="Y98" s="219"/>
      <c r="Z98" s="219">
        <v>0</v>
      </c>
      <c r="AA98" s="220" t="s">
        <v>269</v>
      </c>
    </row>
    <row r="99" spans="1:27" ht="16.5" customHeight="1" x14ac:dyDescent="0.3">
      <c r="A99" s="49"/>
      <c r="B99" s="54" t="str">
        <f ca="1">'Translation Table'!H1819</f>
        <v>Chemical Injection Pump: Pneumatic (Unknown Type)</v>
      </c>
      <c r="C99" s="54" t="str">
        <f ca="1">'Translation Table'!H1819</f>
        <v>Chemical Injection Pump: Pneumatic (Unknown Type)</v>
      </c>
      <c r="D99" s="219">
        <v>0</v>
      </c>
      <c r="E99" s="219">
        <v>1</v>
      </c>
      <c r="F99" s="219"/>
      <c r="G99" s="219"/>
      <c r="H99" s="219">
        <v>0</v>
      </c>
      <c r="I99" s="219"/>
      <c r="J99" s="219"/>
      <c r="K99" s="219">
        <f t="shared" si="2"/>
        <v>1</v>
      </c>
      <c r="L99" s="219">
        <v>1</v>
      </c>
      <c r="M99" s="219"/>
      <c r="N99" s="219">
        <v>6</v>
      </c>
      <c r="O99" s="219">
        <v>1</v>
      </c>
      <c r="P99" s="219"/>
      <c r="Q99" s="219"/>
      <c r="R99" s="219"/>
      <c r="S99" s="219"/>
      <c r="T99" s="219"/>
      <c r="U99" s="219"/>
      <c r="V99" s="219">
        <v>0</v>
      </c>
      <c r="W99" s="219">
        <v>0</v>
      </c>
      <c r="X99" s="219">
        <v>0</v>
      </c>
      <c r="Y99" s="219"/>
      <c r="Z99" s="219">
        <v>0</v>
      </c>
      <c r="AA99" s="220" t="s">
        <v>269</v>
      </c>
    </row>
    <row r="100" spans="1:27" ht="16.5" customHeight="1" x14ac:dyDescent="0.3">
      <c r="A100" s="49"/>
      <c r="B100" s="130" t="str">
        <f ca="1">'Translation Table'!H1820</f>
        <v>Compressor: Centrifugal: (Stages: 1) (Seals: Wet) (Driver: Electric Motor)</v>
      </c>
      <c r="C100" s="54" t="str">
        <f ca="1">'Translation Table'!H1820</f>
        <v>Compressor: Centrifugal: (Stages: 1) (Seals: Wet) (Driver: Electric Motor)</v>
      </c>
      <c r="D100" s="219">
        <v>1</v>
      </c>
      <c r="E100" s="219">
        <v>3</v>
      </c>
      <c r="F100" s="219"/>
      <c r="G100" s="219"/>
      <c r="H100" s="219">
        <v>0</v>
      </c>
      <c r="I100" s="219"/>
      <c r="J100" s="219"/>
      <c r="K100" s="219">
        <f t="shared" si="2"/>
        <v>48.75</v>
      </c>
      <c r="L100" s="219">
        <v>42.5</v>
      </c>
      <c r="M100" s="219">
        <v>6.25</v>
      </c>
      <c r="N100" s="219">
        <v>1415.25</v>
      </c>
      <c r="O100" s="219">
        <v>1</v>
      </c>
      <c r="P100" s="219"/>
      <c r="Q100" s="219">
        <v>2</v>
      </c>
      <c r="R100" s="219"/>
      <c r="S100" s="219"/>
      <c r="T100" s="219">
        <v>1</v>
      </c>
      <c r="U100" s="219"/>
      <c r="V100" s="219">
        <v>1</v>
      </c>
      <c r="W100" s="219">
        <v>3</v>
      </c>
      <c r="X100" s="219">
        <v>8</v>
      </c>
      <c r="Y100" s="219"/>
      <c r="Z100" s="219">
        <v>1</v>
      </c>
      <c r="AA100" s="220" t="s">
        <v>2474</v>
      </c>
    </row>
    <row r="101" spans="1:27" ht="16.5" customHeight="1" x14ac:dyDescent="0.3">
      <c r="A101" s="49"/>
      <c r="B101" s="54" t="str">
        <f ca="1">'Translation Table'!H1821</f>
        <v>Compressor: Centrifugal: (Stages: 1) (Seals: Wet) (Driver: Gas Turbine)</v>
      </c>
      <c r="C101" s="54" t="str">
        <f ca="1">'Translation Table'!H1821</f>
        <v>Compressor: Centrifugal: (Stages: 1) (Seals: Wet) (Driver: Gas Turbine)</v>
      </c>
      <c r="D101" s="219">
        <v>2.29</v>
      </c>
      <c r="E101" s="219">
        <v>3.43</v>
      </c>
      <c r="F101" s="219"/>
      <c r="G101" s="219"/>
      <c r="H101" s="219">
        <v>0</v>
      </c>
      <c r="I101" s="219"/>
      <c r="J101" s="219"/>
      <c r="K101" s="219">
        <f t="shared" si="2"/>
        <v>68.61</v>
      </c>
      <c r="L101" s="219">
        <v>62.36</v>
      </c>
      <c r="M101" s="219">
        <v>6.25</v>
      </c>
      <c r="N101" s="219">
        <v>1510.96</v>
      </c>
      <c r="O101" s="219">
        <v>5</v>
      </c>
      <c r="P101" s="219"/>
      <c r="Q101" s="219">
        <v>2</v>
      </c>
      <c r="R101" s="219"/>
      <c r="S101" s="219"/>
      <c r="T101" s="219">
        <v>1</v>
      </c>
      <c r="U101" s="219"/>
      <c r="V101" s="219">
        <v>5</v>
      </c>
      <c r="W101" s="219">
        <v>5</v>
      </c>
      <c r="X101" s="219">
        <v>11</v>
      </c>
      <c r="Y101" s="219"/>
      <c r="Z101" s="219">
        <v>2</v>
      </c>
      <c r="AA101" s="220" t="s">
        <v>2474</v>
      </c>
    </row>
    <row r="102" spans="1:27" ht="16.5" customHeight="1" x14ac:dyDescent="0.3">
      <c r="A102" s="49"/>
      <c r="B102" s="130" t="str">
        <f ca="1">'Translation Table'!H1822</f>
        <v>Compressor: Centrifugal: (Stages: 2) (Seals: Wet) (Driver: Electric Motor)</v>
      </c>
      <c r="C102" s="54" t="str">
        <f ca="1">'Translation Table'!H1822</f>
        <v>Compressor: Centrifugal: (Stages: 2) (Seals: Wet) (Driver: Electric Motor)</v>
      </c>
      <c r="D102" s="219">
        <v>2</v>
      </c>
      <c r="E102" s="219">
        <v>4.5</v>
      </c>
      <c r="F102" s="219"/>
      <c r="G102" s="219"/>
      <c r="H102" s="219">
        <v>0</v>
      </c>
      <c r="I102" s="219"/>
      <c r="J102" s="219"/>
      <c r="K102" s="219">
        <f t="shared" si="2"/>
        <v>76.5</v>
      </c>
      <c r="L102" s="219">
        <v>69.25</v>
      </c>
      <c r="M102" s="219">
        <v>7.25</v>
      </c>
      <c r="N102" s="219">
        <v>2736.75</v>
      </c>
      <c r="O102" s="219">
        <v>1</v>
      </c>
      <c r="P102" s="219"/>
      <c r="Q102" s="219">
        <v>4</v>
      </c>
      <c r="R102" s="219"/>
      <c r="S102" s="219"/>
      <c r="T102" s="219">
        <v>1</v>
      </c>
      <c r="U102" s="219"/>
      <c r="V102" s="219">
        <v>5</v>
      </c>
      <c r="W102" s="219">
        <v>6</v>
      </c>
      <c r="X102" s="219">
        <v>16</v>
      </c>
      <c r="Y102" s="219"/>
      <c r="Z102" s="219">
        <v>2</v>
      </c>
      <c r="AA102" s="220" t="s">
        <v>2474</v>
      </c>
    </row>
    <row r="103" spans="1:27" ht="16.5" customHeight="1" x14ac:dyDescent="0.3">
      <c r="A103" s="49"/>
      <c r="B103" s="54" t="str">
        <f ca="1">'Translation Table'!H1823</f>
        <v>Compressor: Centrifugal: (Stages: 2) (Seals: Wet) (Driver: Gas Turbine)</v>
      </c>
      <c r="C103" s="54" t="str">
        <f ca="1">'Translation Table'!H1823</f>
        <v>Compressor: Centrifugal: (Stages: 2) (Seals: Wet) (Driver: Gas Turbine)</v>
      </c>
      <c r="D103" s="219">
        <v>5</v>
      </c>
      <c r="E103" s="219">
        <v>4.93</v>
      </c>
      <c r="F103" s="219"/>
      <c r="G103" s="219"/>
      <c r="H103" s="219">
        <v>0</v>
      </c>
      <c r="I103" s="219"/>
      <c r="J103" s="219"/>
      <c r="K103" s="219">
        <f t="shared" si="2"/>
        <v>96.46</v>
      </c>
      <c r="L103" s="219">
        <v>89.11</v>
      </c>
      <c r="M103" s="219">
        <v>7.35</v>
      </c>
      <c r="N103" s="219">
        <v>2832.46</v>
      </c>
      <c r="O103" s="219">
        <v>5</v>
      </c>
      <c r="P103" s="219"/>
      <c r="Q103" s="219">
        <v>4</v>
      </c>
      <c r="R103" s="219"/>
      <c r="S103" s="219"/>
      <c r="T103" s="219">
        <v>1</v>
      </c>
      <c r="U103" s="219"/>
      <c r="V103" s="219">
        <v>5</v>
      </c>
      <c r="W103" s="219">
        <v>6</v>
      </c>
      <c r="X103" s="219">
        <v>16</v>
      </c>
      <c r="Y103" s="219"/>
      <c r="Z103" s="219">
        <v>3</v>
      </c>
      <c r="AA103" s="220" t="s">
        <v>2474</v>
      </c>
    </row>
    <row r="104" spans="1:27" ht="16.5" customHeight="1" x14ac:dyDescent="0.3">
      <c r="A104" s="49"/>
      <c r="B104" s="130" t="str">
        <f ca="1">'Translation Table'!H1824</f>
        <v>Compressor: Centrifugal: (Stages: 1) (Seals: Dry) (Driver: Electric Motor)</v>
      </c>
      <c r="C104" s="54" t="str">
        <f ca="1">'Translation Table'!H1824</f>
        <v>Compressor: Centrifugal: (Stages: 1) (Seals: Dry) (Driver: Electric Motor)</v>
      </c>
      <c r="D104" s="219">
        <v>1</v>
      </c>
      <c r="E104" s="219">
        <v>3</v>
      </c>
      <c r="F104" s="219"/>
      <c r="G104" s="219"/>
      <c r="H104" s="219">
        <v>0</v>
      </c>
      <c r="I104" s="219"/>
      <c r="J104" s="219"/>
      <c r="K104" s="219">
        <f t="shared" si="2"/>
        <v>48.75</v>
      </c>
      <c r="L104" s="219">
        <v>42.5</v>
      </c>
      <c r="M104" s="219">
        <v>6.25</v>
      </c>
      <c r="N104" s="219">
        <v>1415.25</v>
      </c>
      <c r="O104" s="219">
        <v>1</v>
      </c>
      <c r="P104" s="219"/>
      <c r="Q104" s="219"/>
      <c r="R104" s="219">
        <v>2</v>
      </c>
      <c r="S104" s="219"/>
      <c r="T104" s="219">
        <v>1</v>
      </c>
      <c r="U104" s="219"/>
      <c r="V104" s="219">
        <v>1</v>
      </c>
      <c r="W104" s="219">
        <v>3</v>
      </c>
      <c r="X104" s="219">
        <v>8</v>
      </c>
      <c r="Y104" s="219"/>
      <c r="Z104" s="219">
        <v>1</v>
      </c>
      <c r="AA104" s="220" t="s">
        <v>2474</v>
      </c>
    </row>
    <row r="105" spans="1:27" ht="16.5" customHeight="1" x14ac:dyDescent="0.3">
      <c r="A105" s="49"/>
      <c r="B105" s="54" t="str">
        <f ca="1">'Translation Table'!H1825</f>
        <v>Compressor: Centrifugal: (Stages: 1) (Seals: Dry) (Driver: Gas Turbine)</v>
      </c>
      <c r="C105" s="54" t="str">
        <f ca="1">'Translation Table'!H1825</f>
        <v>Compressor: Centrifugal: (Stages: 1) (Seals: Dry) (Driver: Gas Turbine)</v>
      </c>
      <c r="D105" s="219">
        <v>2.29</v>
      </c>
      <c r="E105" s="219">
        <v>3.43</v>
      </c>
      <c r="F105" s="219"/>
      <c r="G105" s="219"/>
      <c r="H105" s="219">
        <v>0</v>
      </c>
      <c r="I105" s="219"/>
      <c r="J105" s="219"/>
      <c r="K105" s="219">
        <f t="shared" si="2"/>
        <v>68.61</v>
      </c>
      <c r="L105" s="219">
        <v>62.36</v>
      </c>
      <c r="M105" s="219">
        <v>6.25</v>
      </c>
      <c r="N105" s="219">
        <v>1510.96</v>
      </c>
      <c r="O105" s="219">
        <v>5</v>
      </c>
      <c r="P105" s="219"/>
      <c r="Q105" s="219"/>
      <c r="R105" s="219">
        <v>2</v>
      </c>
      <c r="S105" s="219"/>
      <c r="T105" s="219">
        <v>1</v>
      </c>
      <c r="U105" s="219"/>
      <c r="V105" s="219">
        <v>5</v>
      </c>
      <c r="W105" s="219">
        <v>5</v>
      </c>
      <c r="X105" s="219">
        <v>11</v>
      </c>
      <c r="Y105" s="219"/>
      <c r="Z105" s="219">
        <v>2</v>
      </c>
      <c r="AA105" s="220" t="s">
        <v>2474</v>
      </c>
    </row>
    <row r="106" spans="1:27" ht="16.5" customHeight="1" x14ac:dyDescent="0.3">
      <c r="A106" s="49"/>
      <c r="B106" s="130" t="str">
        <f ca="1">'Translation Table'!H1826</f>
        <v>Compressor: Centrifugal: (Stages: 2) (Seals: Dry) (Driver: Electric Motor)</v>
      </c>
      <c r="C106" s="54" t="str">
        <f ca="1">'Translation Table'!H1826</f>
        <v>Compressor: Centrifugal: (Stages: 2) (Seals: Dry) (Driver: Electric Motor)</v>
      </c>
      <c r="D106" s="219">
        <v>2</v>
      </c>
      <c r="E106" s="219">
        <v>4.5</v>
      </c>
      <c r="F106" s="219"/>
      <c r="G106" s="219"/>
      <c r="H106" s="219">
        <v>0</v>
      </c>
      <c r="I106" s="219"/>
      <c r="J106" s="219"/>
      <c r="K106" s="219">
        <f t="shared" si="2"/>
        <v>76.5</v>
      </c>
      <c r="L106" s="219">
        <v>69.25</v>
      </c>
      <c r="M106" s="219">
        <v>7.25</v>
      </c>
      <c r="N106" s="219">
        <v>2736.75</v>
      </c>
      <c r="O106" s="219">
        <v>1</v>
      </c>
      <c r="P106" s="219"/>
      <c r="Q106" s="219"/>
      <c r="R106" s="219">
        <v>4</v>
      </c>
      <c r="S106" s="219"/>
      <c r="T106" s="219">
        <v>1</v>
      </c>
      <c r="U106" s="219"/>
      <c r="V106" s="219">
        <v>5</v>
      </c>
      <c r="W106" s="219">
        <v>6</v>
      </c>
      <c r="X106" s="219">
        <v>16</v>
      </c>
      <c r="Y106" s="219"/>
      <c r="Z106" s="219">
        <v>2</v>
      </c>
      <c r="AA106" s="220" t="s">
        <v>2474</v>
      </c>
    </row>
    <row r="107" spans="1:27" ht="16.5" customHeight="1" x14ac:dyDescent="0.3">
      <c r="A107" s="49"/>
      <c r="B107" s="54" t="str">
        <f ca="1">'Translation Table'!H1827</f>
        <v>Compressor: Centrifugal: (Stages: 2) (Seals: Dry) (Driver: Gas Turbine)</v>
      </c>
      <c r="C107" s="54" t="str">
        <f ca="1">'Translation Table'!H1827</f>
        <v>Compressor: Centrifugal: (Stages: 2) (Seals: Dry) (Driver: Gas Turbine)</v>
      </c>
      <c r="D107" s="219">
        <v>5</v>
      </c>
      <c r="E107" s="219">
        <v>4.93</v>
      </c>
      <c r="F107" s="219"/>
      <c r="G107" s="219"/>
      <c r="H107" s="219">
        <v>0</v>
      </c>
      <c r="I107" s="219"/>
      <c r="J107" s="219"/>
      <c r="K107" s="219">
        <f t="shared" si="2"/>
        <v>96.46</v>
      </c>
      <c r="L107" s="219">
        <v>89.11</v>
      </c>
      <c r="M107" s="219">
        <v>7.35</v>
      </c>
      <c r="N107" s="219">
        <v>2832.46</v>
      </c>
      <c r="O107" s="219">
        <v>5</v>
      </c>
      <c r="P107" s="219"/>
      <c r="Q107" s="219"/>
      <c r="R107" s="219">
        <v>4</v>
      </c>
      <c r="S107" s="219"/>
      <c r="T107" s="219">
        <v>1</v>
      </c>
      <c r="U107" s="219"/>
      <c r="V107" s="219">
        <v>5</v>
      </c>
      <c r="W107" s="219">
        <v>6</v>
      </c>
      <c r="X107" s="219">
        <v>16</v>
      </c>
      <c r="Y107" s="219"/>
      <c r="Z107" s="219">
        <v>3</v>
      </c>
      <c r="AA107" s="220" t="s">
        <v>2474</v>
      </c>
    </row>
    <row r="108" spans="1:27" ht="16.5" customHeight="1" x14ac:dyDescent="0.3">
      <c r="A108" s="49"/>
      <c r="B108" s="130" t="str">
        <f ca="1">'Translation Table'!H1828</f>
        <v>Compressor: Reciprocating: (Stages: 1) (Driver: Electric Motor)</v>
      </c>
      <c r="C108" s="54" t="str">
        <f ca="1">'Translation Table'!H1828</f>
        <v>Compressor: Reciprocating: (Stages: 1) (Driver: Electric Motor)</v>
      </c>
      <c r="D108" s="219">
        <v>3</v>
      </c>
      <c r="E108" s="219">
        <v>3</v>
      </c>
      <c r="F108" s="219"/>
      <c r="G108" s="219"/>
      <c r="H108" s="219">
        <v>0</v>
      </c>
      <c r="I108" s="219"/>
      <c r="J108" s="219"/>
      <c r="K108" s="219">
        <f t="shared" si="2"/>
        <v>38.17</v>
      </c>
      <c r="L108" s="219">
        <v>33.5</v>
      </c>
      <c r="M108" s="219">
        <v>4.67</v>
      </c>
      <c r="N108" s="219">
        <v>489.83</v>
      </c>
      <c r="O108" s="221">
        <v>1.33</v>
      </c>
      <c r="P108" s="221">
        <v>4</v>
      </c>
      <c r="Q108" s="221"/>
      <c r="R108" s="221"/>
      <c r="S108" s="221">
        <v>1</v>
      </c>
      <c r="T108" s="221">
        <v>1</v>
      </c>
      <c r="U108" s="221">
        <v>0</v>
      </c>
      <c r="V108" s="221">
        <v>3</v>
      </c>
      <c r="W108" s="220">
        <v>4</v>
      </c>
      <c r="X108" s="220">
        <v>20</v>
      </c>
      <c r="Y108" s="220"/>
      <c r="Z108" s="221">
        <v>1</v>
      </c>
      <c r="AA108" s="220" t="s">
        <v>2474</v>
      </c>
    </row>
    <row r="109" spans="1:27" ht="16.5" customHeight="1" x14ac:dyDescent="0.3">
      <c r="A109" s="49"/>
      <c r="B109" s="54" t="str">
        <f ca="1">'Translation Table'!H1829</f>
        <v>Compressor: Reciprocating: (Stages: 1) (Driver: Recip Engine)</v>
      </c>
      <c r="C109" s="54" t="str">
        <f ca="1">'Translation Table'!H1829</f>
        <v>Compressor: Reciprocating: (Stages: 1) (Driver: Recip Engine)</v>
      </c>
      <c r="D109" s="219">
        <v>3.79</v>
      </c>
      <c r="E109" s="219">
        <v>3.43</v>
      </c>
      <c r="F109" s="219"/>
      <c r="G109" s="219"/>
      <c r="H109" s="219">
        <v>0</v>
      </c>
      <c r="I109" s="219"/>
      <c r="J109" s="219"/>
      <c r="K109" s="219">
        <f t="shared" si="2"/>
        <v>50.53</v>
      </c>
      <c r="L109" s="219">
        <v>44.86</v>
      </c>
      <c r="M109" s="219">
        <v>5.67</v>
      </c>
      <c r="N109" s="219">
        <v>592.29999999999995</v>
      </c>
      <c r="O109" s="219">
        <v>2.33</v>
      </c>
      <c r="P109" s="219">
        <v>4</v>
      </c>
      <c r="Q109" s="219"/>
      <c r="R109" s="219"/>
      <c r="S109" s="219">
        <v>1</v>
      </c>
      <c r="T109" s="219">
        <v>1</v>
      </c>
      <c r="U109" s="219">
        <v>0</v>
      </c>
      <c r="V109" s="219">
        <v>3</v>
      </c>
      <c r="W109" s="219">
        <v>4</v>
      </c>
      <c r="X109" s="219">
        <v>20</v>
      </c>
      <c r="Y109" s="219"/>
      <c r="Z109" s="219">
        <v>1</v>
      </c>
      <c r="AA109" s="220" t="s">
        <v>2474</v>
      </c>
    </row>
    <row r="110" spans="1:27" ht="16.5" customHeight="1" x14ac:dyDescent="0.3">
      <c r="A110" s="49"/>
      <c r="B110" s="130" t="str">
        <f ca="1">'Translation Table'!H1830</f>
        <v>Compressor: Reciprocating: (Stages: 2) (Driver: Electric Motor)</v>
      </c>
      <c r="C110" s="54" t="str">
        <f ca="1">'Translation Table'!H1830</f>
        <v>Compressor: Reciprocating: (Stages: 2) (Driver: Electric Motor)</v>
      </c>
      <c r="D110" s="219">
        <v>3</v>
      </c>
      <c r="E110" s="219">
        <v>3.33</v>
      </c>
      <c r="F110" s="219"/>
      <c r="G110" s="219"/>
      <c r="H110" s="219">
        <v>0</v>
      </c>
      <c r="I110" s="219"/>
      <c r="J110" s="219"/>
      <c r="K110" s="219">
        <f t="shared" si="2"/>
        <v>43.83</v>
      </c>
      <c r="L110" s="219">
        <v>38.83</v>
      </c>
      <c r="M110" s="219">
        <v>5</v>
      </c>
      <c r="N110" s="219">
        <v>786.17</v>
      </c>
      <c r="O110" s="219">
        <v>1.67</v>
      </c>
      <c r="P110" s="219">
        <v>4</v>
      </c>
      <c r="Q110" s="219"/>
      <c r="R110" s="219"/>
      <c r="S110" s="219">
        <v>1</v>
      </c>
      <c r="T110" s="219">
        <v>1</v>
      </c>
      <c r="U110" s="219">
        <v>0</v>
      </c>
      <c r="V110" s="219">
        <v>4</v>
      </c>
      <c r="W110" s="219">
        <v>8</v>
      </c>
      <c r="X110" s="219">
        <v>40</v>
      </c>
      <c r="Y110" s="219"/>
      <c r="Z110" s="219">
        <v>2</v>
      </c>
      <c r="AA110" s="220" t="s">
        <v>2474</v>
      </c>
    </row>
    <row r="111" spans="1:27" ht="16.5" customHeight="1" x14ac:dyDescent="0.3">
      <c r="A111" s="49"/>
      <c r="B111" s="54" t="str">
        <f ca="1">'Translation Table'!H1831</f>
        <v>Compressor: Reciprocating: (Stages: 2) (Driver: Recip Engine)</v>
      </c>
      <c r="C111" s="54" t="str">
        <f ca="1">'Translation Table'!H1831</f>
        <v>Compressor: Reciprocating: (Stages: 2) (Driver: Recip Engine)</v>
      </c>
      <c r="D111" s="219">
        <v>3.79</v>
      </c>
      <c r="E111" s="219">
        <v>3.76</v>
      </c>
      <c r="F111" s="219"/>
      <c r="G111" s="219"/>
      <c r="H111" s="219">
        <v>0</v>
      </c>
      <c r="I111" s="219"/>
      <c r="J111" s="219"/>
      <c r="K111" s="219">
        <f t="shared" si="2"/>
        <v>56.19</v>
      </c>
      <c r="L111" s="219">
        <v>50.19</v>
      </c>
      <c r="M111" s="219">
        <v>6</v>
      </c>
      <c r="N111" s="219">
        <v>888.63</v>
      </c>
      <c r="O111" s="219">
        <v>2.67</v>
      </c>
      <c r="P111" s="219">
        <v>4</v>
      </c>
      <c r="Q111" s="219"/>
      <c r="R111" s="219"/>
      <c r="S111" s="219">
        <v>1</v>
      </c>
      <c r="T111" s="219">
        <v>1</v>
      </c>
      <c r="U111" s="219">
        <v>0</v>
      </c>
      <c r="V111" s="219">
        <v>4</v>
      </c>
      <c r="W111" s="219">
        <v>8</v>
      </c>
      <c r="X111" s="219">
        <v>40</v>
      </c>
      <c r="Y111" s="219"/>
      <c r="Z111" s="219">
        <v>2</v>
      </c>
      <c r="AA111" s="220" t="s">
        <v>2474</v>
      </c>
    </row>
    <row r="112" spans="1:27" ht="16.5" customHeight="1" x14ac:dyDescent="0.3">
      <c r="A112" s="49"/>
      <c r="B112" s="130" t="str">
        <f ca="1">'Translation Table'!H1832</f>
        <v>Compressor: Reciprocating: (Stages: 3) (Driver: Electric Motor)</v>
      </c>
      <c r="C112" s="54" t="str">
        <f ca="1">'Translation Table'!H1832</f>
        <v>Compressor: Reciprocating: (Stages: 3) (Driver: Electric Motor)</v>
      </c>
      <c r="D112" s="219">
        <v>4</v>
      </c>
      <c r="E112" s="219">
        <v>4.33</v>
      </c>
      <c r="F112" s="219"/>
      <c r="G112" s="219"/>
      <c r="H112" s="219">
        <v>0</v>
      </c>
      <c r="I112" s="219"/>
      <c r="J112" s="219"/>
      <c r="K112" s="219">
        <f t="shared" si="2"/>
        <v>56.83</v>
      </c>
      <c r="L112" s="219">
        <v>51.5</v>
      </c>
      <c r="M112" s="219">
        <v>5.33</v>
      </c>
      <c r="N112" s="219">
        <v>1138.5</v>
      </c>
      <c r="O112" s="219">
        <v>2</v>
      </c>
      <c r="P112" s="219">
        <v>6</v>
      </c>
      <c r="Q112" s="219"/>
      <c r="R112" s="219"/>
      <c r="S112" s="219">
        <v>1</v>
      </c>
      <c r="T112" s="219">
        <v>1</v>
      </c>
      <c r="U112" s="219">
        <v>0</v>
      </c>
      <c r="V112" s="219">
        <v>5</v>
      </c>
      <c r="W112" s="219">
        <v>12</v>
      </c>
      <c r="X112" s="219">
        <v>60</v>
      </c>
      <c r="Y112" s="219"/>
      <c r="Z112" s="219">
        <v>3</v>
      </c>
      <c r="AA112" s="220" t="s">
        <v>2474</v>
      </c>
    </row>
    <row r="113" spans="1:27" ht="16.5" customHeight="1" x14ac:dyDescent="0.3">
      <c r="A113" s="49"/>
      <c r="B113" s="54" t="str">
        <f ca="1">'Translation Table'!H1833</f>
        <v>Compressor: Reciprocating: (Stages: 3) (Driver: Recip Engine)</v>
      </c>
      <c r="C113" s="54" t="str">
        <f ca="1">'Translation Table'!H1833</f>
        <v>Compressor: Reciprocating: (Stages: 3) (Driver: Recip Engine)</v>
      </c>
      <c r="D113" s="219">
        <v>4.29</v>
      </c>
      <c r="E113" s="219">
        <v>4.76</v>
      </c>
      <c r="F113" s="219"/>
      <c r="G113" s="219"/>
      <c r="H113" s="219">
        <v>0</v>
      </c>
      <c r="I113" s="219"/>
      <c r="J113" s="219"/>
      <c r="K113" s="219">
        <f t="shared" si="2"/>
        <v>69.19</v>
      </c>
      <c r="L113" s="219">
        <v>62.86</v>
      </c>
      <c r="M113" s="219">
        <v>6.33</v>
      </c>
      <c r="N113" s="219">
        <v>1240.96</v>
      </c>
      <c r="O113" s="219">
        <v>3</v>
      </c>
      <c r="P113" s="219">
        <v>6</v>
      </c>
      <c r="Q113" s="219"/>
      <c r="R113" s="219"/>
      <c r="S113" s="219">
        <v>1</v>
      </c>
      <c r="T113" s="219">
        <v>1</v>
      </c>
      <c r="U113" s="219">
        <v>0</v>
      </c>
      <c r="V113" s="219">
        <v>5</v>
      </c>
      <c r="W113" s="219">
        <v>12</v>
      </c>
      <c r="X113" s="219">
        <v>60</v>
      </c>
      <c r="Y113" s="219"/>
      <c r="Z113" s="219">
        <v>3</v>
      </c>
      <c r="AA113" s="220" t="s">
        <v>2474</v>
      </c>
    </row>
    <row r="114" spans="1:27" ht="16.5" customHeight="1" x14ac:dyDescent="0.3">
      <c r="A114" s="49"/>
      <c r="B114" s="130" t="str">
        <f ca="1">'Translation Table'!H1834</f>
        <v>Compressor: Reciprocating: (Stages 4) (Driver: Electric Motor)</v>
      </c>
      <c r="C114" s="54" t="str">
        <f ca="1">'Translation Table'!H1834</f>
        <v>Compressor: Reciprocating: (Stages 4) (Driver: Electric Motor)</v>
      </c>
      <c r="D114" s="219">
        <v>7</v>
      </c>
      <c r="E114" s="219">
        <v>5.33</v>
      </c>
      <c r="F114" s="219"/>
      <c r="G114" s="219"/>
      <c r="H114" s="219">
        <v>0</v>
      </c>
      <c r="I114" s="219"/>
      <c r="J114" s="219"/>
      <c r="K114" s="219">
        <f t="shared" si="2"/>
        <v>69.84</v>
      </c>
      <c r="L114" s="219">
        <v>64.17</v>
      </c>
      <c r="M114" s="219">
        <v>5.67</v>
      </c>
      <c r="N114" s="219">
        <v>1490.83</v>
      </c>
      <c r="O114" s="219">
        <v>2.33</v>
      </c>
      <c r="P114" s="219">
        <v>8</v>
      </c>
      <c r="Q114" s="219"/>
      <c r="R114" s="219"/>
      <c r="S114" s="219">
        <v>1</v>
      </c>
      <c r="T114" s="219">
        <v>1</v>
      </c>
      <c r="U114" s="219">
        <v>0</v>
      </c>
      <c r="V114" s="219">
        <v>6</v>
      </c>
      <c r="W114" s="219">
        <v>16</v>
      </c>
      <c r="X114" s="219">
        <v>80</v>
      </c>
      <c r="Y114" s="219"/>
      <c r="Z114" s="219">
        <v>4</v>
      </c>
      <c r="AA114" s="661" t="s">
        <v>2474</v>
      </c>
    </row>
    <row r="115" spans="1:27" ht="16.5" customHeight="1" x14ac:dyDescent="0.3">
      <c r="A115" s="49"/>
      <c r="B115" s="54" t="str">
        <f ca="1">'Translation Table'!H1835</f>
        <v>Compressor: Reciprocating: (Stages 4) (Driver: Recip Engine)</v>
      </c>
      <c r="C115" s="54" t="str">
        <f ca="1">'Translation Table'!H1835</f>
        <v>Compressor: Reciprocating: (Stages 4) (Driver: Recip Engine)</v>
      </c>
      <c r="D115" s="219">
        <v>7.79</v>
      </c>
      <c r="E115" s="219">
        <v>5.76</v>
      </c>
      <c r="F115" s="219"/>
      <c r="G115" s="219"/>
      <c r="H115" s="219">
        <v>0</v>
      </c>
      <c r="I115" s="219"/>
      <c r="J115" s="219"/>
      <c r="K115" s="219">
        <f t="shared" si="2"/>
        <v>82.19</v>
      </c>
      <c r="L115" s="219">
        <v>75.52</v>
      </c>
      <c r="M115" s="219">
        <v>6.67</v>
      </c>
      <c r="N115" s="219">
        <v>1593.3</v>
      </c>
      <c r="O115" s="219">
        <v>3.33</v>
      </c>
      <c r="P115" s="219">
        <v>8</v>
      </c>
      <c r="Q115" s="219"/>
      <c r="R115" s="219"/>
      <c r="S115" s="219">
        <v>1</v>
      </c>
      <c r="T115" s="219">
        <v>1</v>
      </c>
      <c r="U115" s="219">
        <v>0</v>
      </c>
      <c r="V115" s="219">
        <v>6</v>
      </c>
      <c r="W115" s="219">
        <v>16</v>
      </c>
      <c r="X115" s="219">
        <v>80</v>
      </c>
      <c r="Y115" s="219"/>
      <c r="Z115" s="219">
        <v>4</v>
      </c>
      <c r="AA115" s="661" t="s">
        <v>2474</v>
      </c>
    </row>
    <row r="116" spans="1:27" ht="16.5" customHeight="1" x14ac:dyDescent="0.3">
      <c r="A116" s="49"/>
      <c r="B116" s="130" t="str">
        <f ca="1">'Translation Table'!H1836</f>
        <v>Compressor: Screw (Driver: Electric Motor)</v>
      </c>
      <c r="C116" s="54" t="str">
        <f ca="1">'Translation Table'!H1836</f>
        <v>Compressor: Screw (Driver: Electric Motor)</v>
      </c>
      <c r="D116" s="219">
        <v>2</v>
      </c>
      <c r="E116" s="219">
        <v>0</v>
      </c>
      <c r="F116" s="219"/>
      <c r="G116" s="219"/>
      <c r="H116" s="219">
        <v>0</v>
      </c>
      <c r="I116" s="219"/>
      <c r="J116" s="219"/>
      <c r="K116" s="219">
        <f t="shared" si="2"/>
        <v>33.5</v>
      </c>
      <c r="L116" s="219">
        <v>33.5</v>
      </c>
      <c r="M116" s="219"/>
      <c r="N116" s="219">
        <v>205.5</v>
      </c>
      <c r="O116" s="219">
        <v>1.5</v>
      </c>
      <c r="P116" s="219">
        <v>0</v>
      </c>
      <c r="Q116" s="219"/>
      <c r="R116" s="219"/>
      <c r="S116" s="219"/>
      <c r="T116" s="219"/>
      <c r="U116" s="219"/>
      <c r="V116" s="219">
        <v>3</v>
      </c>
      <c r="W116" s="219">
        <v>3</v>
      </c>
      <c r="X116" s="219">
        <v>6</v>
      </c>
      <c r="Y116" s="219"/>
      <c r="Z116" s="219">
        <v>1</v>
      </c>
      <c r="AA116" s="220" t="s">
        <v>2474</v>
      </c>
    </row>
    <row r="117" spans="1:27" ht="16.5" customHeight="1" x14ac:dyDescent="0.3">
      <c r="A117" s="49"/>
      <c r="B117" s="54" t="str">
        <f ca="1">'Translation Table'!H1837</f>
        <v>Compressor: Screw (Driver: Recip Engine)</v>
      </c>
      <c r="C117" s="54" t="str">
        <f ca="1">'Translation Table'!H1837</f>
        <v>Compressor: Screw (Driver: Recip Engine)</v>
      </c>
      <c r="D117" s="219">
        <v>2</v>
      </c>
      <c r="E117" s="219">
        <v>0</v>
      </c>
      <c r="F117" s="219"/>
      <c r="G117" s="219"/>
      <c r="H117" s="219">
        <v>0</v>
      </c>
      <c r="I117" s="219"/>
      <c r="J117" s="219"/>
      <c r="K117" s="219">
        <f t="shared" si="2"/>
        <v>36</v>
      </c>
      <c r="L117" s="219">
        <v>36</v>
      </c>
      <c r="M117" s="219"/>
      <c r="N117" s="219">
        <v>228</v>
      </c>
      <c r="O117" s="219">
        <v>2</v>
      </c>
      <c r="P117" s="219">
        <v>0</v>
      </c>
      <c r="Q117" s="219"/>
      <c r="R117" s="219"/>
      <c r="S117" s="219"/>
      <c r="T117" s="219"/>
      <c r="U117" s="219"/>
      <c r="V117" s="219">
        <v>3</v>
      </c>
      <c r="W117" s="219">
        <v>3</v>
      </c>
      <c r="X117" s="219">
        <v>6</v>
      </c>
      <c r="Y117" s="219"/>
      <c r="Z117" s="219">
        <v>1</v>
      </c>
      <c r="AA117" s="220" t="s">
        <v>517</v>
      </c>
    </row>
    <row r="118" spans="1:27" ht="16.5" customHeight="1" x14ac:dyDescent="0.3">
      <c r="A118" s="49"/>
      <c r="B118" s="130" t="str">
        <f ca="1">'Translation Table'!H1838</f>
        <v>Dehydration: Desiccant (Adsorber Columns: 2)</v>
      </c>
      <c r="C118" s="54" t="str">
        <f ca="1">'Translation Table'!H1838</f>
        <v>Dehydration: Desiccant (Adsorber Columns: 2)</v>
      </c>
      <c r="D118" s="219">
        <v>2</v>
      </c>
      <c r="E118" s="219">
        <v>0</v>
      </c>
      <c r="F118" s="219"/>
      <c r="G118" s="219"/>
      <c r="H118" s="219">
        <v>0</v>
      </c>
      <c r="I118" s="219"/>
      <c r="J118" s="219"/>
      <c r="K118" s="219">
        <f t="shared" si="2"/>
        <v>24</v>
      </c>
      <c r="L118" s="219">
        <v>24</v>
      </c>
      <c r="M118" s="219"/>
      <c r="N118" s="219">
        <v>100</v>
      </c>
      <c r="O118" s="219">
        <v>2</v>
      </c>
      <c r="P118" s="219"/>
      <c r="Q118" s="219"/>
      <c r="R118" s="219"/>
      <c r="S118" s="219"/>
      <c r="T118" s="219"/>
      <c r="U118" s="219"/>
      <c r="V118" s="219">
        <v>5</v>
      </c>
      <c r="W118" s="219">
        <v>7</v>
      </c>
      <c r="X118" s="219">
        <v>14</v>
      </c>
      <c r="Y118" s="219"/>
      <c r="Z118" s="219">
        <v>3</v>
      </c>
      <c r="AA118" s="220" t="s">
        <v>517</v>
      </c>
    </row>
    <row r="119" spans="1:27" ht="16.5" customHeight="1" x14ac:dyDescent="0.3">
      <c r="A119" s="49"/>
      <c r="B119" s="54" t="str">
        <f ca="1">'Translation Table'!H1839</f>
        <v>Dehydration: Desiccant (Adsorber Columns: 3)</v>
      </c>
      <c r="C119" s="54" t="str">
        <f ca="1">'Translation Table'!H1839</f>
        <v>Dehydration: Desiccant (Adsorber Columns: 3)</v>
      </c>
      <c r="D119" s="219">
        <v>3</v>
      </c>
      <c r="E119" s="219">
        <v>0</v>
      </c>
      <c r="F119" s="219"/>
      <c r="G119" s="219"/>
      <c r="H119" s="219">
        <v>0</v>
      </c>
      <c r="I119" s="219"/>
      <c r="J119" s="219"/>
      <c r="K119" s="219">
        <f t="shared" si="2"/>
        <v>30</v>
      </c>
      <c r="L119" s="219">
        <v>30</v>
      </c>
      <c r="M119" s="219"/>
      <c r="N119" s="219">
        <v>84</v>
      </c>
      <c r="O119" s="219">
        <v>2</v>
      </c>
      <c r="P119" s="219"/>
      <c r="Q119" s="219"/>
      <c r="R119" s="219"/>
      <c r="S119" s="219"/>
      <c r="T119" s="219"/>
      <c r="U119" s="219"/>
      <c r="V119" s="219">
        <v>5</v>
      </c>
      <c r="W119" s="219">
        <v>10</v>
      </c>
      <c r="X119" s="219">
        <v>20</v>
      </c>
      <c r="Y119" s="219"/>
      <c r="Z119" s="219">
        <v>4</v>
      </c>
      <c r="AA119" s="220" t="s">
        <v>2474</v>
      </c>
    </row>
    <row r="120" spans="1:27" ht="16.5" customHeight="1" x14ac:dyDescent="0.3">
      <c r="A120" s="49"/>
      <c r="B120" s="130" t="str">
        <f ca="1">'Translation Table'!H1840</f>
        <v>Dehydration: Glycol (with Gas-assisted Pump)</v>
      </c>
      <c r="C120" s="54" t="str">
        <f ca="1">'Translation Table'!H1840</f>
        <v>Dehydration: Glycol (with Gas-assisted Pump)</v>
      </c>
      <c r="D120" s="219">
        <v>1</v>
      </c>
      <c r="E120" s="219">
        <v>0</v>
      </c>
      <c r="F120" s="219"/>
      <c r="G120" s="219"/>
      <c r="H120" s="219">
        <v>0</v>
      </c>
      <c r="I120" s="219"/>
      <c r="J120" s="219"/>
      <c r="K120" s="219">
        <f t="shared" si="2"/>
        <v>24</v>
      </c>
      <c r="L120" s="219">
        <v>24</v>
      </c>
      <c r="M120" s="219"/>
      <c r="N120" s="219">
        <v>100</v>
      </c>
      <c r="O120" s="219">
        <v>2</v>
      </c>
      <c r="P120" s="219"/>
      <c r="Q120" s="219"/>
      <c r="R120" s="219"/>
      <c r="S120" s="219"/>
      <c r="T120" s="219"/>
      <c r="U120" s="219"/>
      <c r="V120" s="219">
        <v>5</v>
      </c>
      <c r="W120" s="219">
        <v>7</v>
      </c>
      <c r="X120" s="219">
        <v>14</v>
      </c>
      <c r="Y120" s="219"/>
      <c r="Z120" s="219">
        <v>2</v>
      </c>
      <c r="AA120" s="220" t="s">
        <v>517</v>
      </c>
    </row>
    <row r="121" spans="1:27" ht="16.5" customHeight="1" x14ac:dyDescent="0.3">
      <c r="A121" s="49"/>
      <c r="B121" s="54" t="str">
        <f ca="1">'Translation Table'!H1841</f>
        <v>Dehydration: Glycol (without Gas-assisted Pump)</v>
      </c>
      <c r="C121" s="54" t="str">
        <f ca="1">'Translation Table'!H1841</f>
        <v>Dehydration: Glycol (without Gas-assisted Pump)</v>
      </c>
      <c r="D121" s="219">
        <v>1</v>
      </c>
      <c r="E121" s="219">
        <v>0</v>
      </c>
      <c r="F121" s="219"/>
      <c r="G121" s="219"/>
      <c r="H121" s="219">
        <v>0</v>
      </c>
      <c r="I121" s="219"/>
      <c r="J121" s="219"/>
      <c r="K121" s="219">
        <f t="shared" si="2"/>
        <v>24</v>
      </c>
      <c r="L121" s="219">
        <v>24</v>
      </c>
      <c r="M121" s="219"/>
      <c r="N121" s="219">
        <v>100</v>
      </c>
      <c r="O121" s="219">
        <v>2</v>
      </c>
      <c r="P121" s="219"/>
      <c r="Q121" s="219"/>
      <c r="R121" s="219"/>
      <c r="S121" s="219"/>
      <c r="T121" s="219"/>
      <c r="U121" s="219"/>
      <c r="V121" s="219">
        <v>5</v>
      </c>
      <c r="W121" s="219">
        <v>7</v>
      </c>
      <c r="X121" s="219">
        <v>14</v>
      </c>
      <c r="Y121" s="219"/>
      <c r="Z121" s="219">
        <v>2</v>
      </c>
      <c r="AA121" s="220" t="s">
        <v>517</v>
      </c>
    </row>
    <row r="122" spans="1:27" ht="16.5" customHeight="1" x14ac:dyDescent="0.3">
      <c r="A122" s="49"/>
      <c r="B122" s="130" t="str">
        <f ca="1">'Translation Table'!H1842</f>
        <v>Flare System: Generic (Including Knock-out Drum)</v>
      </c>
      <c r="C122" s="54" t="str">
        <f ca="1">'Translation Table'!H1842</f>
        <v>Flare System: Generic (Including Knock-out Drum)</v>
      </c>
      <c r="D122" s="219">
        <v>0</v>
      </c>
      <c r="E122" s="219">
        <v>5</v>
      </c>
      <c r="F122" s="219"/>
      <c r="G122" s="219"/>
      <c r="H122" s="219">
        <v>0</v>
      </c>
      <c r="I122" s="219"/>
      <c r="J122" s="219"/>
      <c r="K122" s="219">
        <f t="shared" si="2"/>
        <v>35</v>
      </c>
      <c r="L122" s="219">
        <v>35</v>
      </c>
      <c r="M122" s="219"/>
      <c r="N122" s="219">
        <v>114</v>
      </c>
      <c r="O122" s="219">
        <v>1</v>
      </c>
      <c r="P122" s="219"/>
      <c r="Q122" s="219"/>
      <c r="R122" s="219"/>
      <c r="S122" s="219"/>
      <c r="T122" s="219"/>
      <c r="U122" s="219"/>
      <c r="V122" s="219">
        <v>1</v>
      </c>
      <c r="W122" s="219">
        <v>0</v>
      </c>
      <c r="X122" s="219">
        <v>0</v>
      </c>
      <c r="Y122" s="219"/>
      <c r="Z122" s="219">
        <v>1</v>
      </c>
      <c r="AA122" s="220" t="s">
        <v>2082</v>
      </c>
    </row>
    <row r="123" spans="1:27" ht="16.5" customHeight="1" x14ac:dyDescent="0.3">
      <c r="A123" s="49"/>
      <c r="B123" s="54" t="str">
        <f ca="1">'Translation Table'!H1843</f>
        <v>Heat Exchanger: Natural Gas/Steam</v>
      </c>
      <c r="C123" s="54" t="str">
        <f ca="1">'Translation Table'!H1843</f>
        <v>Heat Exchanger: Natural Gas/Steam</v>
      </c>
      <c r="D123" s="219">
        <v>0</v>
      </c>
      <c r="E123" s="219">
        <v>0</v>
      </c>
      <c r="F123" s="219"/>
      <c r="G123" s="219"/>
      <c r="H123" s="219">
        <v>0</v>
      </c>
      <c r="I123" s="219"/>
      <c r="J123" s="219"/>
      <c r="K123" s="219">
        <f t="shared" si="2"/>
        <v>4</v>
      </c>
      <c r="L123" s="219">
        <v>3</v>
      </c>
      <c r="M123" s="219">
        <v>1</v>
      </c>
      <c r="N123" s="219">
        <v>10</v>
      </c>
      <c r="O123" s="219">
        <v>0</v>
      </c>
      <c r="P123" s="219"/>
      <c r="Q123" s="219"/>
      <c r="R123" s="219"/>
      <c r="S123" s="219"/>
      <c r="T123" s="219"/>
      <c r="U123" s="219"/>
      <c r="V123" s="219">
        <v>0</v>
      </c>
      <c r="W123" s="219">
        <v>0</v>
      </c>
      <c r="X123" s="219">
        <v>0</v>
      </c>
      <c r="Y123" s="219"/>
      <c r="Z123" s="219">
        <v>0</v>
      </c>
      <c r="AA123" s="220" t="s">
        <v>2474</v>
      </c>
    </row>
    <row r="124" spans="1:27" ht="16.5" customHeight="1" x14ac:dyDescent="0.3">
      <c r="A124" s="49"/>
      <c r="B124" s="130" t="str">
        <f ca="1">'Translation Table'!H1844</f>
        <v>Heat Exchanger: Natural Gas/Natural Gas</v>
      </c>
      <c r="C124" s="54" t="str">
        <f ca="1">'Translation Table'!H1844</f>
        <v>Heat Exchanger: Natural Gas/Natural Gas</v>
      </c>
      <c r="D124" s="219">
        <v>0</v>
      </c>
      <c r="E124" s="219">
        <v>0</v>
      </c>
      <c r="F124" s="219"/>
      <c r="G124" s="219"/>
      <c r="H124" s="219">
        <v>0</v>
      </c>
      <c r="I124" s="219"/>
      <c r="J124" s="219"/>
      <c r="K124" s="219">
        <f t="shared" si="2"/>
        <v>10</v>
      </c>
      <c r="L124" s="219">
        <v>8</v>
      </c>
      <c r="M124" s="219">
        <v>2</v>
      </c>
      <c r="N124" s="219">
        <v>22</v>
      </c>
      <c r="O124" s="219">
        <v>0</v>
      </c>
      <c r="P124" s="219"/>
      <c r="Q124" s="219"/>
      <c r="R124" s="219"/>
      <c r="S124" s="219"/>
      <c r="T124" s="219"/>
      <c r="U124" s="219"/>
      <c r="V124" s="219">
        <v>0</v>
      </c>
      <c r="W124" s="219">
        <v>0</v>
      </c>
      <c r="X124" s="219">
        <v>0</v>
      </c>
      <c r="Y124" s="219"/>
      <c r="Z124" s="219">
        <v>0</v>
      </c>
      <c r="AA124" s="220" t="s">
        <v>2474</v>
      </c>
    </row>
    <row r="125" spans="1:27" ht="16.5" customHeight="1" x14ac:dyDescent="0.3">
      <c r="A125" s="49"/>
      <c r="B125" s="54" t="str">
        <f ca="1">'Translation Table'!H1845</f>
        <v>Heat Exchanger: Natural Gas/Non-Hydrocarbon Liquid</v>
      </c>
      <c r="C125" s="54" t="str">
        <f ca="1">'Translation Table'!H1845</f>
        <v>Heat Exchanger: Natural Gas/Non-Hydrocarbon Liquid</v>
      </c>
      <c r="D125" s="219">
        <v>0</v>
      </c>
      <c r="E125" s="219">
        <v>0</v>
      </c>
      <c r="F125" s="219"/>
      <c r="G125" s="219"/>
      <c r="H125" s="219">
        <v>0</v>
      </c>
      <c r="I125" s="219"/>
      <c r="J125" s="219"/>
      <c r="K125" s="219">
        <f t="shared" si="2"/>
        <v>4</v>
      </c>
      <c r="L125" s="219">
        <v>3</v>
      </c>
      <c r="M125" s="219">
        <v>1</v>
      </c>
      <c r="N125" s="219">
        <v>10</v>
      </c>
      <c r="O125" s="219">
        <v>0</v>
      </c>
      <c r="P125" s="219"/>
      <c r="Q125" s="219"/>
      <c r="R125" s="219"/>
      <c r="S125" s="219"/>
      <c r="T125" s="219"/>
      <c r="U125" s="219"/>
      <c r="V125" s="219">
        <v>0</v>
      </c>
      <c r="W125" s="219">
        <v>0</v>
      </c>
      <c r="X125" s="219">
        <v>0</v>
      </c>
      <c r="Y125" s="219"/>
      <c r="Z125" s="219">
        <v>0</v>
      </c>
      <c r="AA125" s="220" t="s">
        <v>2474</v>
      </c>
    </row>
    <row r="126" spans="1:27" ht="16.5" customHeight="1" x14ac:dyDescent="0.3">
      <c r="A126" s="49"/>
      <c r="B126" s="130" t="str">
        <f ca="1">'Translation Table'!H1846</f>
        <v>Heat Exchanger: Natural Gas/Hydrocarbon Liquid</v>
      </c>
      <c r="C126" s="54" t="str">
        <f ca="1">'Translation Table'!H1846</f>
        <v>Heat Exchanger: Natural Gas/Hydrocarbon Liquid</v>
      </c>
      <c r="D126" s="219">
        <v>0</v>
      </c>
      <c r="E126" s="219">
        <v>0</v>
      </c>
      <c r="F126" s="219"/>
      <c r="G126" s="219"/>
      <c r="H126" s="219">
        <v>0</v>
      </c>
      <c r="I126" s="219"/>
      <c r="J126" s="219"/>
      <c r="K126" s="219">
        <f t="shared" si="2"/>
        <v>4</v>
      </c>
      <c r="L126" s="219">
        <v>3</v>
      </c>
      <c r="M126" s="219">
        <v>1</v>
      </c>
      <c r="N126" s="219">
        <v>10</v>
      </c>
      <c r="O126" s="219">
        <v>0</v>
      </c>
      <c r="P126" s="219"/>
      <c r="Q126" s="219"/>
      <c r="R126" s="219"/>
      <c r="S126" s="219"/>
      <c r="T126" s="219"/>
      <c r="U126" s="219"/>
      <c r="V126" s="219">
        <v>0</v>
      </c>
      <c r="W126" s="219">
        <v>5</v>
      </c>
      <c r="X126" s="219">
        <v>10</v>
      </c>
      <c r="Y126" s="219"/>
      <c r="Z126" s="219">
        <v>0</v>
      </c>
      <c r="AA126" s="220" t="s">
        <v>2474</v>
      </c>
    </row>
    <row r="127" spans="1:27" ht="16.5" customHeight="1" x14ac:dyDescent="0.3">
      <c r="A127" s="49"/>
      <c r="B127" s="54" t="str">
        <f ca="1">'Translation Table'!H1847</f>
        <v>Heat Exchanger: Steam/Hydrocarbon Liquid</v>
      </c>
      <c r="C127" s="54" t="str">
        <f ca="1">'Translation Table'!H1847</f>
        <v>Heat Exchanger: Steam/Hydrocarbon Liquid</v>
      </c>
      <c r="D127" s="219">
        <v>0</v>
      </c>
      <c r="E127" s="219">
        <v>0</v>
      </c>
      <c r="F127" s="219"/>
      <c r="G127" s="219"/>
      <c r="H127" s="219">
        <v>0</v>
      </c>
      <c r="I127" s="219"/>
      <c r="J127" s="219"/>
      <c r="K127" s="219">
        <f t="shared" si="2"/>
        <v>0</v>
      </c>
      <c r="L127" s="219">
        <v>0</v>
      </c>
      <c r="M127" s="219">
        <v>0</v>
      </c>
      <c r="N127" s="219">
        <v>0</v>
      </c>
      <c r="O127" s="219">
        <v>0</v>
      </c>
      <c r="P127" s="219"/>
      <c r="Q127" s="219"/>
      <c r="R127" s="219"/>
      <c r="S127" s="219"/>
      <c r="T127" s="219"/>
      <c r="U127" s="219"/>
      <c r="V127" s="219">
        <v>0</v>
      </c>
      <c r="W127" s="219">
        <v>5</v>
      </c>
      <c r="X127" s="219">
        <v>10</v>
      </c>
      <c r="Y127" s="219"/>
      <c r="Z127" s="219">
        <v>0</v>
      </c>
      <c r="AA127" s="220" t="s">
        <v>2474</v>
      </c>
    </row>
    <row r="128" spans="1:27" ht="16.5" customHeight="1" x14ac:dyDescent="0.3">
      <c r="A128" s="49"/>
      <c r="B128" s="130" t="str">
        <f ca="1">'Translation Table'!H1848</f>
        <v>Heat Exchanger: Hydrocarbon Liquid/Hydrocarbon Liquid</v>
      </c>
      <c r="C128" s="54" t="str">
        <f ca="1">'Translation Table'!H1848</f>
        <v>Heat Exchanger: Hydrocarbon Liquid/Hydrocarbon Liquid</v>
      </c>
      <c r="D128" s="219">
        <v>0</v>
      </c>
      <c r="E128" s="219">
        <v>0</v>
      </c>
      <c r="F128" s="219"/>
      <c r="G128" s="219"/>
      <c r="H128" s="219">
        <v>0</v>
      </c>
      <c r="I128" s="219"/>
      <c r="J128" s="219"/>
      <c r="K128" s="219">
        <f t="shared" si="2"/>
        <v>0</v>
      </c>
      <c r="L128" s="219">
        <v>0</v>
      </c>
      <c r="M128" s="219">
        <v>0</v>
      </c>
      <c r="N128" s="219">
        <v>0</v>
      </c>
      <c r="O128" s="219">
        <v>0</v>
      </c>
      <c r="P128" s="219"/>
      <c r="Q128" s="219"/>
      <c r="R128" s="219"/>
      <c r="S128" s="219"/>
      <c r="T128" s="219"/>
      <c r="U128" s="219"/>
      <c r="V128" s="219">
        <v>0</v>
      </c>
      <c r="W128" s="219">
        <v>10</v>
      </c>
      <c r="X128" s="219">
        <v>20</v>
      </c>
      <c r="Y128" s="219"/>
      <c r="Z128" s="219">
        <v>0</v>
      </c>
      <c r="AA128" s="220" t="s">
        <v>2474</v>
      </c>
    </row>
    <row r="129" spans="1:27" ht="16.5" customHeight="1" x14ac:dyDescent="0.3">
      <c r="A129" s="49"/>
      <c r="B129" s="54" t="str">
        <f ca="1">'Translation Table'!H1849</f>
        <v>Heater/Boiler/Reboiler: Generic (Burner Assemblies: 1)</v>
      </c>
      <c r="C129" s="54" t="str">
        <f ca="1">'Translation Table'!H1849</f>
        <v>Heater/Boiler/Reboiler: Generic (Burner Assemblies: 1)</v>
      </c>
      <c r="D129" s="219">
        <v>2.29</v>
      </c>
      <c r="E129" s="219">
        <v>0.43</v>
      </c>
      <c r="F129" s="219"/>
      <c r="G129" s="219"/>
      <c r="H129" s="219">
        <v>0</v>
      </c>
      <c r="I129" s="219"/>
      <c r="J129" s="219"/>
      <c r="K129" s="219">
        <f t="shared" si="2"/>
        <v>31.21</v>
      </c>
      <c r="L129" s="219">
        <v>29.71</v>
      </c>
      <c r="M129" s="219">
        <v>1.5</v>
      </c>
      <c r="N129" s="219">
        <v>222.61</v>
      </c>
      <c r="O129" s="219">
        <v>5.76</v>
      </c>
      <c r="P129" s="219"/>
      <c r="Q129" s="219"/>
      <c r="R129" s="219"/>
      <c r="S129" s="219"/>
      <c r="T129" s="219"/>
      <c r="U129" s="219"/>
      <c r="V129" s="219">
        <v>0</v>
      </c>
      <c r="W129" s="219">
        <v>0</v>
      </c>
      <c r="X129" s="219">
        <v>0</v>
      </c>
      <c r="Y129" s="219"/>
      <c r="Z129" s="219">
        <v>1</v>
      </c>
      <c r="AA129" s="220" t="s">
        <v>2474</v>
      </c>
    </row>
    <row r="130" spans="1:27" ht="16.5" customHeight="1" x14ac:dyDescent="0.3">
      <c r="A130" s="49"/>
      <c r="B130" s="130" t="str">
        <f ca="1">'Translation Table'!H1850</f>
        <v>Heater/Boiler/Reboiler: Generic (Burner Assemblies: 2)</v>
      </c>
      <c r="C130" s="54" t="str">
        <f ca="1">'Translation Table'!H1850</f>
        <v>Heater/Boiler/Reboiler: Generic (Burner Assemblies: 2)</v>
      </c>
      <c r="D130" s="219">
        <v>7.59</v>
      </c>
      <c r="E130" s="219">
        <v>0.43</v>
      </c>
      <c r="F130" s="219"/>
      <c r="G130" s="219"/>
      <c r="H130" s="219">
        <v>0</v>
      </c>
      <c r="I130" s="219"/>
      <c r="J130" s="219"/>
      <c r="K130" s="219">
        <f t="shared" si="2"/>
        <v>44.510000000000005</v>
      </c>
      <c r="L130" s="219">
        <v>41.31</v>
      </c>
      <c r="M130" s="219">
        <v>3.2</v>
      </c>
      <c r="N130" s="219">
        <v>252.51</v>
      </c>
      <c r="O130" s="219">
        <v>7.59</v>
      </c>
      <c r="P130" s="219"/>
      <c r="Q130" s="219"/>
      <c r="R130" s="219"/>
      <c r="S130" s="219"/>
      <c r="T130" s="219"/>
      <c r="U130" s="219"/>
      <c r="V130" s="219">
        <v>0</v>
      </c>
      <c r="W130" s="219">
        <v>0</v>
      </c>
      <c r="X130" s="219">
        <v>0</v>
      </c>
      <c r="Y130" s="219"/>
      <c r="Z130" s="219">
        <v>1</v>
      </c>
      <c r="AA130" s="220" t="s">
        <v>2474</v>
      </c>
    </row>
    <row r="131" spans="1:27" ht="16.5" customHeight="1" x14ac:dyDescent="0.3">
      <c r="A131" s="49"/>
      <c r="B131" s="54" t="str">
        <f ca="1">'Translation Table'!H1851</f>
        <v>Heater/Boiler/Reboiler: Generic (Burner Assemblies: 3)</v>
      </c>
      <c r="C131" s="54" t="str">
        <f ca="1">'Translation Table'!H1851</f>
        <v>Heater/Boiler/Reboiler: Generic (Burner Assemblies: 3)</v>
      </c>
      <c r="D131" s="219">
        <v>12.89</v>
      </c>
      <c r="E131" s="219">
        <v>0.43</v>
      </c>
      <c r="F131" s="219"/>
      <c r="G131" s="219"/>
      <c r="H131" s="219">
        <v>0</v>
      </c>
      <c r="I131" s="219"/>
      <c r="J131" s="219"/>
      <c r="K131" s="219">
        <f t="shared" si="2"/>
        <v>57.809999999999995</v>
      </c>
      <c r="L131" s="219">
        <v>52.91</v>
      </c>
      <c r="M131" s="219">
        <v>4.9000000000000004</v>
      </c>
      <c r="N131" s="219">
        <v>282.41000000000003</v>
      </c>
      <c r="O131" s="219">
        <v>9.42</v>
      </c>
      <c r="P131" s="219"/>
      <c r="Q131" s="219"/>
      <c r="R131" s="219"/>
      <c r="S131" s="219"/>
      <c r="T131" s="219"/>
      <c r="U131" s="219"/>
      <c r="V131" s="219">
        <v>0</v>
      </c>
      <c r="W131" s="219">
        <v>0</v>
      </c>
      <c r="X131" s="219">
        <v>0</v>
      </c>
      <c r="Y131" s="219"/>
      <c r="Z131" s="219">
        <v>1</v>
      </c>
      <c r="AA131" s="220" t="s">
        <v>2474</v>
      </c>
    </row>
    <row r="132" spans="1:27" ht="16.5" customHeight="1" x14ac:dyDescent="0.3">
      <c r="A132" s="49"/>
      <c r="B132" s="130" t="str">
        <f ca="1">'Translation Table'!H1852</f>
        <v>Heater/Boiler/Reboiler: Line (Burner Assemblies: 1)</v>
      </c>
      <c r="C132" s="54" t="str">
        <f ca="1">'Translation Table'!H1852</f>
        <v>Heater/Boiler/Reboiler: Line (Burner Assemblies: 1)</v>
      </c>
      <c r="D132" s="219">
        <v>2.29</v>
      </c>
      <c r="E132" s="219">
        <v>0.43</v>
      </c>
      <c r="F132" s="219"/>
      <c r="G132" s="219"/>
      <c r="H132" s="219">
        <v>0</v>
      </c>
      <c r="I132" s="219"/>
      <c r="J132" s="219"/>
      <c r="K132" s="219">
        <f t="shared" si="2"/>
        <v>31.21</v>
      </c>
      <c r="L132" s="219">
        <v>29.71</v>
      </c>
      <c r="M132" s="219">
        <v>1.5</v>
      </c>
      <c r="N132" s="219">
        <v>222.61</v>
      </c>
      <c r="O132" s="219">
        <v>5.76</v>
      </c>
      <c r="P132" s="219"/>
      <c r="Q132" s="219"/>
      <c r="R132" s="219"/>
      <c r="S132" s="219"/>
      <c r="T132" s="219"/>
      <c r="U132" s="219"/>
      <c r="V132" s="219">
        <v>0</v>
      </c>
      <c r="W132" s="219">
        <v>0</v>
      </c>
      <c r="X132" s="219">
        <v>0</v>
      </c>
      <c r="Y132" s="219"/>
      <c r="Z132" s="219">
        <v>1</v>
      </c>
      <c r="AA132" s="220" t="s">
        <v>2474</v>
      </c>
    </row>
    <row r="133" spans="1:27" ht="16.5" customHeight="1" x14ac:dyDescent="0.3">
      <c r="A133" s="49"/>
      <c r="B133" s="54" t="str">
        <f ca="1">'Translation Table'!H1853</f>
        <v>Heater/Boiler/Reboiler: Line (Burner Assemblies: 2)</v>
      </c>
      <c r="C133" s="54" t="str">
        <f ca="1">'Translation Table'!H1853</f>
        <v>Heater/Boiler/Reboiler: Line (Burner Assemblies: 2)</v>
      </c>
      <c r="D133" s="219">
        <v>7.59</v>
      </c>
      <c r="E133" s="219">
        <v>0.43</v>
      </c>
      <c r="F133" s="219"/>
      <c r="G133" s="219"/>
      <c r="H133" s="219">
        <v>0</v>
      </c>
      <c r="I133" s="219"/>
      <c r="J133" s="219"/>
      <c r="K133" s="219">
        <f t="shared" si="2"/>
        <v>44.510000000000005</v>
      </c>
      <c r="L133" s="219">
        <v>41.31</v>
      </c>
      <c r="M133" s="219">
        <v>3.2</v>
      </c>
      <c r="N133" s="219">
        <v>252.51</v>
      </c>
      <c r="O133" s="219">
        <v>7.59</v>
      </c>
      <c r="P133" s="219"/>
      <c r="Q133" s="219"/>
      <c r="R133" s="219"/>
      <c r="S133" s="219"/>
      <c r="T133" s="219"/>
      <c r="U133" s="219"/>
      <c r="V133" s="219">
        <v>0</v>
      </c>
      <c r="W133" s="219">
        <v>0</v>
      </c>
      <c r="X133" s="219">
        <v>0</v>
      </c>
      <c r="Y133" s="219"/>
      <c r="Z133" s="219">
        <v>1</v>
      </c>
      <c r="AA133" s="220" t="s">
        <v>2474</v>
      </c>
    </row>
    <row r="134" spans="1:27" ht="16.5" customHeight="1" x14ac:dyDescent="0.3">
      <c r="A134" s="49"/>
      <c r="B134" s="130" t="str">
        <f ca="1">'Translation Table'!H1854</f>
        <v>Heater/Boiler/Reboiler: Line (Burner Assemblies: 3)</v>
      </c>
      <c r="C134" s="54" t="str">
        <f ca="1">'Translation Table'!H1854</f>
        <v>Heater/Boiler/Reboiler: Line (Burner Assemblies: 3)</v>
      </c>
      <c r="D134" s="219">
        <v>12.89</v>
      </c>
      <c r="E134" s="219">
        <v>0.43</v>
      </c>
      <c r="F134" s="219"/>
      <c r="G134" s="219"/>
      <c r="H134" s="219">
        <v>0</v>
      </c>
      <c r="I134" s="219"/>
      <c r="J134" s="219"/>
      <c r="K134" s="219">
        <f t="shared" si="2"/>
        <v>57.809999999999995</v>
      </c>
      <c r="L134" s="219">
        <v>52.91</v>
      </c>
      <c r="M134" s="219">
        <v>4.9000000000000004</v>
      </c>
      <c r="N134" s="219">
        <v>282.41000000000003</v>
      </c>
      <c r="O134" s="219">
        <v>9.42</v>
      </c>
      <c r="P134" s="219"/>
      <c r="Q134" s="219"/>
      <c r="R134" s="219"/>
      <c r="S134" s="219"/>
      <c r="T134" s="219"/>
      <c r="U134" s="219"/>
      <c r="V134" s="219">
        <v>0</v>
      </c>
      <c r="W134" s="219">
        <v>0</v>
      </c>
      <c r="X134" s="219">
        <v>0</v>
      </c>
      <c r="Y134" s="219"/>
      <c r="Z134" s="219">
        <v>1</v>
      </c>
      <c r="AA134" s="220" t="s">
        <v>2474</v>
      </c>
    </row>
    <row r="135" spans="1:27" ht="16.5" customHeight="1" x14ac:dyDescent="0.3">
      <c r="A135" s="49"/>
      <c r="B135" s="54" t="str">
        <f ca="1">'Translation Table'!H1855</f>
        <v>Heater/Boiler/Reboiler: Treater (Burner Assemblies: 1)</v>
      </c>
      <c r="C135" s="54" t="str">
        <f ca="1">'Translation Table'!H1855</f>
        <v>Heater/Boiler/Reboiler: Treater (Burner Assemblies: 1)</v>
      </c>
      <c r="D135" s="219">
        <v>2.29</v>
      </c>
      <c r="E135" s="219">
        <v>0.43</v>
      </c>
      <c r="F135" s="219"/>
      <c r="G135" s="219"/>
      <c r="H135" s="219">
        <v>0</v>
      </c>
      <c r="I135" s="219"/>
      <c r="J135" s="219"/>
      <c r="K135" s="219">
        <f t="shared" ref="K135:K198" si="3">L135+M135</f>
        <v>31.21</v>
      </c>
      <c r="L135" s="219">
        <v>29.71</v>
      </c>
      <c r="M135" s="219">
        <v>1.5</v>
      </c>
      <c r="N135" s="219">
        <v>222.61</v>
      </c>
      <c r="O135" s="219">
        <v>5.76</v>
      </c>
      <c r="P135" s="219"/>
      <c r="Q135" s="219"/>
      <c r="R135" s="219"/>
      <c r="S135" s="219"/>
      <c r="T135" s="219"/>
      <c r="U135" s="219"/>
      <c r="V135" s="219">
        <v>0</v>
      </c>
      <c r="W135" s="219">
        <v>0</v>
      </c>
      <c r="X135" s="219">
        <v>0</v>
      </c>
      <c r="Y135" s="219"/>
      <c r="Z135" s="219">
        <v>2</v>
      </c>
      <c r="AA135" s="220" t="s">
        <v>2474</v>
      </c>
    </row>
    <row r="136" spans="1:27" ht="16.5" customHeight="1" x14ac:dyDescent="0.3">
      <c r="A136" s="49"/>
      <c r="B136" s="130" t="str">
        <f ca="1">'Translation Table'!H1856</f>
        <v>Heater/Boiler/Reboiler: Treater (Burner Assemblies: 2)</v>
      </c>
      <c r="C136" s="54" t="str">
        <f ca="1">'Translation Table'!H1856</f>
        <v>Heater/Boiler/Reboiler: Treater (Burner Assemblies: 2)</v>
      </c>
      <c r="D136" s="219">
        <v>7.59</v>
      </c>
      <c r="E136" s="219">
        <v>0.43</v>
      </c>
      <c r="F136" s="219"/>
      <c r="G136" s="219"/>
      <c r="H136" s="219">
        <v>0</v>
      </c>
      <c r="I136" s="219"/>
      <c r="J136" s="219"/>
      <c r="K136" s="219">
        <f t="shared" si="3"/>
        <v>44.510000000000005</v>
      </c>
      <c r="L136" s="219">
        <v>41.31</v>
      </c>
      <c r="M136" s="219">
        <v>3.2</v>
      </c>
      <c r="N136" s="219">
        <v>252.51</v>
      </c>
      <c r="O136" s="219">
        <v>7.59</v>
      </c>
      <c r="P136" s="219"/>
      <c r="Q136" s="219"/>
      <c r="R136" s="219"/>
      <c r="S136" s="219"/>
      <c r="T136" s="219"/>
      <c r="U136" s="219"/>
      <c r="V136" s="219">
        <v>0</v>
      </c>
      <c r="W136" s="219">
        <v>0</v>
      </c>
      <c r="X136" s="219">
        <v>0</v>
      </c>
      <c r="Y136" s="219"/>
      <c r="Z136" s="219">
        <v>2</v>
      </c>
      <c r="AA136" s="220" t="s">
        <v>2474</v>
      </c>
    </row>
    <row r="137" spans="1:27" ht="16.5" customHeight="1" x14ac:dyDescent="0.3">
      <c r="A137" s="49"/>
      <c r="B137" s="54" t="str">
        <f ca="1">'Translation Table'!H1857</f>
        <v>Heater/Boiler/Reboiler: Treater (Burner Assemblies: 3)</v>
      </c>
      <c r="C137" s="54" t="str">
        <f ca="1">'Translation Table'!H1857</f>
        <v>Heater/Boiler/Reboiler: Treater (Burner Assemblies: 3)</v>
      </c>
      <c r="D137" s="219">
        <v>12.89</v>
      </c>
      <c r="E137" s="219">
        <v>0.43</v>
      </c>
      <c r="F137" s="219"/>
      <c r="G137" s="219"/>
      <c r="H137" s="219">
        <v>0</v>
      </c>
      <c r="I137" s="219"/>
      <c r="J137" s="219"/>
      <c r="K137" s="219">
        <f t="shared" si="3"/>
        <v>57.809999999999995</v>
      </c>
      <c r="L137" s="219">
        <v>52.91</v>
      </c>
      <c r="M137" s="219">
        <v>4.9000000000000004</v>
      </c>
      <c r="N137" s="219">
        <v>282.41000000000003</v>
      </c>
      <c r="O137" s="219">
        <v>9.42</v>
      </c>
      <c r="P137" s="219"/>
      <c r="Q137" s="219"/>
      <c r="R137" s="219"/>
      <c r="S137" s="219"/>
      <c r="T137" s="219"/>
      <c r="U137" s="219"/>
      <c r="V137" s="219">
        <v>0</v>
      </c>
      <c r="W137" s="219">
        <v>0</v>
      </c>
      <c r="X137" s="219">
        <v>0</v>
      </c>
      <c r="Y137" s="219"/>
      <c r="Z137" s="219">
        <v>2</v>
      </c>
      <c r="AA137" s="220" t="s">
        <v>2474</v>
      </c>
    </row>
    <row r="138" spans="1:27" ht="16.5" customHeight="1" x14ac:dyDescent="0.3">
      <c r="A138" s="49"/>
      <c r="B138" s="130" t="str">
        <f ca="1">'Translation Table'!H1858</f>
        <v>Hydrocarbon Dewpoint Control: Joule-Thomson Unit (Excluding Compressor)</v>
      </c>
      <c r="C138" s="54" t="str">
        <f ca="1">'Translation Table'!H1858</f>
        <v>Hydrocarbon Dewpoint Control: Joule-Thomson Unit (Excluding Compressor)</v>
      </c>
      <c r="D138" s="219">
        <v>0</v>
      </c>
      <c r="E138" s="219">
        <v>0</v>
      </c>
      <c r="F138" s="219"/>
      <c r="G138" s="219"/>
      <c r="H138" s="219">
        <v>0</v>
      </c>
      <c r="I138" s="219"/>
      <c r="J138" s="219"/>
      <c r="K138" s="219">
        <f t="shared" si="3"/>
        <v>19</v>
      </c>
      <c r="L138" s="219">
        <v>19</v>
      </c>
      <c r="M138" s="219"/>
      <c r="N138" s="219">
        <v>79</v>
      </c>
      <c r="O138" s="219">
        <v>2</v>
      </c>
      <c r="P138" s="219"/>
      <c r="Q138" s="219"/>
      <c r="R138" s="219"/>
      <c r="S138" s="219"/>
      <c r="T138" s="219"/>
      <c r="U138" s="219"/>
      <c r="V138" s="219">
        <v>2</v>
      </c>
      <c r="W138" s="219">
        <v>11</v>
      </c>
      <c r="X138" s="219">
        <v>41</v>
      </c>
      <c r="Y138" s="219"/>
      <c r="Z138" s="219">
        <v>0</v>
      </c>
      <c r="AA138" s="220" t="s">
        <v>517</v>
      </c>
    </row>
    <row r="139" spans="1:27" ht="16.5" customHeight="1" x14ac:dyDescent="0.3">
      <c r="A139" s="49"/>
      <c r="B139" s="54" t="str">
        <f ca="1">'Translation Table'!H1859</f>
        <v>Hydrocarbon Dewpoint Control: Propane Refrigeration</v>
      </c>
      <c r="C139" s="54" t="str">
        <f ca="1">'Translation Table'!H1859</f>
        <v>Hydrocarbon Dewpoint Control: Propane Refrigeration</v>
      </c>
      <c r="D139" s="219">
        <v>2</v>
      </c>
      <c r="E139" s="219">
        <v>0</v>
      </c>
      <c r="F139" s="219"/>
      <c r="G139" s="219"/>
      <c r="H139" s="219">
        <v>0</v>
      </c>
      <c r="I139" s="219"/>
      <c r="J139" s="219"/>
      <c r="K139" s="219">
        <f t="shared" si="3"/>
        <v>65</v>
      </c>
      <c r="L139" s="219">
        <v>65</v>
      </c>
      <c r="M139" s="219"/>
      <c r="N139" s="219">
        <v>170</v>
      </c>
      <c r="O139" s="219">
        <v>2</v>
      </c>
      <c r="P139" s="219"/>
      <c r="Q139" s="219"/>
      <c r="R139" s="219"/>
      <c r="S139" s="219"/>
      <c r="T139" s="219"/>
      <c r="U139" s="219"/>
      <c r="V139" s="219">
        <v>2</v>
      </c>
      <c r="W139" s="219">
        <v>13</v>
      </c>
      <c r="X139" s="219">
        <v>31</v>
      </c>
      <c r="Y139" s="219"/>
      <c r="Z139" s="219">
        <v>4</v>
      </c>
      <c r="AA139" s="220" t="s">
        <v>517</v>
      </c>
    </row>
    <row r="140" spans="1:27" ht="16.5" customHeight="1" x14ac:dyDescent="0.3">
      <c r="A140" s="49"/>
      <c r="B140" s="130" t="str">
        <f ca="1">'Translation Table'!H1860</f>
        <v>Inlet/Outlet Header: Gas Facilities (Fittings Per Pipeline)</v>
      </c>
      <c r="C140" s="54" t="str">
        <f ca="1">'Translation Table'!H1860</f>
        <v>Inlet/Outlet Header: Gas Facilities (Fittings Per Pipeline)</v>
      </c>
      <c r="D140" s="219">
        <v>0</v>
      </c>
      <c r="E140" s="219">
        <v>0</v>
      </c>
      <c r="F140" s="219"/>
      <c r="G140" s="219"/>
      <c r="H140" s="219">
        <v>0</v>
      </c>
      <c r="I140" s="219"/>
      <c r="J140" s="219"/>
      <c r="K140" s="219">
        <f t="shared" si="3"/>
        <v>7</v>
      </c>
      <c r="L140" s="219">
        <v>6</v>
      </c>
      <c r="M140" s="219">
        <v>1</v>
      </c>
      <c r="N140" s="219">
        <v>16</v>
      </c>
      <c r="O140" s="219">
        <v>0</v>
      </c>
      <c r="P140" s="219"/>
      <c r="Q140" s="219"/>
      <c r="R140" s="219"/>
      <c r="S140" s="219"/>
      <c r="T140" s="219"/>
      <c r="U140" s="219"/>
      <c r="V140" s="219">
        <v>0</v>
      </c>
      <c r="W140" s="219">
        <v>0</v>
      </c>
      <c r="X140" s="219">
        <v>0</v>
      </c>
      <c r="Y140" s="219"/>
      <c r="Z140" s="219">
        <v>0</v>
      </c>
      <c r="AA140" s="220" t="s">
        <v>2474</v>
      </c>
    </row>
    <row r="141" spans="1:27" ht="16.5" customHeight="1" x14ac:dyDescent="0.3">
      <c r="A141" s="49"/>
      <c r="B141" s="54" t="str">
        <f ca="1">'Translation Table'!H1861</f>
        <v>LPG Extraction: Deepcut (C2 to C4)</v>
      </c>
      <c r="C141" s="54" t="str">
        <f ca="1">'Translation Table'!H1861</f>
        <v>LPG Extraction: Deepcut (C2 to C4)</v>
      </c>
      <c r="D141" s="219">
        <v>10</v>
      </c>
      <c r="E141" s="219">
        <v>0</v>
      </c>
      <c r="F141" s="219"/>
      <c r="G141" s="219"/>
      <c r="H141" s="219">
        <v>0</v>
      </c>
      <c r="I141" s="219"/>
      <c r="J141" s="219"/>
      <c r="K141" s="219">
        <f t="shared" si="3"/>
        <v>131</v>
      </c>
      <c r="L141" s="219">
        <v>131</v>
      </c>
      <c r="M141" s="219"/>
      <c r="N141" s="219">
        <v>241</v>
      </c>
      <c r="O141" s="219">
        <v>4</v>
      </c>
      <c r="P141" s="219"/>
      <c r="Q141" s="219">
        <v>2</v>
      </c>
      <c r="R141" s="219"/>
      <c r="S141" s="219"/>
      <c r="T141" s="219"/>
      <c r="U141" s="219"/>
      <c r="V141" s="219">
        <v>14</v>
      </c>
      <c r="W141" s="219">
        <v>121</v>
      </c>
      <c r="X141" s="219">
        <v>386</v>
      </c>
      <c r="Y141" s="219">
        <v>2</v>
      </c>
      <c r="Z141" s="219">
        <v>6</v>
      </c>
      <c r="AA141" s="220" t="s">
        <v>517</v>
      </c>
    </row>
    <row r="142" spans="1:27" ht="16.5" customHeight="1" x14ac:dyDescent="0.3">
      <c r="A142" s="49"/>
      <c r="B142" s="130" t="str">
        <f ca="1">'Translation Table'!H1862</f>
        <v>LPG Extraction: Shallow Cut (C3 to C4)</v>
      </c>
      <c r="C142" s="54" t="str">
        <f ca="1">'Translation Table'!H1862</f>
        <v>LPG Extraction: Shallow Cut (C3 to C4)</v>
      </c>
      <c r="D142" s="219">
        <v>6</v>
      </c>
      <c r="E142" s="219">
        <v>0</v>
      </c>
      <c r="F142" s="219"/>
      <c r="G142" s="219"/>
      <c r="H142" s="219">
        <v>0</v>
      </c>
      <c r="I142" s="219"/>
      <c r="J142" s="219"/>
      <c r="K142" s="219">
        <f t="shared" si="3"/>
        <v>48</v>
      </c>
      <c r="L142" s="219">
        <v>48</v>
      </c>
      <c r="M142" s="219"/>
      <c r="N142" s="219">
        <v>123</v>
      </c>
      <c r="O142" s="219">
        <v>4</v>
      </c>
      <c r="P142" s="219"/>
      <c r="Q142" s="219"/>
      <c r="R142" s="219"/>
      <c r="S142" s="219"/>
      <c r="T142" s="219"/>
      <c r="U142" s="219"/>
      <c r="V142" s="219">
        <v>6</v>
      </c>
      <c r="W142" s="219">
        <v>2</v>
      </c>
      <c r="X142" s="219">
        <v>9</v>
      </c>
      <c r="Y142" s="219"/>
      <c r="Z142" s="219">
        <v>8</v>
      </c>
      <c r="AA142" s="194" t="s">
        <v>517</v>
      </c>
    </row>
    <row r="143" spans="1:27" ht="16.5" customHeight="1" x14ac:dyDescent="0.3">
      <c r="A143" s="49"/>
      <c r="B143" s="54" t="str">
        <f ca="1">'Translation Table'!H1863</f>
        <v>NGL – Natural Gas Liquefaction</v>
      </c>
      <c r="C143" s="54" t="str">
        <f ca="1">'Translation Table'!H1863</f>
        <v>NGL – Natural Gas Liquefaction</v>
      </c>
      <c r="D143" s="219">
        <v>10</v>
      </c>
      <c r="E143" s="219">
        <v>0</v>
      </c>
      <c r="F143" s="219"/>
      <c r="G143" s="219"/>
      <c r="H143" s="219">
        <v>0</v>
      </c>
      <c r="I143" s="219"/>
      <c r="J143" s="219"/>
      <c r="K143" s="219">
        <f t="shared" si="3"/>
        <v>131</v>
      </c>
      <c r="L143" s="219">
        <v>131</v>
      </c>
      <c r="M143" s="219"/>
      <c r="N143" s="219">
        <v>192</v>
      </c>
      <c r="O143" s="219">
        <v>6</v>
      </c>
      <c r="P143" s="219"/>
      <c r="Q143" s="219"/>
      <c r="R143" s="219"/>
      <c r="S143" s="219"/>
      <c r="T143" s="219"/>
      <c r="U143" s="219"/>
      <c r="V143" s="219">
        <v>10</v>
      </c>
      <c r="W143" s="219">
        <v>121</v>
      </c>
      <c r="X143" s="219">
        <v>386</v>
      </c>
      <c r="Y143" s="219"/>
      <c r="Z143" s="219">
        <v>8</v>
      </c>
      <c r="AA143" s="194" t="s">
        <v>517</v>
      </c>
    </row>
    <row r="144" spans="1:27" ht="16.5" customHeight="1" x14ac:dyDescent="0.3">
      <c r="A144" s="49"/>
      <c r="B144" s="130" t="str">
        <f ca="1">'Translation Table'!H1864</f>
        <v>PIG Receiver or Sender</v>
      </c>
      <c r="C144" s="54" t="str">
        <f ca="1">'Translation Table'!H1864</f>
        <v>PIG Receiver or Sender</v>
      </c>
      <c r="D144" s="219">
        <v>0</v>
      </c>
      <c r="E144" s="219">
        <v>0</v>
      </c>
      <c r="F144" s="219"/>
      <c r="G144" s="219"/>
      <c r="H144" s="219">
        <v>0</v>
      </c>
      <c r="I144" s="219"/>
      <c r="J144" s="219"/>
      <c r="K144" s="219">
        <f t="shared" si="3"/>
        <v>3</v>
      </c>
      <c r="L144" s="219">
        <v>3</v>
      </c>
      <c r="M144" s="219"/>
      <c r="N144" s="219">
        <v>241</v>
      </c>
      <c r="O144" s="219">
        <v>0</v>
      </c>
      <c r="P144" s="219"/>
      <c r="Q144" s="219"/>
      <c r="R144" s="219"/>
      <c r="S144" s="219"/>
      <c r="T144" s="219"/>
      <c r="U144" s="219"/>
      <c r="V144" s="219">
        <v>0</v>
      </c>
      <c r="W144" s="219"/>
      <c r="X144" s="219"/>
      <c r="Y144" s="219"/>
      <c r="Z144" s="219">
        <v>1</v>
      </c>
      <c r="AA144" s="220" t="s">
        <v>517</v>
      </c>
    </row>
    <row r="145" spans="1:27" ht="16.5" customHeight="1" x14ac:dyDescent="0.3">
      <c r="A145" s="49"/>
      <c r="B145" s="54" t="str">
        <f ca="1">'Translation Table'!H1865</f>
        <v>Power Generator: Natural Gas Fuelled (Driver: Gas Turbine)</v>
      </c>
      <c r="C145" s="54" t="str">
        <f ca="1">'Translation Table'!H1865</f>
        <v>Power Generator: Natural Gas Fuelled (Driver: Gas Turbine)</v>
      </c>
      <c r="D145" s="219">
        <v>1.62</v>
      </c>
      <c r="E145" s="219">
        <v>1.93</v>
      </c>
      <c r="F145" s="219"/>
      <c r="G145" s="219"/>
      <c r="H145" s="219">
        <v>0</v>
      </c>
      <c r="I145" s="219"/>
      <c r="J145" s="219"/>
      <c r="K145" s="219">
        <f t="shared" si="3"/>
        <v>39.86</v>
      </c>
      <c r="L145" s="219">
        <v>32.94</v>
      </c>
      <c r="M145" s="219">
        <v>6.92</v>
      </c>
      <c r="N145" s="219">
        <v>203.8</v>
      </c>
      <c r="O145" s="219">
        <v>4.33</v>
      </c>
      <c r="P145" s="219"/>
      <c r="Q145" s="219"/>
      <c r="R145" s="219"/>
      <c r="S145" s="219"/>
      <c r="T145" s="219"/>
      <c r="U145" s="219"/>
      <c r="V145" s="219">
        <v>2</v>
      </c>
      <c r="W145" s="219">
        <v>0</v>
      </c>
      <c r="X145" s="219">
        <v>0</v>
      </c>
      <c r="Y145" s="219">
        <v>0</v>
      </c>
      <c r="Z145" s="219">
        <v>1</v>
      </c>
      <c r="AA145" s="220" t="s">
        <v>2474</v>
      </c>
    </row>
    <row r="146" spans="1:27" ht="16.5" customHeight="1" x14ac:dyDescent="0.3">
      <c r="A146" s="49"/>
      <c r="B146" s="130" t="str">
        <f ca="1">'Translation Table'!H1866</f>
        <v>Power Generator: Natural Gas Fuelled (Driver: Recip. Engine)</v>
      </c>
      <c r="C146" s="54" t="str">
        <f ca="1">'Translation Table'!H1866</f>
        <v>Power Generator: Natural Gas Fuelled (Driver: Recip. Engine)</v>
      </c>
      <c r="D146" s="219">
        <v>3.29</v>
      </c>
      <c r="E146" s="219">
        <v>1.76</v>
      </c>
      <c r="F146" s="219"/>
      <c r="G146" s="219"/>
      <c r="H146" s="219">
        <v>0</v>
      </c>
      <c r="I146" s="219"/>
      <c r="J146" s="219"/>
      <c r="K146" s="219">
        <f t="shared" si="3"/>
        <v>26.189999999999998</v>
      </c>
      <c r="L146" s="219">
        <v>20.86</v>
      </c>
      <c r="M146" s="219">
        <v>5.33</v>
      </c>
      <c r="N146" s="219">
        <v>157.71</v>
      </c>
      <c r="O146" s="219">
        <v>1.5</v>
      </c>
      <c r="P146" s="219"/>
      <c r="Q146" s="219"/>
      <c r="R146" s="219"/>
      <c r="S146" s="219"/>
      <c r="T146" s="219"/>
      <c r="U146" s="219"/>
      <c r="V146" s="219">
        <v>2</v>
      </c>
      <c r="W146" s="219">
        <v>0</v>
      </c>
      <c r="X146" s="219">
        <v>0</v>
      </c>
      <c r="Y146" s="219">
        <v>0</v>
      </c>
      <c r="Z146" s="219">
        <v>1</v>
      </c>
      <c r="AA146" s="220" t="s">
        <v>2474</v>
      </c>
    </row>
    <row r="147" spans="1:27" ht="16.5" customHeight="1" x14ac:dyDescent="0.3">
      <c r="A147" s="49"/>
      <c r="B147" s="54" t="str">
        <f ca="1">'Translation Table'!H1867</f>
        <v>Pump: Hydrocarbon Service (Driver: Motor)</v>
      </c>
      <c r="C147" s="54" t="str">
        <f ca="1">'Translation Table'!H1867</f>
        <v>Pump: Hydrocarbon Service (Driver: Motor)</v>
      </c>
      <c r="D147" s="219">
        <v>0</v>
      </c>
      <c r="E147" s="219">
        <v>0</v>
      </c>
      <c r="F147" s="219"/>
      <c r="G147" s="219"/>
      <c r="H147" s="219">
        <v>0</v>
      </c>
      <c r="I147" s="219"/>
      <c r="J147" s="219"/>
      <c r="K147" s="219">
        <f t="shared" si="3"/>
        <v>0</v>
      </c>
      <c r="L147" s="219">
        <v>0</v>
      </c>
      <c r="M147" s="219">
        <v>0</v>
      </c>
      <c r="N147" s="219">
        <v>0</v>
      </c>
      <c r="O147" s="219">
        <v>0</v>
      </c>
      <c r="P147" s="219"/>
      <c r="Q147" s="219"/>
      <c r="R147" s="219"/>
      <c r="S147" s="219"/>
      <c r="T147" s="219"/>
      <c r="U147" s="219"/>
      <c r="V147" s="219">
        <v>0</v>
      </c>
      <c r="W147" s="219">
        <v>4</v>
      </c>
      <c r="X147" s="219">
        <v>10</v>
      </c>
      <c r="Y147" s="219">
        <v>1</v>
      </c>
      <c r="Z147" s="219">
        <v>0</v>
      </c>
      <c r="AA147" s="220" t="s">
        <v>2474</v>
      </c>
    </row>
    <row r="148" spans="1:27" ht="16.5" customHeight="1" x14ac:dyDescent="0.3">
      <c r="A148" s="49"/>
      <c r="B148" s="130" t="str">
        <f ca="1">'Translation Table'!H1868</f>
        <v>Pump: Hydrocarbon Service (Driver: Recip Engine) (Fuel: Gaseous)</v>
      </c>
      <c r="C148" s="54" t="str">
        <f ca="1">'Translation Table'!H1868</f>
        <v>Pump: Hydrocarbon Service (Driver: Recip Engine) (Fuel: Gaseous)</v>
      </c>
      <c r="D148" s="219">
        <v>3.29</v>
      </c>
      <c r="E148" s="221">
        <v>1.76</v>
      </c>
      <c r="F148" s="221"/>
      <c r="G148" s="221"/>
      <c r="H148" s="221">
        <v>0</v>
      </c>
      <c r="I148" s="221"/>
      <c r="J148" s="221"/>
      <c r="K148" s="219">
        <f t="shared" si="3"/>
        <v>26.189999999999998</v>
      </c>
      <c r="L148" s="219">
        <v>20.86</v>
      </c>
      <c r="M148" s="219">
        <v>5.33</v>
      </c>
      <c r="N148" s="219">
        <v>157.71</v>
      </c>
      <c r="O148" s="219">
        <v>1.5</v>
      </c>
      <c r="P148" s="221"/>
      <c r="Q148" s="219"/>
      <c r="R148" s="219"/>
      <c r="S148" s="219"/>
      <c r="T148" s="221"/>
      <c r="U148" s="221"/>
      <c r="V148" s="221">
        <v>2</v>
      </c>
      <c r="W148" s="219">
        <v>4</v>
      </c>
      <c r="X148" s="219">
        <v>10</v>
      </c>
      <c r="Y148" s="219">
        <v>1</v>
      </c>
      <c r="Z148" s="221">
        <v>0</v>
      </c>
      <c r="AA148" s="220" t="s">
        <v>2474</v>
      </c>
    </row>
    <row r="149" spans="1:27" ht="16.5" customHeight="1" x14ac:dyDescent="0.3">
      <c r="A149" s="49"/>
      <c r="B149" s="54" t="str">
        <f ca="1">'Translation Table'!H1869</f>
        <v>Pump: Hydrocarbon Service (Driver: Recip Engine) (Fuel: Liquid)</v>
      </c>
      <c r="C149" s="54" t="str">
        <f ca="1">'Translation Table'!H1869</f>
        <v>Pump: Hydrocarbon Service (Driver: Recip Engine) (Fuel: Liquid)</v>
      </c>
      <c r="D149" s="219">
        <v>0</v>
      </c>
      <c r="E149" s="221">
        <v>0</v>
      </c>
      <c r="F149" s="221"/>
      <c r="G149" s="221"/>
      <c r="H149" s="221">
        <v>0</v>
      </c>
      <c r="I149" s="221"/>
      <c r="J149" s="221"/>
      <c r="K149" s="219">
        <f t="shared" si="3"/>
        <v>0</v>
      </c>
      <c r="L149" s="219">
        <v>0</v>
      </c>
      <c r="M149" s="219">
        <v>0</v>
      </c>
      <c r="N149" s="219">
        <v>0</v>
      </c>
      <c r="O149" s="219">
        <v>0</v>
      </c>
      <c r="P149" s="221"/>
      <c r="Q149" s="219"/>
      <c r="R149" s="219"/>
      <c r="S149" s="219"/>
      <c r="T149" s="221"/>
      <c r="U149" s="221"/>
      <c r="V149" s="221">
        <v>1</v>
      </c>
      <c r="W149" s="219">
        <v>4</v>
      </c>
      <c r="X149" s="219">
        <v>10</v>
      </c>
      <c r="Y149" s="219">
        <v>1</v>
      </c>
      <c r="Z149" s="221">
        <v>0</v>
      </c>
      <c r="AA149" s="220" t="s">
        <v>2474</v>
      </c>
    </row>
    <row r="150" spans="1:27" ht="16.5" customHeight="1" x14ac:dyDescent="0.3">
      <c r="A150" s="49"/>
      <c r="B150" s="130" t="str">
        <f ca="1">'Translation Table'!H1870</f>
        <v>Pump: Non-Hydrocarbon Service (Driver: Recip Engine) (Fuel: Gaseous)</v>
      </c>
      <c r="C150" s="54" t="str">
        <f ca="1">'Translation Table'!H1870</f>
        <v>Pump: Non-Hydrocarbon Service (Driver: Recip Engine) (Fuel: Gaseous)</v>
      </c>
      <c r="D150" s="219">
        <v>3.29</v>
      </c>
      <c r="E150" s="221">
        <v>1.76</v>
      </c>
      <c r="F150" s="221"/>
      <c r="G150" s="221"/>
      <c r="H150" s="221">
        <v>0</v>
      </c>
      <c r="I150" s="221"/>
      <c r="J150" s="221"/>
      <c r="K150" s="219">
        <f t="shared" si="3"/>
        <v>26.189999999999998</v>
      </c>
      <c r="L150" s="219">
        <v>20.86</v>
      </c>
      <c r="M150" s="219">
        <v>5.33</v>
      </c>
      <c r="N150" s="219">
        <v>157.71</v>
      </c>
      <c r="O150" s="219">
        <v>1.5</v>
      </c>
      <c r="P150" s="221"/>
      <c r="Q150" s="219"/>
      <c r="R150" s="219"/>
      <c r="S150" s="219"/>
      <c r="T150" s="221"/>
      <c r="U150" s="221"/>
      <c r="V150" s="221">
        <v>2</v>
      </c>
      <c r="W150" s="220">
        <v>0</v>
      </c>
      <c r="X150" s="220">
        <v>0</v>
      </c>
      <c r="Y150" s="220">
        <v>0</v>
      </c>
      <c r="Z150" s="221">
        <v>0</v>
      </c>
      <c r="AA150" s="220" t="s">
        <v>2474</v>
      </c>
    </row>
    <row r="151" spans="1:27" ht="16.5" customHeight="1" x14ac:dyDescent="0.3">
      <c r="A151" s="49"/>
      <c r="B151" s="54" t="str">
        <f ca="1">'Translation Table'!H1871</f>
        <v>Pump: Non-Hydrocarbon Service (Driver: Recip Engine) (Fuel: Gaseous)</v>
      </c>
      <c r="C151" s="54" t="str">
        <f ca="1">'Translation Table'!H1871</f>
        <v>Pump: Non-Hydrocarbon Service (Driver: Recip Engine) (Fuel: Gaseous)</v>
      </c>
      <c r="D151" s="219">
        <v>3.29</v>
      </c>
      <c r="E151" s="221">
        <v>1.76</v>
      </c>
      <c r="F151" s="221"/>
      <c r="G151" s="221"/>
      <c r="H151" s="221">
        <v>0</v>
      </c>
      <c r="I151" s="221"/>
      <c r="J151" s="221"/>
      <c r="K151" s="219">
        <f t="shared" si="3"/>
        <v>26.189999999999998</v>
      </c>
      <c r="L151" s="219">
        <v>20.86</v>
      </c>
      <c r="M151" s="219">
        <v>5.33</v>
      </c>
      <c r="N151" s="219">
        <v>157.71</v>
      </c>
      <c r="O151" s="219">
        <v>1.5</v>
      </c>
      <c r="P151" s="221"/>
      <c r="Q151" s="219"/>
      <c r="R151" s="219"/>
      <c r="S151" s="219"/>
      <c r="T151" s="221"/>
      <c r="U151" s="221"/>
      <c r="V151" s="221">
        <v>2</v>
      </c>
      <c r="W151" s="220">
        <v>0</v>
      </c>
      <c r="X151" s="220">
        <v>0</v>
      </c>
      <c r="Y151" s="220">
        <v>0</v>
      </c>
      <c r="Z151" s="221">
        <v>0</v>
      </c>
      <c r="AA151" s="220" t="s">
        <v>2474</v>
      </c>
    </row>
    <row r="152" spans="1:27" ht="16.5" customHeight="1" x14ac:dyDescent="0.3">
      <c r="A152" s="49"/>
      <c r="B152" s="130" t="str">
        <f ca="1">'Translation Table'!H1872</f>
        <v>Refrigeration (Propane)</v>
      </c>
      <c r="C152" s="54" t="str">
        <f ca="1">'Translation Table'!H1872</f>
        <v>Refrigeration (Propane)</v>
      </c>
      <c r="D152" s="219">
        <v>2</v>
      </c>
      <c r="E152" s="219">
        <v>0</v>
      </c>
      <c r="F152" s="219"/>
      <c r="G152" s="219"/>
      <c r="H152" s="219">
        <v>0</v>
      </c>
      <c r="I152" s="219"/>
      <c r="J152" s="219"/>
      <c r="K152" s="219">
        <f t="shared" si="3"/>
        <v>65</v>
      </c>
      <c r="L152" s="219">
        <v>65</v>
      </c>
      <c r="M152" s="219"/>
      <c r="N152" s="219">
        <v>170</v>
      </c>
      <c r="O152" s="219">
        <v>2</v>
      </c>
      <c r="P152" s="219"/>
      <c r="Q152" s="219"/>
      <c r="R152" s="219"/>
      <c r="S152" s="219"/>
      <c r="T152" s="219"/>
      <c r="U152" s="219"/>
      <c r="V152" s="219">
        <v>6</v>
      </c>
      <c r="W152" s="219">
        <v>13</v>
      </c>
      <c r="X152" s="219">
        <v>31</v>
      </c>
      <c r="Y152" s="219"/>
      <c r="Z152" s="219">
        <v>4</v>
      </c>
      <c r="AA152" s="194" t="s">
        <v>517</v>
      </c>
    </row>
    <row r="153" spans="1:27" ht="16.5" customHeight="1" x14ac:dyDescent="0.3">
      <c r="A153" s="49"/>
      <c r="B153" s="54" t="str">
        <f ca="1">'Translation Table'!H1873</f>
        <v>Separator: Filter Separator</v>
      </c>
      <c r="C153" s="54" t="str">
        <f ca="1">'Translation Table'!H1873</f>
        <v>Separator: Filter Separator</v>
      </c>
      <c r="D153" s="219">
        <v>0.5</v>
      </c>
      <c r="E153" s="219">
        <v>1.5</v>
      </c>
      <c r="F153" s="219"/>
      <c r="G153" s="219"/>
      <c r="H153" s="219">
        <v>0</v>
      </c>
      <c r="I153" s="219"/>
      <c r="J153" s="219"/>
      <c r="K153" s="219">
        <f t="shared" si="3"/>
        <v>14</v>
      </c>
      <c r="L153" s="219">
        <v>13</v>
      </c>
      <c r="M153" s="219">
        <v>1</v>
      </c>
      <c r="N153" s="219">
        <v>64</v>
      </c>
      <c r="O153" s="219">
        <v>0.5</v>
      </c>
      <c r="P153" s="219"/>
      <c r="Q153" s="219"/>
      <c r="R153" s="219"/>
      <c r="S153" s="219"/>
      <c r="T153" s="219"/>
      <c r="U153" s="219"/>
      <c r="V153" s="219">
        <v>2</v>
      </c>
      <c r="W153" s="219">
        <v>6</v>
      </c>
      <c r="X153" s="219">
        <v>19.5</v>
      </c>
      <c r="Y153" s="219">
        <v>0</v>
      </c>
      <c r="Z153" s="219">
        <v>1</v>
      </c>
      <c r="AA153" s="194" t="s">
        <v>2474</v>
      </c>
    </row>
    <row r="154" spans="1:27" ht="16.5" customHeight="1" x14ac:dyDescent="0.3">
      <c r="A154" s="49"/>
      <c r="B154" s="130" t="str">
        <f ca="1">'Translation Table'!H1874</f>
        <v>Separator: Horizontal (Phases: 2)</v>
      </c>
      <c r="C154" s="54" t="str">
        <f ca="1">'Translation Table'!H1874</f>
        <v>Separator: Horizontal (Phases: 2)</v>
      </c>
      <c r="D154" s="219">
        <v>1</v>
      </c>
      <c r="E154" s="219">
        <v>0</v>
      </c>
      <c r="F154" s="219"/>
      <c r="G154" s="219"/>
      <c r="H154" s="219">
        <v>0</v>
      </c>
      <c r="I154" s="219"/>
      <c r="J154" s="219"/>
      <c r="K154" s="219">
        <f t="shared" si="3"/>
        <v>12</v>
      </c>
      <c r="L154" s="219">
        <v>12</v>
      </c>
      <c r="M154" s="219">
        <v>0</v>
      </c>
      <c r="N154" s="219">
        <v>40</v>
      </c>
      <c r="O154" s="219">
        <v>2</v>
      </c>
      <c r="P154" s="219"/>
      <c r="Q154" s="219"/>
      <c r="R154" s="219"/>
      <c r="S154" s="219"/>
      <c r="T154" s="219"/>
      <c r="U154" s="219"/>
      <c r="V154" s="219">
        <v>2</v>
      </c>
      <c r="W154" s="219">
        <v>17</v>
      </c>
      <c r="X154" s="219">
        <v>58</v>
      </c>
      <c r="Y154" s="219"/>
      <c r="Z154" s="219">
        <v>1</v>
      </c>
      <c r="AA154" s="220" t="s">
        <v>517</v>
      </c>
    </row>
    <row r="155" spans="1:27" ht="16.5" customHeight="1" x14ac:dyDescent="0.3">
      <c r="A155" s="49"/>
      <c r="B155" s="54" t="str">
        <f ca="1">'Translation Table'!H1875</f>
        <v>Separator: Horizontal (Phases: 3)</v>
      </c>
      <c r="C155" s="54" t="str">
        <f ca="1">'Translation Table'!H1875</f>
        <v>Separator: Horizontal (Phases: 3)</v>
      </c>
      <c r="D155" s="219">
        <v>1</v>
      </c>
      <c r="E155" s="219">
        <v>0</v>
      </c>
      <c r="F155" s="219"/>
      <c r="G155" s="219"/>
      <c r="H155" s="219">
        <v>0</v>
      </c>
      <c r="I155" s="219"/>
      <c r="J155" s="219"/>
      <c r="K155" s="219">
        <f t="shared" si="3"/>
        <v>12</v>
      </c>
      <c r="L155" s="219">
        <v>12</v>
      </c>
      <c r="M155" s="219">
        <v>0</v>
      </c>
      <c r="N155" s="219">
        <v>40</v>
      </c>
      <c r="O155" s="219">
        <v>2</v>
      </c>
      <c r="P155" s="219"/>
      <c r="Q155" s="219"/>
      <c r="R155" s="219"/>
      <c r="S155" s="219"/>
      <c r="T155" s="219"/>
      <c r="U155" s="219"/>
      <c r="V155" s="219">
        <v>2</v>
      </c>
      <c r="W155" s="219">
        <v>17</v>
      </c>
      <c r="X155" s="219">
        <v>58</v>
      </c>
      <c r="Y155" s="219"/>
      <c r="Z155" s="219">
        <v>1</v>
      </c>
      <c r="AA155" s="220" t="s">
        <v>2474</v>
      </c>
    </row>
    <row r="156" spans="1:27" ht="16.5" customHeight="1" x14ac:dyDescent="0.3">
      <c r="A156" s="49"/>
      <c r="B156" s="130" t="str">
        <f ca="1">'Translation Table'!H1876</f>
        <v>Separator: Vertical (Phases: 2)</v>
      </c>
      <c r="C156" s="54" t="str">
        <f ca="1">'Translation Table'!H1876</f>
        <v>Separator: Vertical (Phases: 2)</v>
      </c>
      <c r="D156" s="219">
        <v>1</v>
      </c>
      <c r="E156" s="219">
        <v>0</v>
      </c>
      <c r="F156" s="219"/>
      <c r="G156" s="219"/>
      <c r="H156" s="219">
        <v>0</v>
      </c>
      <c r="I156" s="219"/>
      <c r="J156" s="219"/>
      <c r="K156" s="219">
        <f t="shared" si="3"/>
        <v>12</v>
      </c>
      <c r="L156" s="219">
        <v>12</v>
      </c>
      <c r="M156" s="219">
        <v>0</v>
      </c>
      <c r="N156" s="219">
        <v>40</v>
      </c>
      <c r="O156" s="219">
        <v>2</v>
      </c>
      <c r="P156" s="219"/>
      <c r="Q156" s="219"/>
      <c r="R156" s="219"/>
      <c r="S156" s="219"/>
      <c r="T156" s="219"/>
      <c r="U156" s="219"/>
      <c r="V156" s="219">
        <v>2</v>
      </c>
      <c r="W156" s="219">
        <v>17</v>
      </c>
      <c r="X156" s="219">
        <v>58</v>
      </c>
      <c r="Y156" s="219"/>
      <c r="Z156" s="219">
        <v>1</v>
      </c>
      <c r="AA156" s="220" t="s">
        <v>517</v>
      </c>
    </row>
    <row r="157" spans="1:27" ht="16.5" customHeight="1" x14ac:dyDescent="0.3">
      <c r="A157" s="49"/>
      <c r="B157" s="54" t="str">
        <f ca="1">'Translation Table'!H1877</f>
        <v>Separator: Vertical (Phases: 3)</v>
      </c>
      <c r="C157" s="54" t="str">
        <f ca="1">'Translation Table'!H1877</f>
        <v>Separator: Vertical (Phases: 3)</v>
      </c>
      <c r="D157" s="219">
        <v>1</v>
      </c>
      <c r="E157" s="219">
        <v>0</v>
      </c>
      <c r="F157" s="219"/>
      <c r="G157" s="219"/>
      <c r="H157" s="219">
        <v>0</v>
      </c>
      <c r="I157" s="219"/>
      <c r="J157" s="219"/>
      <c r="K157" s="219">
        <f t="shared" si="3"/>
        <v>12</v>
      </c>
      <c r="L157" s="219">
        <v>12</v>
      </c>
      <c r="M157" s="219">
        <v>0</v>
      </c>
      <c r="N157" s="219">
        <v>40</v>
      </c>
      <c r="O157" s="219">
        <v>2</v>
      </c>
      <c r="P157" s="219"/>
      <c r="Q157" s="219"/>
      <c r="R157" s="219"/>
      <c r="S157" s="219"/>
      <c r="T157" s="219"/>
      <c r="U157" s="219"/>
      <c r="V157" s="219">
        <v>2</v>
      </c>
      <c r="W157" s="219">
        <v>17</v>
      </c>
      <c r="X157" s="219">
        <v>58</v>
      </c>
      <c r="Y157" s="219"/>
      <c r="Z157" s="219">
        <v>1</v>
      </c>
      <c r="AA157" s="220" t="s">
        <v>2474</v>
      </c>
    </row>
    <row r="158" spans="1:27" ht="16.5" customHeight="1" x14ac:dyDescent="0.3">
      <c r="A158" s="49"/>
      <c r="B158" s="130" t="str">
        <f ca="1">'Translation Table'!H1878</f>
        <v>Stabilizer: with Reflux Loop</v>
      </c>
      <c r="C158" s="54" t="str">
        <f ca="1">'Translation Table'!H1878</f>
        <v>Stabilizer: with Reflux Loop</v>
      </c>
      <c r="D158" s="219">
        <v>3</v>
      </c>
      <c r="E158" s="219">
        <v>0</v>
      </c>
      <c r="F158" s="219"/>
      <c r="G158" s="219"/>
      <c r="H158" s="219">
        <v>0</v>
      </c>
      <c r="I158" s="219"/>
      <c r="J158" s="219"/>
      <c r="K158" s="219">
        <f t="shared" si="3"/>
        <v>20</v>
      </c>
      <c r="L158" s="219">
        <v>20</v>
      </c>
      <c r="M158" s="219"/>
      <c r="N158" s="219">
        <v>80</v>
      </c>
      <c r="O158" s="219">
        <v>2</v>
      </c>
      <c r="P158" s="219"/>
      <c r="Q158" s="219"/>
      <c r="R158" s="219"/>
      <c r="S158" s="219"/>
      <c r="T158" s="219"/>
      <c r="U158" s="219"/>
      <c r="V158" s="219">
        <v>4</v>
      </c>
      <c r="W158" s="219">
        <v>77</v>
      </c>
      <c r="X158" s="219">
        <v>247</v>
      </c>
      <c r="Y158" s="219"/>
      <c r="Z158" s="219">
        <v>1</v>
      </c>
      <c r="AA158" s="220" t="s">
        <v>517</v>
      </c>
    </row>
    <row r="159" spans="1:27" ht="16.5" customHeight="1" x14ac:dyDescent="0.3">
      <c r="A159" s="49"/>
      <c r="B159" s="54" t="str">
        <f ca="1">'Translation Table'!H1879</f>
        <v>Stabilizer: without Reflux Loop</v>
      </c>
      <c r="C159" s="54" t="str">
        <f ca="1">'Translation Table'!H1879</f>
        <v>Stabilizer: without Reflux Loop</v>
      </c>
      <c r="D159" s="219">
        <v>2</v>
      </c>
      <c r="E159" s="219">
        <v>0</v>
      </c>
      <c r="F159" s="219"/>
      <c r="G159" s="219"/>
      <c r="H159" s="219">
        <v>0</v>
      </c>
      <c r="I159" s="219"/>
      <c r="J159" s="219"/>
      <c r="K159" s="219">
        <f t="shared" si="3"/>
        <v>17</v>
      </c>
      <c r="L159" s="219">
        <v>17</v>
      </c>
      <c r="M159" s="219"/>
      <c r="N159" s="219">
        <v>74</v>
      </c>
      <c r="O159" s="219">
        <v>2</v>
      </c>
      <c r="P159" s="219"/>
      <c r="Q159" s="219"/>
      <c r="R159" s="219"/>
      <c r="S159" s="219"/>
      <c r="T159" s="219"/>
      <c r="U159" s="219"/>
      <c r="V159" s="219">
        <v>3</v>
      </c>
      <c r="W159" s="219">
        <v>74</v>
      </c>
      <c r="X159" s="219">
        <v>241</v>
      </c>
      <c r="Y159" s="219"/>
      <c r="Z159" s="219">
        <v>1</v>
      </c>
      <c r="AA159" s="220" t="s">
        <v>2474</v>
      </c>
    </row>
    <row r="160" spans="1:27" ht="16.5" customHeight="1" x14ac:dyDescent="0.3">
      <c r="A160" s="49"/>
      <c r="B160" s="130" t="str">
        <f ca="1">'Translation Table'!H1880</f>
        <v>Storage Tank (Produced Oil, with Vapor Control)</v>
      </c>
      <c r="C160" s="54" t="str">
        <f ca="1">'Translation Table'!H1880</f>
        <v>Storage Tank (Produced Oil, with Vapor Control)</v>
      </c>
      <c r="D160" s="219">
        <v>1</v>
      </c>
      <c r="E160" s="219">
        <v>0</v>
      </c>
      <c r="F160" s="219"/>
      <c r="G160" s="219"/>
      <c r="H160" s="219">
        <v>0</v>
      </c>
      <c r="I160" s="219"/>
      <c r="J160" s="219"/>
      <c r="K160" s="219">
        <f t="shared" si="3"/>
        <v>1</v>
      </c>
      <c r="L160" s="219">
        <v>1</v>
      </c>
      <c r="M160" s="219"/>
      <c r="N160" s="219">
        <v>2</v>
      </c>
      <c r="O160" s="219">
        <v>1</v>
      </c>
      <c r="P160" s="219"/>
      <c r="Q160" s="219"/>
      <c r="R160" s="219"/>
      <c r="S160" s="219"/>
      <c r="T160" s="219"/>
      <c r="U160" s="219"/>
      <c r="V160" s="219">
        <v>0</v>
      </c>
      <c r="W160" s="219">
        <v>10</v>
      </c>
      <c r="X160" s="219">
        <v>24</v>
      </c>
      <c r="Y160" s="219"/>
      <c r="Z160" s="219">
        <v>0</v>
      </c>
      <c r="AA160" s="220" t="s">
        <v>517</v>
      </c>
    </row>
    <row r="161" spans="1:27" ht="16.5" customHeight="1" x14ac:dyDescent="0.3">
      <c r="A161" s="49"/>
      <c r="B161" s="54" t="str">
        <f ca="1">'Translation Table'!H1881</f>
        <v>Storage Tank (Produced Oil, without Vapor Control)</v>
      </c>
      <c r="C161" s="54" t="str">
        <f ca="1">'Translation Table'!H1881</f>
        <v>Storage Tank (Produced Oil, without Vapor Control)</v>
      </c>
      <c r="D161" s="219">
        <v>0</v>
      </c>
      <c r="E161" s="219">
        <v>0</v>
      </c>
      <c r="F161" s="219"/>
      <c r="G161" s="219"/>
      <c r="H161" s="219">
        <v>0</v>
      </c>
      <c r="I161" s="219"/>
      <c r="J161" s="219"/>
      <c r="K161" s="219">
        <f t="shared" si="3"/>
        <v>0</v>
      </c>
      <c r="L161" s="219">
        <v>0</v>
      </c>
      <c r="M161" s="219"/>
      <c r="N161" s="219">
        <v>0</v>
      </c>
      <c r="O161" s="219">
        <v>0</v>
      </c>
      <c r="P161" s="219"/>
      <c r="Q161" s="219"/>
      <c r="R161" s="219"/>
      <c r="S161" s="219"/>
      <c r="T161" s="219"/>
      <c r="U161" s="219"/>
      <c r="V161" s="219">
        <v>0</v>
      </c>
      <c r="W161" s="219">
        <v>10</v>
      </c>
      <c r="X161" s="219">
        <v>24</v>
      </c>
      <c r="Y161" s="219"/>
      <c r="Z161" s="219">
        <v>0</v>
      </c>
      <c r="AA161" s="220" t="s">
        <v>517</v>
      </c>
    </row>
    <row r="162" spans="1:27" ht="16.5" customHeight="1" x14ac:dyDescent="0.3">
      <c r="A162" s="49"/>
      <c r="B162" s="130" t="str">
        <f ca="1">'Translation Table'!H1882</f>
        <v>Storage Tank (Produced Water, with Vapor Control)</v>
      </c>
      <c r="C162" s="54" t="str">
        <f ca="1">'Translation Table'!H1882</f>
        <v>Storage Tank (Produced Water, with Vapor Control)</v>
      </c>
      <c r="D162" s="219">
        <v>1</v>
      </c>
      <c r="E162" s="219">
        <v>0</v>
      </c>
      <c r="F162" s="219"/>
      <c r="G162" s="219"/>
      <c r="H162" s="219">
        <v>0</v>
      </c>
      <c r="I162" s="219"/>
      <c r="J162" s="219"/>
      <c r="K162" s="219">
        <f t="shared" si="3"/>
        <v>1</v>
      </c>
      <c r="L162" s="219">
        <v>1</v>
      </c>
      <c r="M162" s="219"/>
      <c r="N162" s="219">
        <v>2</v>
      </c>
      <c r="O162" s="219">
        <v>1</v>
      </c>
      <c r="P162" s="219"/>
      <c r="Q162" s="219"/>
      <c r="R162" s="219"/>
      <c r="S162" s="219"/>
      <c r="T162" s="219"/>
      <c r="U162" s="219"/>
      <c r="V162" s="219">
        <v>0</v>
      </c>
      <c r="W162" s="219">
        <v>10</v>
      </c>
      <c r="X162" s="219">
        <v>24</v>
      </c>
      <c r="Y162" s="219"/>
      <c r="Z162" s="219">
        <v>0</v>
      </c>
      <c r="AA162" s="220" t="s">
        <v>517</v>
      </c>
    </row>
    <row r="163" spans="1:27" ht="16.5" customHeight="1" x14ac:dyDescent="0.3">
      <c r="A163" s="49"/>
      <c r="B163" s="54" t="str">
        <f ca="1">'Translation Table'!H1883</f>
        <v>Storage Tank (Produced Water, without Vapor Control)</v>
      </c>
      <c r="C163" s="54" t="str">
        <f ca="1">'Translation Table'!H1883</f>
        <v>Storage Tank (Produced Water, without Vapor Control)</v>
      </c>
      <c r="D163" s="219">
        <v>0</v>
      </c>
      <c r="E163" s="219">
        <v>0</v>
      </c>
      <c r="F163" s="219"/>
      <c r="G163" s="219"/>
      <c r="H163" s="219">
        <v>0</v>
      </c>
      <c r="I163" s="219"/>
      <c r="J163" s="219"/>
      <c r="K163" s="219">
        <f t="shared" si="3"/>
        <v>0</v>
      </c>
      <c r="L163" s="219">
        <v>0</v>
      </c>
      <c r="M163" s="219"/>
      <c r="N163" s="219">
        <v>0</v>
      </c>
      <c r="O163" s="219">
        <v>0</v>
      </c>
      <c r="P163" s="219"/>
      <c r="Q163" s="219"/>
      <c r="R163" s="219"/>
      <c r="S163" s="219"/>
      <c r="T163" s="219"/>
      <c r="U163" s="219"/>
      <c r="V163" s="219">
        <v>0</v>
      </c>
      <c r="W163" s="219">
        <v>10</v>
      </c>
      <c r="X163" s="219">
        <v>24</v>
      </c>
      <c r="Y163" s="219"/>
      <c r="Z163" s="219">
        <v>0</v>
      </c>
      <c r="AA163" s="220" t="s">
        <v>517</v>
      </c>
    </row>
    <row r="164" spans="1:27" ht="16.5" customHeight="1" x14ac:dyDescent="0.3">
      <c r="A164" s="49"/>
      <c r="B164" s="130" t="str">
        <f ca="1">'Translation Table'!H1884</f>
        <v>Storage Tank: Chemicals with Natural Gas Blanketing)</v>
      </c>
      <c r="C164" s="54" t="str">
        <f ca="1">'Translation Table'!H1884</f>
        <v>Storage Tank: Chemicals with Natural Gas Blanketing)</v>
      </c>
      <c r="D164" s="219">
        <v>1</v>
      </c>
      <c r="E164" s="221">
        <v>0</v>
      </c>
      <c r="F164" s="221"/>
      <c r="G164" s="221"/>
      <c r="H164" s="221">
        <v>0</v>
      </c>
      <c r="I164" s="221"/>
      <c r="J164" s="221"/>
      <c r="K164" s="219">
        <f t="shared" si="3"/>
        <v>1</v>
      </c>
      <c r="L164" s="219">
        <v>1</v>
      </c>
      <c r="M164" s="219"/>
      <c r="N164" s="219">
        <v>2</v>
      </c>
      <c r="O164" s="219">
        <v>1</v>
      </c>
      <c r="P164" s="221"/>
      <c r="Q164" s="221"/>
      <c r="R164" s="221"/>
      <c r="S164" s="221"/>
      <c r="T164" s="221"/>
      <c r="U164" s="221"/>
      <c r="V164" s="221">
        <v>0</v>
      </c>
      <c r="W164" s="220">
        <v>0</v>
      </c>
      <c r="X164" s="220">
        <v>0</v>
      </c>
      <c r="Y164" s="220"/>
      <c r="Z164" s="221">
        <v>0</v>
      </c>
      <c r="AA164" s="691" t="s">
        <v>3413</v>
      </c>
    </row>
    <row r="165" spans="1:27" ht="16.5" customHeight="1" x14ac:dyDescent="0.3">
      <c r="A165" s="49"/>
      <c r="B165" s="54" t="str">
        <f ca="1">'Translation Table'!H1885</f>
        <v>Sulphur Recovery: Claus</v>
      </c>
      <c r="C165" s="54" t="str">
        <f ca="1">'Translation Table'!H1885</f>
        <v>Sulphur Recovery: Claus</v>
      </c>
      <c r="D165" s="219">
        <v>1</v>
      </c>
      <c r="E165" s="219">
        <v>0</v>
      </c>
      <c r="F165" s="219"/>
      <c r="G165" s="219"/>
      <c r="H165" s="219">
        <v>0</v>
      </c>
      <c r="I165" s="219"/>
      <c r="J165" s="219"/>
      <c r="K165" s="219">
        <f t="shared" si="3"/>
        <v>31</v>
      </c>
      <c r="L165" s="219">
        <v>31</v>
      </c>
      <c r="M165" s="219"/>
      <c r="N165" s="219">
        <v>134</v>
      </c>
      <c r="O165" s="219">
        <v>4</v>
      </c>
      <c r="P165" s="219"/>
      <c r="Q165" s="219"/>
      <c r="R165" s="219"/>
      <c r="S165" s="219"/>
      <c r="T165" s="219"/>
      <c r="U165" s="219"/>
      <c r="V165" s="219">
        <v>2</v>
      </c>
      <c r="W165" s="219">
        <v>7</v>
      </c>
      <c r="X165" s="219">
        <v>12</v>
      </c>
      <c r="Y165" s="219"/>
      <c r="Z165" s="219">
        <v>1</v>
      </c>
      <c r="AA165" s="220" t="s">
        <v>517</v>
      </c>
    </row>
    <row r="166" spans="1:27" ht="16.5" customHeight="1" x14ac:dyDescent="0.3">
      <c r="A166" s="49"/>
      <c r="B166" s="130" t="str">
        <f ca="1">'Translation Table'!H1886</f>
        <v>Sulphur Recovery: MCRC (Sub-dewpoint)</v>
      </c>
      <c r="C166" s="54" t="str">
        <f ca="1">'Translation Table'!H1886</f>
        <v>Sulphur Recovery: MCRC (Sub-dewpoint)</v>
      </c>
      <c r="D166" s="219">
        <v>1</v>
      </c>
      <c r="E166" s="219">
        <v>0</v>
      </c>
      <c r="F166" s="219"/>
      <c r="G166" s="219"/>
      <c r="H166" s="219">
        <v>0</v>
      </c>
      <c r="I166" s="219"/>
      <c r="J166" s="219"/>
      <c r="K166" s="219">
        <f t="shared" si="3"/>
        <v>31</v>
      </c>
      <c r="L166" s="219">
        <v>31</v>
      </c>
      <c r="M166" s="219"/>
      <c r="N166" s="219">
        <v>134</v>
      </c>
      <c r="O166" s="219">
        <v>4</v>
      </c>
      <c r="P166" s="219"/>
      <c r="Q166" s="219"/>
      <c r="R166" s="219"/>
      <c r="S166" s="219"/>
      <c r="T166" s="219"/>
      <c r="U166" s="219"/>
      <c r="V166" s="219">
        <v>2</v>
      </c>
      <c r="W166" s="219">
        <v>7</v>
      </c>
      <c r="X166" s="219">
        <v>12</v>
      </c>
      <c r="Y166" s="219"/>
      <c r="Z166" s="219">
        <v>1</v>
      </c>
      <c r="AA166" s="220" t="s">
        <v>517</v>
      </c>
    </row>
    <row r="167" spans="1:27" ht="16.5" customHeight="1" x14ac:dyDescent="0.3">
      <c r="A167" s="49"/>
      <c r="B167" s="54" t="str">
        <f ca="1">'Translation Table'!H1887</f>
        <v>Sweetening: (Physical Solvent)</v>
      </c>
      <c r="C167" s="54" t="str">
        <f ca="1">'Translation Table'!H1887</f>
        <v>Sweetening: (Physical Solvent)</v>
      </c>
      <c r="D167" s="219">
        <v>4</v>
      </c>
      <c r="E167" s="219">
        <v>0</v>
      </c>
      <c r="F167" s="219"/>
      <c r="G167" s="219"/>
      <c r="H167" s="219">
        <v>0</v>
      </c>
      <c r="I167" s="219"/>
      <c r="J167" s="219"/>
      <c r="K167" s="219">
        <f t="shared" si="3"/>
        <v>104</v>
      </c>
      <c r="L167" s="219">
        <v>104</v>
      </c>
      <c r="M167" s="219"/>
      <c r="N167" s="219">
        <v>248</v>
      </c>
      <c r="O167" s="219">
        <v>2</v>
      </c>
      <c r="P167" s="219"/>
      <c r="Q167" s="219"/>
      <c r="R167" s="219"/>
      <c r="S167" s="219"/>
      <c r="T167" s="219"/>
      <c r="U167" s="219"/>
      <c r="V167" s="219">
        <v>6</v>
      </c>
      <c r="W167" s="219">
        <v>26</v>
      </c>
      <c r="X167" s="219">
        <v>62</v>
      </c>
      <c r="Y167" s="219"/>
      <c r="Z167" s="219">
        <v>3</v>
      </c>
      <c r="AA167" s="220" t="s">
        <v>517</v>
      </c>
    </row>
    <row r="168" spans="1:27" ht="16.5" customHeight="1" x14ac:dyDescent="0.3">
      <c r="A168" s="49"/>
      <c r="B168" s="130" t="str">
        <f ca="1">'Translation Table'!H1888</f>
        <v>Sweetening: Chemsweet</v>
      </c>
      <c r="C168" s="54" t="str">
        <f ca="1">'Translation Table'!H1888</f>
        <v>Sweetening: Chemsweet</v>
      </c>
      <c r="D168" s="219">
        <v>8</v>
      </c>
      <c r="E168" s="219">
        <v>0</v>
      </c>
      <c r="F168" s="219"/>
      <c r="G168" s="219"/>
      <c r="H168" s="219">
        <v>0</v>
      </c>
      <c r="I168" s="219"/>
      <c r="J168" s="219"/>
      <c r="K168" s="219">
        <f t="shared" si="3"/>
        <v>63</v>
      </c>
      <c r="L168" s="219">
        <v>63</v>
      </c>
      <c r="M168" s="219"/>
      <c r="N168" s="219">
        <v>243</v>
      </c>
      <c r="O168" s="219">
        <v>2</v>
      </c>
      <c r="P168" s="219"/>
      <c r="Q168" s="219"/>
      <c r="R168" s="219"/>
      <c r="S168" s="219"/>
      <c r="T168" s="219"/>
      <c r="U168" s="219"/>
      <c r="V168" s="219">
        <v>6</v>
      </c>
      <c r="W168" s="219">
        <v>2</v>
      </c>
      <c r="X168" s="219">
        <v>0</v>
      </c>
      <c r="Y168" s="219"/>
      <c r="Z168" s="219">
        <v>3</v>
      </c>
      <c r="AA168" s="220" t="s">
        <v>517</v>
      </c>
    </row>
    <row r="169" spans="1:27" ht="16.5" customHeight="1" x14ac:dyDescent="0.3">
      <c r="A169" s="49"/>
      <c r="B169" s="54" t="str">
        <f ca="1">'Translation Table'!H1889</f>
        <v>Sweetening: DEA (Diethanolamine)</v>
      </c>
      <c r="C169" s="54" t="str">
        <f ca="1">'Translation Table'!H1889</f>
        <v>Sweetening: DEA (Diethanolamine)</v>
      </c>
      <c r="D169" s="219">
        <v>2</v>
      </c>
      <c r="E169" s="219">
        <v>3</v>
      </c>
      <c r="F169" s="219"/>
      <c r="G169" s="219"/>
      <c r="H169" s="219">
        <v>0</v>
      </c>
      <c r="I169" s="219"/>
      <c r="J169" s="219"/>
      <c r="K169" s="219">
        <f t="shared" si="3"/>
        <v>60</v>
      </c>
      <c r="L169" s="219">
        <v>60</v>
      </c>
      <c r="M169" s="219"/>
      <c r="N169" s="219">
        <v>702</v>
      </c>
      <c r="O169" s="219">
        <v>2</v>
      </c>
      <c r="P169" s="219"/>
      <c r="Q169" s="219"/>
      <c r="R169" s="219"/>
      <c r="S169" s="219"/>
      <c r="T169" s="219"/>
      <c r="U169" s="219"/>
      <c r="V169" s="219">
        <v>13</v>
      </c>
      <c r="W169" s="219">
        <v>1</v>
      </c>
      <c r="X169" s="219">
        <v>3</v>
      </c>
      <c r="Y169" s="219"/>
      <c r="Z169" s="219">
        <v>3</v>
      </c>
      <c r="AA169" s="220" t="s">
        <v>517</v>
      </c>
    </row>
    <row r="170" spans="1:27" ht="16.5" customHeight="1" x14ac:dyDescent="0.3">
      <c r="A170" s="49"/>
      <c r="B170" s="130" t="str">
        <f ca="1">'Translation Table'!H1890</f>
        <v>Sweetening: DGA (Diglycolamine)</v>
      </c>
      <c r="C170" s="54" t="str">
        <f ca="1">'Translation Table'!H1890</f>
        <v>Sweetening: DGA (Diglycolamine)</v>
      </c>
      <c r="D170" s="219">
        <v>2</v>
      </c>
      <c r="E170" s="219">
        <v>3</v>
      </c>
      <c r="F170" s="219"/>
      <c r="G170" s="219"/>
      <c r="H170" s="219">
        <v>0</v>
      </c>
      <c r="I170" s="219"/>
      <c r="J170" s="219"/>
      <c r="K170" s="219">
        <f t="shared" si="3"/>
        <v>60</v>
      </c>
      <c r="L170" s="219">
        <v>60</v>
      </c>
      <c r="M170" s="219"/>
      <c r="N170" s="219">
        <v>702</v>
      </c>
      <c r="O170" s="219">
        <v>2</v>
      </c>
      <c r="P170" s="219"/>
      <c r="Q170" s="219"/>
      <c r="R170" s="219"/>
      <c r="S170" s="219"/>
      <c r="T170" s="219"/>
      <c r="U170" s="219"/>
      <c r="V170" s="219">
        <v>13</v>
      </c>
      <c r="W170" s="219">
        <v>1</v>
      </c>
      <c r="X170" s="219">
        <v>3</v>
      </c>
      <c r="Y170" s="219"/>
      <c r="Z170" s="219">
        <v>3</v>
      </c>
      <c r="AA170" s="220" t="s">
        <v>517</v>
      </c>
    </row>
    <row r="171" spans="1:27" ht="16.5" customHeight="1" x14ac:dyDescent="0.3">
      <c r="A171" s="49"/>
      <c r="B171" s="54" t="str">
        <f ca="1">'Translation Table'!H1891</f>
        <v>Sweetening: Generic</v>
      </c>
      <c r="C171" s="54" t="str">
        <f ca="1">'Translation Table'!H1891</f>
        <v>Sweetening: Generic</v>
      </c>
      <c r="D171" s="219">
        <v>2</v>
      </c>
      <c r="E171" s="219">
        <v>3</v>
      </c>
      <c r="F171" s="219"/>
      <c r="G171" s="219"/>
      <c r="H171" s="219">
        <v>0</v>
      </c>
      <c r="I171" s="219"/>
      <c r="J171" s="219"/>
      <c r="K171" s="219">
        <f t="shared" si="3"/>
        <v>60</v>
      </c>
      <c r="L171" s="219">
        <v>60</v>
      </c>
      <c r="M171" s="219"/>
      <c r="N171" s="219">
        <v>702</v>
      </c>
      <c r="O171" s="219">
        <v>2</v>
      </c>
      <c r="P171" s="219"/>
      <c r="Q171" s="219"/>
      <c r="R171" s="219"/>
      <c r="S171" s="219"/>
      <c r="T171" s="219"/>
      <c r="U171" s="219"/>
      <c r="V171" s="219">
        <v>13</v>
      </c>
      <c r="W171" s="219">
        <v>1</v>
      </c>
      <c r="X171" s="219">
        <v>3</v>
      </c>
      <c r="Y171" s="219"/>
      <c r="Z171" s="219">
        <v>3</v>
      </c>
      <c r="AA171" s="220" t="s">
        <v>517</v>
      </c>
    </row>
    <row r="172" spans="1:27" ht="16.5" customHeight="1" x14ac:dyDescent="0.3">
      <c r="A172" s="49"/>
      <c r="B172" s="130" t="str">
        <f ca="1">'Translation Table'!H1892</f>
        <v>Sweetening: Iron Sponge</v>
      </c>
      <c r="C172" s="54" t="str">
        <f ca="1">'Translation Table'!H1892</f>
        <v>Sweetening: Iron Sponge</v>
      </c>
      <c r="D172" s="219">
        <v>1</v>
      </c>
      <c r="E172" s="219">
        <v>0</v>
      </c>
      <c r="F172" s="219"/>
      <c r="G172" s="219"/>
      <c r="H172" s="219">
        <v>0</v>
      </c>
      <c r="I172" s="219"/>
      <c r="J172" s="219"/>
      <c r="K172" s="219">
        <f t="shared" si="3"/>
        <v>31</v>
      </c>
      <c r="L172" s="219">
        <v>31</v>
      </c>
      <c r="M172" s="219"/>
      <c r="N172" s="219">
        <v>134</v>
      </c>
      <c r="O172" s="219">
        <v>2</v>
      </c>
      <c r="P172" s="219"/>
      <c r="Q172" s="219"/>
      <c r="R172" s="219"/>
      <c r="S172" s="219"/>
      <c r="T172" s="219"/>
      <c r="U172" s="219"/>
      <c r="V172" s="219">
        <v>2</v>
      </c>
      <c r="W172" s="219">
        <v>7</v>
      </c>
      <c r="X172" s="219">
        <v>12</v>
      </c>
      <c r="Y172" s="219"/>
      <c r="Z172" s="219">
        <v>3</v>
      </c>
      <c r="AA172" s="220" t="s">
        <v>517</v>
      </c>
    </row>
    <row r="173" spans="1:27" ht="16.5" customHeight="1" x14ac:dyDescent="0.3">
      <c r="A173" s="49"/>
      <c r="B173" s="54" t="str">
        <f ca="1">'Translation Table'!H1893</f>
        <v>Sweetening: LoCat</v>
      </c>
      <c r="C173" s="54" t="str">
        <f ca="1">'Translation Table'!H1893</f>
        <v>Sweetening: LoCat</v>
      </c>
      <c r="D173" s="219">
        <v>1</v>
      </c>
      <c r="E173" s="219">
        <v>0</v>
      </c>
      <c r="F173" s="219"/>
      <c r="G173" s="219"/>
      <c r="H173" s="219">
        <v>0</v>
      </c>
      <c r="I173" s="219"/>
      <c r="J173" s="219"/>
      <c r="K173" s="219">
        <f t="shared" si="3"/>
        <v>24</v>
      </c>
      <c r="L173" s="219">
        <v>24</v>
      </c>
      <c r="M173" s="219"/>
      <c r="N173" s="219">
        <v>100</v>
      </c>
      <c r="O173" s="219">
        <v>2</v>
      </c>
      <c r="P173" s="219"/>
      <c r="Q173" s="219"/>
      <c r="R173" s="219"/>
      <c r="S173" s="219"/>
      <c r="T173" s="219"/>
      <c r="U173" s="219"/>
      <c r="V173" s="219">
        <v>2</v>
      </c>
      <c r="W173" s="219">
        <v>7</v>
      </c>
      <c r="X173" s="219">
        <v>14</v>
      </c>
      <c r="Y173" s="219"/>
      <c r="Z173" s="219">
        <v>3</v>
      </c>
      <c r="AA173" s="220" t="s">
        <v>517</v>
      </c>
    </row>
    <row r="174" spans="1:27" ht="16.5" customHeight="1" x14ac:dyDescent="0.3">
      <c r="A174" s="49"/>
      <c r="B174" s="130" t="str">
        <f ca="1">'Translation Table'!H1894</f>
        <v>Sweetening: MDEA (Monodiethanolamine)</v>
      </c>
      <c r="C174" s="54" t="str">
        <f ca="1">'Translation Table'!H1894</f>
        <v>Sweetening: MDEA (Monodiethanolamine)</v>
      </c>
      <c r="D174" s="219">
        <v>2</v>
      </c>
      <c r="E174" s="219">
        <v>3</v>
      </c>
      <c r="F174" s="219"/>
      <c r="G174" s="219"/>
      <c r="H174" s="219">
        <v>0</v>
      </c>
      <c r="I174" s="219"/>
      <c r="J174" s="219"/>
      <c r="K174" s="219">
        <f t="shared" si="3"/>
        <v>60</v>
      </c>
      <c r="L174" s="219">
        <v>60</v>
      </c>
      <c r="M174" s="219"/>
      <c r="N174" s="219">
        <v>702</v>
      </c>
      <c r="O174" s="219">
        <v>2</v>
      </c>
      <c r="P174" s="219"/>
      <c r="Q174" s="219"/>
      <c r="R174" s="219"/>
      <c r="S174" s="219"/>
      <c r="T174" s="219"/>
      <c r="U174" s="219"/>
      <c r="V174" s="219">
        <v>13</v>
      </c>
      <c r="W174" s="219">
        <v>1</v>
      </c>
      <c r="X174" s="219">
        <v>3</v>
      </c>
      <c r="Y174" s="219"/>
      <c r="Z174" s="219">
        <v>3</v>
      </c>
      <c r="AA174" s="220" t="s">
        <v>517</v>
      </c>
    </row>
    <row r="175" spans="1:27" ht="16.5" customHeight="1" x14ac:dyDescent="0.3">
      <c r="A175" s="49"/>
      <c r="B175" s="54" t="str">
        <f ca="1">'Translation Table'!H1895</f>
        <v>Sweetening: MEA (Monoethanolamine)</v>
      </c>
      <c r="C175" s="54" t="str">
        <f ca="1">'Translation Table'!H1895</f>
        <v>Sweetening: MEA (Monoethanolamine)</v>
      </c>
      <c r="D175" s="219">
        <v>2</v>
      </c>
      <c r="E175" s="219">
        <v>3</v>
      </c>
      <c r="F175" s="219"/>
      <c r="G175" s="219"/>
      <c r="H175" s="219">
        <v>0</v>
      </c>
      <c r="I175" s="219"/>
      <c r="J175" s="219"/>
      <c r="K175" s="219">
        <f t="shared" si="3"/>
        <v>60</v>
      </c>
      <c r="L175" s="219">
        <v>60</v>
      </c>
      <c r="M175" s="219"/>
      <c r="N175" s="219">
        <v>702</v>
      </c>
      <c r="O175" s="219">
        <v>2</v>
      </c>
      <c r="P175" s="219"/>
      <c r="Q175" s="219"/>
      <c r="R175" s="219"/>
      <c r="S175" s="219"/>
      <c r="T175" s="219"/>
      <c r="U175" s="219"/>
      <c r="V175" s="219">
        <v>13</v>
      </c>
      <c r="W175" s="219">
        <v>1</v>
      </c>
      <c r="X175" s="219">
        <v>3</v>
      </c>
      <c r="Y175" s="219"/>
      <c r="Z175" s="219">
        <v>3</v>
      </c>
      <c r="AA175" s="220" t="s">
        <v>517</v>
      </c>
    </row>
    <row r="176" spans="1:27" ht="16.5" customHeight="1" x14ac:dyDescent="0.3">
      <c r="A176" s="49"/>
      <c r="B176" s="130" t="str">
        <f ca="1">'Translation Table'!H1896</f>
        <v>Sweetening: Selexol</v>
      </c>
      <c r="C176" s="54" t="str">
        <f ca="1">'Translation Table'!H1896</f>
        <v>Sweetening: Selexol</v>
      </c>
      <c r="D176" s="219">
        <v>4</v>
      </c>
      <c r="E176" s="219">
        <v>0</v>
      </c>
      <c r="F176" s="219"/>
      <c r="G176" s="219"/>
      <c r="H176" s="219">
        <v>0</v>
      </c>
      <c r="I176" s="219"/>
      <c r="J176" s="219"/>
      <c r="K176" s="219">
        <f t="shared" si="3"/>
        <v>104</v>
      </c>
      <c r="L176" s="219">
        <v>104</v>
      </c>
      <c r="M176" s="219"/>
      <c r="N176" s="219">
        <v>248</v>
      </c>
      <c r="O176" s="219">
        <v>2</v>
      </c>
      <c r="P176" s="219"/>
      <c r="Q176" s="219"/>
      <c r="R176" s="219"/>
      <c r="S176" s="219"/>
      <c r="T176" s="219"/>
      <c r="U176" s="219"/>
      <c r="V176" s="219">
        <v>6</v>
      </c>
      <c r="W176" s="219">
        <v>26</v>
      </c>
      <c r="X176" s="219">
        <v>62</v>
      </c>
      <c r="Y176" s="219"/>
      <c r="Z176" s="219">
        <v>3</v>
      </c>
      <c r="AA176" s="220" t="s">
        <v>517</v>
      </c>
    </row>
    <row r="177" spans="1:29" ht="16.5" customHeight="1" x14ac:dyDescent="0.3">
      <c r="A177" s="49"/>
      <c r="B177" s="54" t="str">
        <f ca="1">'Translation Table'!H1897</f>
        <v>Sweetening: Sulfacheck</v>
      </c>
      <c r="C177" s="54" t="str">
        <f ca="1">'Translation Table'!H1897</f>
        <v>Sweetening: Sulfacheck</v>
      </c>
      <c r="D177" s="219">
        <v>2</v>
      </c>
      <c r="E177" s="219">
        <v>3</v>
      </c>
      <c r="F177" s="219"/>
      <c r="G177" s="219"/>
      <c r="H177" s="219">
        <v>0</v>
      </c>
      <c r="I177" s="219"/>
      <c r="J177" s="219"/>
      <c r="K177" s="219">
        <f t="shared" si="3"/>
        <v>60</v>
      </c>
      <c r="L177" s="219">
        <v>60</v>
      </c>
      <c r="M177" s="219"/>
      <c r="N177" s="219">
        <v>702</v>
      </c>
      <c r="O177" s="219">
        <v>2</v>
      </c>
      <c r="P177" s="219"/>
      <c r="Q177" s="219"/>
      <c r="R177" s="219"/>
      <c r="S177" s="219"/>
      <c r="T177" s="219"/>
      <c r="U177" s="219"/>
      <c r="V177" s="219">
        <v>13</v>
      </c>
      <c r="W177" s="219">
        <v>1</v>
      </c>
      <c r="X177" s="219">
        <v>3</v>
      </c>
      <c r="Y177" s="219"/>
      <c r="Z177" s="219">
        <v>3</v>
      </c>
      <c r="AA177" s="220" t="s">
        <v>517</v>
      </c>
    </row>
    <row r="178" spans="1:29" ht="16.5" customHeight="1" x14ac:dyDescent="0.3">
      <c r="A178" s="49"/>
      <c r="B178" s="130" t="str">
        <f ca="1">'Translation Table'!H1898</f>
        <v>Sweetening: Sulfinol</v>
      </c>
      <c r="C178" s="54" t="str">
        <f ca="1">'Translation Table'!H1898</f>
        <v>Sweetening: Sulfinol</v>
      </c>
      <c r="D178" s="219">
        <v>2</v>
      </c>
      <c r="E178" s="219">
        <v>3</v>
      </c>
      <c r="F178" s="219"/>
      <c r="G178" s="219"/>
      <c r="H178" s="219">
        <v>0</v>
      </c>
      <c r="I178" s="219"/>
      <c r="J178" s="219"/>
      <c r="K178" s="219">
        <f t="shared" si="3"/>
        <v>60</v>
      </c>
      <c r="L178" s="219">
        <v>60</v>
      </c>
      <c r="M178" s="219"/>
      <c r="N178" s="219">
        <v>702</v>
      </c>
      <c r="O178" s="219">
        <v>2</v>
      </c>
      <c r="P178" s="219"/>
      <c r="Q178" s="219"/>
      <c r="R178" s="219"/>
      <c r="S178" s="219"/>
      <c r="T178" s="219"/>
      <c r="U178" s="219"/>
      <c r="V178" s="219">
        <v>12</v>
      </c>
      <c r="W178" s="219">
        <v>1</v>
      </c>
      <c r="X178" s="219">
        <v>3</v>
      </c>
      <c r="Y178" s="219"/>
      <c r="Z178" s="219">
        <v>3</v>
      </c>
      <c r="AA178" s="220" t="s">
        <v>517</v>
      </c>
    </row>
    <row r="179" spans="1:29" ht="16.5" customHeight="1" x14ac:dyDescent="0.3">
      <c r="A179" s="49"/>
      <c r="B179" s="54" t="str">
        <f ca="1">'Translation Table'!H1899</f>
        <v>Vapor Recovery Unit: Offshore</v>
      </c>
      <c r="C179" s="54" t="str">
        <f ca="1">'Translation Table'!H1899</f>
        <v>Vapor Recovery Unit: Offshore</v>
      </c>
      <c r="D179" s="219">
        <v>1</v>
      </c>
      <c r="E179" s="219">
        <v>8</v>
      </c>
      <c r="F179" s="219"/>
      <c r="G179" s="219"/>
      <c r="H179" s="219">
        <v>0</v>
      </c>
      <c r="I179" s="219"/>
      <c r="J179" s="219"/>
      <c r="K179" s="219">
        <f t="shared" si="3"/>
        <v>41</v>
      </c>
      <c r="L179" s="219">
        <v>41</v>
      </c>
      <c r="M179" s="219"/>
      <c r="N179" s="219">
        <v>162</v>
      </c>
      <c r="O179" s="219">
        <v>2</v>
      </c>
      <c r="P179" s="219"/>
      <c r="Q179" s="219"/>
      <c r="R179" s="219"/>
      <c r="S179" s="219"/>
      <c r="T179" s="219"/>
      <c r="U179" s="219"/>
      <c r="V179" s="219">
        <v>1</v>
      </c>
      <c r="W179" s="219">
        <v>0</v>
      </c>
      <c r="X179" s="219">
        <v>0</v>
      </c>
      <c r="Y179" s="219"/>
      <c r="Z179" s="219">
        <v>1</v>
      </c>
      <c r="AA179" s="220" t="s">
        <v>2081</v>
      </c>
    </row>
    <row r="180" spans="1:29" ht="16.5" customHeight="1" x14ac:dyDescent="0.3">
      <c r="A180" s="49"/>
      <c r="B180" s="130" t="str">
        <f ca="1">'Translation Table'!H1900</f>
        <v>Vapor Recovery Unit: Onshore</v>
      </c>
      <c r="C180" s="54" t="str">
        <f ca="1">'Translation Table'!H1900</f>
        <v>Vapor Recovery Unit: Onshore</v>
      </c>
      <c r="D180" s="219">
        <v>1</v>
      </c>
      <c r="E180" s="219">
        <v>3</v>
      </c>
      <c r="F180" s="219"/>
      <c r="G180" s="219"/>
      <c r="H180" s="219">
        <v>0</v>
      </c>
      <c r="I180" s="219"/>
      <c r="J180" s="219"/>
      <c r="K180" s="219">
        <f t="shared" si="3"/>
        <v>10</v>
      </c>
      <c r="L180" s="219">
        <v>10</v>
      </c>
      <c r="M180" s="219"/>
      <c r="N180" s="219">
        <v>78</v>
      </c>
      <c r="O180" s="219">
        <v>2</v>
      </c>
      <c r="P180" s="219"/>
      <c r="Q180" s="219"/>
      <c r="R180" s="219"/>
      <c r="S180" s="219"/>
      <c r="T180" s="219"/>
      <c r="U180" s="219"/>
      <c r="V180" s="219">
        <v>1</v>
      </c>
      <c r="W180" s="219">
        <v>0</v>
      </c>
      <c r="X180" s="219">
        <v>0</v>
      </c>
      <c r="Y180" s="219"/>
      <c r="Z180" s="219">
        <v>1</v>
      </c>
      <c r="AA180" s="220" t="s">
        <v>2081</v>
      </c>
    </row>
    <row r="181" spans="1:29" ht="16.5" customHeight="1" x14ac:dyDescent="0.3">
      <c r="A181" s="49"/>
      <c r="B181" s="54" t="str">
        <f ca="1">'Translation Table'!H1901</f>
        <v>Well: Offshore</v>
      </c>
      <c r="C181" s="54" t="str">
        <f ca="1">'Translation Table'!H1901</f>
        <v>Well: Offshore</v>
      </c>
      <c r="D181" s="219">
        <v>0</v>
      </c>
      <c r="E181" s="219">
        <v>3</v>
      </c>
      <c r="F181" s="219"/>
      <c r="G181" s="219"/>
      <c r="H181" s="219">
        <v>0</v>
      </c>
      <c r="I181" s="219"/>
      <c r="J181" s="219"/>
      <c r="K181" s="219">
        <f t="shared" si="3"/>
        <v>16</v>
      </c>
      <c r="L181" s="219">
        <v>16</v>
      </c>
      <c r="M181" s="219"/>
      <c r="N181" s="219">
        <v>60</v>
      </c>
      <c r="O181" s="219">
        <v>2</v>
      </c>
      <c r="P181" s="219"/>
      <c r="Q181" s="219"/>
      <c r="R181" s="219"/>
      <c r="S181" s="219"/>
      <c r="T181" s="219"/>
      <c r="U181" s="219"/>
      <c r="V181" s="219">
        <v>1</v>
      </c>
      <c r="W181" s="219">
        <v>0</v>
      </c>
      <c r="X181" s="219">
        <v>0</v>
      </c>
      <c r="Y181" s="219"/>
      <c r="Z181" s="219">
        <v>0</v>
      </c>
      <c r="AA181" s="220" t="s">
        <v>2474</v>
      </c>
    </row>
    <row r="182" spans="1:29" ht="16.5" customHeight="1" x14ac:dyDescent="0.3">
      <c r="A182" s="49" t="str">
        <f ca="1">'Translation Table'!H1719</f>
        <v>Onshore Oil Production</v>
      </c>
      <c r="B182" s="130" t="str">
        <f ca="1">'Translation Table'!H1902</f>
        <v>Blowdown System: Generic (Pit or Vent)</v>
      </c>
      <c r="C182" s="54" t="str">
        <f ca="1">'Translation Table'!H1902</f>
        <v>Blowdown System: Generic (Pit or Vent)</v>
      </c>
      <c r="D182" s="219">
        <v>0</v>
      </c>
      <c r="E182" s="221">
        <v>0</v>
      </c>
      <c r="F182" s="221"/>
      <c r="G182" s="221"/>
      <c r="H182" s="221">
        <v>1</v>
      </c>
      <c r="I182" s="221"/>
      <c r="J182" s="221"/>
      <c r="K182" s="219">
        <f t="shared" si="3"/>
        <v>2</v>
      </c>
      <c r="L182" s="219">
        <v>1</v>
      </c>
      <c r="M182" s="219">
        <v>1</v>
      </c>
      <c r="N182" s="219">
        <v>2</v>
      </c>
      <c r="O182" s="219"/>
      <c r="P182" s="221"/>
      <c r="Q182" s="221"/>
      <c r="R182" s="221"/>
      <c r="S182" s="221"/>
      <c r="T182" s="221"/>
      <c r="U182" s="221"/>
      <c r="V182" s="221">
        <v>1</v>
      </c>
      <c r="W182" s="220"/>
      <c r="X182" s="220"/>
      <c r="Y182" s="220"/>
      <c r="Z182" s="221">
        <v>0</v>
      </c>
      <c r="AA182" s="220" t="s">
        <v>2474</v>
      </c>
      <c r="AC182" s="46">
        <v>0</v>
      </c>
    </row>
    <row r="183" spans="1:29" ht="16.5" customHeight="1" x14ac:dyDescent="0.3">
      <c r="A183" s="49"/>
      <c r="B183" s="54" t="str">
        <f ca="1">'Translation Table'!H1903</f>
        <v>Aerial Cooler: Natural Gas Service</v>
      </c>
      <c r="C183" s="54" t="str">
        <f ca="1">'Translation Table'!H1903</f>
        <v>Aerial Cooler: Natural Gas Service</v>
      </c>
      <c r="D183" s="219">
        <v>0</v>
      </c>
      <c r="E183" s="219">
        <v>0</v>
      </c>
      <c r="F183" s="219"/>
      <c r="G183" s="219"/>
      <c r="H183" s="219">
        <v>0</v>
      </c>
      <c r="I183" s="219"/>
      <c r="J183" s="219"/>
      <c r="K183" s="219">
        <f t="shared" si="3"/>
        <v>4</v>
      </c>
      <c r="L183" s="219">
        <v>4</v>
      </c>
      <c r="M183" s="219"/>
      <c r="N183" s="219">
        <v>428</v>
      </c>
      <c r="O183" s="219"/>
      <c r="P183" s="219"/>
      <c r="Q183" s="219"/>
      <c r="R183" s="219"/>
      <c r="S183" s="219"/>
      <c r="T183" s="219"/>
      <c r="U183" s="219"/>
      <c r="V183" s="219">
        <v>1</v>
      </c>
      <c r="W183" s="219"/>
      <c r="X183" s="219"/>
      <c r="Y183" s="219"/>
      <c r="Z183" s="219">
        <v>0</v>
      </c>
      <c r="AA183" s="220" t="s">
        <v>2474</v>
      </c>
    </row>
    <row r="184" spans="1:29" ht="16.5" customHeight="1" x14ac:dyDescent="0.3">
      <c r="A184" s="49"/>
      <c r="B184" s="130" t="str">
        <f ca="1">'Translation Table'!H1904</f>
        <v>Aerial Cooler: Hydrocarbon Liquid Service</v>
      </c>
      <c r="C184" s="54" t="str">
        <f ca="1">'Translation Table'!H1904</f>
        <v>Aerial Cooler: Hydrocarbon Liquid Service</v>
      </c>
      <c r="D184" s="219">
        <v>0</v>
      </c>
      <c r="E184" s="219">
        <v>0</v>
      </c>
      <c r="F184" s="219"/>
      <c r="G184" s="219"/>
      <c r="H184" s="219">
        <v>0</v>
      </c>
      <c r="I184" s="219"/>
      <c r="J184" s="219"/>
      <c r="K184" s="219">
        <f t="shared" si="3"/>
        <v>0</v>
      </c>
      <c r="L184" s="219"/>
      <c r="M184" s="219"/>
      <c r="N184" s="219"/>
      <c r="O184" s="219"/>
      <c r="P184" s="219"/>
      <c r="Q184" s="219"/>
      <c r="R184" s="219"/>
      <c r="S184" s="219"/>
      <c r="T184" s="219"/>
      <c r="U184" s="219"/>
      <c r="V184" s="219">
        <v>1</v>
      </c>
      <c r="W184" s="219">
        <v>4</v>
      </c>
      <c r="X184" s="219">
        <v>428</v>
      </c>
      <c r="Y184" s="219"/>
      <c r="Z184" s="219">
        <v>0</v>
      </c>
      <c r="AA184" s="220" t="s">
        <v>2474</v>
      </c>
    </row>
    <row r="185" spans="1:29" ht="16.5" customHeight="1" x14ac:dyDescent="0.3">
      <c r="A185" s="49"/>
      <c r="B185" s="54" t="str">
        <f ca="1">'Translation Table'!H1905</f>
        <v>Chemical Injection Pump: Pneumatic (Diaphragm Type)</v>
      </c>
      <c r="C185" s="54" t="str">
        <f ca="1">'Translation Table'!H1905</f>
        <v>Chemical Injection Pump: Pneumatic (Diaphragm Type)</v>
      </c>
      <c r="D185" s="219">
        <v>0</v>
      </c>
      <c r="E185" s="221">
        <v>1</v>
      </c>
      <c r="F185" s="221"/>
      <c r="G185" s="221"/>
      <c r="H185" s="221">
        <v>0</v>
      </c>
      <c r="I185" s="221"/>
      <c r="J185" s="221"/>
      <c r="K185" s="219">
        <f t="shared" si="3"/>
        <v>1</v>
      </c>
      <c r="L185" s="219">
        <v>1</v>
      </c>
      <c r="M185" s="219">
        <v>0</v>
      </c>
      <c r="N185" s="219">
        <v>6</v>
      </c>
      <c r="O185" s="219">
        <v>1</v>
      </c>
      <c r="P185" s="221"/>
      <c r="Q185" s="221"/>
      <c r="R185" s="221"/>
      <c r="S185" s="221"/>
      <c r="T185" s="221"/>
      <c r="U185" s="221"/>
      <c r="V185" s="221">
        <v>0</v>
      </c>
      <c r="W185" s="220">
        <v>0</v>
      </c>
      <c r="X185" s="220">
        <v>0</v>
      </c>
      <c r="Y185" s="220"/>
      <c r="Z185" s="221">
        <v>0</v>
      </c>
      <c r="AA185" s="220" t="s">
        <v>269</v>
      </c>
      <c r="AC185" s="46">
        <v>0</v>
      </c>
    </row>
    <row r="186" spans="1:29" ht="16.5" customHeight="1" x14ac:dyDescent="0.3">
      <c r="A186" s="49"/>
      <c r="B186" s="130" t="str">
        <f ca="1">'Translation Table'!H1906</f>
        <v>Chemical Injection Pump: Pneumatic (Piston Type)</v>
      </c>
      <c r="C186" s="54" t="str">
        <f ca="1">'Translation Table'!H1906</f>
        <v>Chemical Injection Pump: Pneumatic (Piston Type)</v>
      </c>
      <c r="D186" s="219">
        <v>0</v>
      </c>
      <c r="E186" s="221">
        <v>1</v>
      </c>
      <c r="F186" s="221"/>
      <c r="G186" s="221"/>
      <c r="H186" s="221">
        <v>0</v>
      </c>
      <c r="I186" s="221"/>
      <c r="J186" s="221"/>
      <c r="K186" s="219">
        <f t="shared" si="3"/>
        <v>1</v>
      </c>
      <c r="L186" s="219">
        <v>1</v>
      </c>
      <c r="M186" s="219"/>
      <c r="N186" s="219">
        <v>6</v>
      </c>
      <c r="O186" s="219">
        <v>1</v>
      </c>
      <c r="P186" s="221"/>
      <c r="Q186" s="221"/>
      <c r="R186" s="221"/>
      <c r="S186" s="221"/>
      <c r="T186" s="221"/>
      <c r="U186" s="221"/>
      <c r="V186" s="221">
        <v>0</v>
      </c>
      <c r="W186" s="220">
        <v>0</v>
      </c>
      <c r="X186" s="220">
        <v>0</v>
      </c>
      <c r="Y186" s="220"/>
      <c r="Z186" s="221">
        <v>0</v>
      </c>
      <c r="AA186" s="220" t="s">
        <v>269</v>
      </c>
      <c r="AC186" s="46">
        <v>0</v>
      </c>
    </row>
    <row r="187" spans="1:29" ht="16.5" customHeight="1" x14ac:dyDescent="0.3">
      <c r="A187" s="49"/>
      <c r="B187" s="54" t="str">
        <f ca="1">'Translation Table'!H1907</f>
        <v>Chemical Injection Pump: Pneumatic (Unknown Type)</v>
      </c>
      <c r="C187" s="54" t="str">
        <f ca="1">'Translation Table'!H1907</f>
        <v>Chemical Injection Pump: Pneumatic (Unknown Type)</v>
      </c>
      <c r="D187" s="219">
        <v>0</v>
      </c>
      <c r="E187" s="221">
        <v>1</v>
      </c>
      <c r="F187" s="221"/>
      <c r="G187" s="221"/>
      <c r="H187" s="221">
        <v>0</v>
      </c>
      <c r="I187" s="221"/>
      <c r="J187" s="221"/>
      <c r="K187" s="219">
        <f t="shared" si="3"/>
        <v>1</v>
      </c>
      <c r="L187" s="219">
        <v>1</v>
      </c>
      <c r="M187" s="219"/>
      <c r="N187" s="219">
        <v>6</v>
      </c>
      <c r="O187" s="219">
        <v>1</v>
      </c>
      <c r="P187" s="221"/>
      <c r="Q187" s="221"/>
      <c r="R187" s="221"/>
      <c r="S187" s="221"/>
      <c r="T187" s="221"/>
      <c r="U187" s="221"/>
      <c r="V187" s="221">
        <v>0</v>
      </c>
      <c r="W187" s="220">
        <v>0</v>
      </c>
      <c r="X187" s="220">
        <v>0</v>
      </c>
      <c r="Y187" s="220"/>
      <c r="Z187" s="221">
        <v>0</v>
      </c>
      <c r="AA187" s="220" t="s">
        <v>269</v>
      </c>
      <c r="AC187" s="46">
        <v>0</v>
      </c>
    </row>
    <row r="188" spans="1:29" ht="16.5" customHeight="1" x14ac:dyDescent="0.3">
      <c r="A188" s="49"/>
      <c r="B188" s="130" t="str">
        <f ca="1">'Translation Table'!H1908</f>
        <v>Compressor: Centrifugal: (Stages: 1) (Seals: Wet) (Driver: Electric Motor)</v>
      </c>
      <c r="C188" s="54" t="str">
        <f ca="1">'Translation Table'!H1908</f>
        <v>Compressor: Centrifugal: (Stages: 1) (Seals: Wet) (Driver: Electric Motor)</v>
      </c>
      <c r="D188" s="219">
        <v>1</v>
      </c>
      <c r="E188" s="221">
        <v>3</v>
      </c>
      <c r="F188" s="221"/>
      <c r="G188" s="221"/>
      <c r="H188" s="221">
        <v>0</v>
      </c>
      <c r="I188" s="221"/>
      <c r="J188" s="221"/>
      <c r="K188" s="219">
        <f t="shared" si="3"/>
        <v>48.75</v>
      </c>
      <c r="L188" s="219">
        <v>42.5</v>
      </c>
      <c r="M188" s="219">
        <v>6.25</v>
      </c>
      <c r="N188" s="219">
        <v>1415.25</v>
      </c>
      <c r="O188" s="219">
        <v>1</v>
      </c>
      <c r="P188" s="221"/>
      <c r="Q188" s="221">
        <v>2</v>
      </c>
      <c r="R188" s="221"/>
      <c r="S188" s="221"/>
      <c r="T188" s="221">
        <v>1</v>
      </c>
      <c r="U188" s="221"/>
      <c r="V188" s="221">
        <v>1</v>
      </c>
      <c r="W188" s="220">
        <v>3</v>
      </c>
      <c r="X188" s="220">
        <v>8</v>
      </c>
      <c r="Y188" s="220"/>
      <c r="Z188" s="221">
        <v>1</v>
      </c>
      <c r="AA188" s="220" t="s">
        <v>2474</v>
      </c>
      <c r="AC188" s="46">
        <v>0</v>
      </c>
    </row>
    <row r="189" spans="1:29" ht="16.5" customHeight="1" x14ac:dyDescent="0.3">
      <c r="A189" s="49"/>
      <c r="B189" s="54" t="str">
        <f ca="1">'Translation Table'!H1909</f>
        <v>Compressor: Centrifugal: (Stages: 1) (Seals: Wet) (Driver: Gas Turbine)</v>
      </c>
      <c r="C189" s="54" t="str">
        <f ca="1">'Translation Table'!H1909</f>
        <v>Compressor: Centrifugal: (Stages: 1) (Seals: Wet) (Driver: Gas Turbine)</v>
      </c>
      <c r="D189" s="219">
        <v>2.29</v>
      </c>
      <c r="E189" s="221">
        <v>3.43</v>
      </c>
      <c r="F189" s="221"/>
      <c r="G189" s="221"/>
      <c r="H189" s="221">
        <v>0</v>
      </c>
      <c r="I189" s="221"/>
      <c r="J189" s="221"/>
      <c r="K189" s="219">
        <f t="shared" si="3"/>
        <v>68.61</v>
      </c>
      <c r="L189" s="219">
        <v>62.36</v>
      </c>
      <c r="M189" s="219">
        <v>6.25</v>
      </c>
      <c r="N189" s="219">
        <v>1510.96</v>
      </c>
      <c r="O189" s="219">
        <v>5</v>
      </c>
      <c r="P189" s="221"/>
      <c r="Q189" s="221">
        <v>2</v>
      </c>
      <c r="R189" s="221"/>
      <c r="S189" s="221"/>
      <c r="T189" s="221">
        <v>1</v>
      </c>
      <c r="U189" s="221"/>
      <c r="V189" s="221">
        <v>5</v>
      </c>
      <c r="W189" s="220">
        <v>5</v>
      </c>
      <c r="X189" s="220">
        <v>11</v>
      </c>
      <c r="Y189" s="220"/>
      <c r="Z189" s="221">
        <v>2</v>
      </c>
      <c r="AA189" s="220" t="s">
        <v>517</v>
      </c>
      <c r="AC189" s="46">
        <v>0</v>
      </c>
    </row>
    <row r="190" spans="1:29" ht="16.5" customHeight="1" x14ac:dyDescent="0.3">
      <c r="A190" s="49"/>
      <c r="B190" s="130" t="str">
        <f ca="1">'Translation Table'!H1910</f>
        <v>Compressor: Centrifugal: (Stages: 2) (Seals: Wet) (Driver: Electric Motor)</v>
      </c>
      <c r="C190" s="54" t="str">
        <f ca="1">'Translation Table'!H1910</f>
        <v>Compressor: Centrifugal: (Stages: 2) (Seals: Wet) (Driver: Electric Motor)</v>
      </c>
      <c r="D190" s="219">
        <v>2</v>
      </c>
      <c r="E190" s="221">
        <v>4.5</v>
      </c>
      <c r="F190" s="221"/>
      <c r="G190" s="221"/>
      <c r="H190" s="221">
        <v>0</v>
      </c>
      <c r="I190" s="221"/>
      <c r="J190" s="221"/>
      <c r="K190" s="219">
        <f t="shared" si="3"/>
        <v>76.5</v>
      </c>
      <c r="L190" s="219">
        <v>69.25</v>
      </c>
      <c r="M190" s="219">
        <v>7.25</v>
      </c>
      <c r="N190" s="219">
        <v>2736.75</v>
      </c>
      <c r="O190" s="219">
        <v>1</v>
      </c>
      <c r="P190" s="221"/>
      <c r="Q190" s="221">
        <v>4</v>
      </c>
      <c r="R190" s="221"/>
      <c r="S190" s="221"/>
      <c r="T190" s="221">
        <v>1</v>
      </c>
      <c r="U190" s="221"/>
      <c r="V190" s="221">
        <v>5</v>
      </c>
      <c r="W190" s="220">
        <v>6</v>
      </c>
      <c r="X190" s="220">
        <v>16</v>
      </c>
      <c r="Y190" s="220"/>
      <c r="Z190" s="221">
        <v>2</v>
      </c>
      <c r="AA190" s="220" t="s">
        <v>2474</v>
      </c>
      <c r="AC190" s="46">
        <v>0</v>
      </c>
    </row>
    <row r="191" spans="1:29" ht="16.5" customHeight="1" x14ac:dyDescent="0.3">
      <c r="A191" s="49"/>
      <c r="B191" s="54" t="str">
        <f ca="1">'Translation Table'!H1911</f>
        <v>Compressor: Centrifugal: (Stages: 2) (Seals: Wet) (Driver: Gas Turbine)</v>
      </c>
      <c r="C191" s="54" t="str">
        <f ca="1">'Translation Table'!H1911</f>
        <v>Compressor: Centrifugal: (Stages: 2) (Seals: Wet) (Driver: Gas Turbine)</v>
      </c>
      <c r="D191" s="219">
        <v>5</v>
      </c>
      <c r="E191" s="221">
        <v>4.93</v>
      </c>
      <c r="F191" s="221"/>
      <c r="G191" s="221"/>
      <c r="H191" s="221">
        <v>0</v>
      </c>
      <c r="I191" s="221"/>
      <c r="J191" s="221"/>
      <c r="K191" s="219">
        <f t="shared" si="3"/>
        <v>96.46</v>
      </c>
      <c r="L191" s="219">
        <v>89.11</v>
      </c>
      <c r="M191" s="219">
        <v>7.35</v>
      </c>
      <c r="N191" s="219">
        <v>2832.46</v>
      </c>
      <c r="O191" s="219">
        <v>5</v>
      </c>
      <c r="P191" s="221"/>
      <c r="Q191" s="221">
        <v>4</v>
      </c>
      <c r="R191" s="221"/>
      <c r="S191" s="221"/>
      <c r="T191" s="221">
        <v>1</v>
      </c>
      <c r="U191" s="221"/>
      <c r="V191" s="221">
        <v>5</v>
      </c>
      <c r="W191" s="220">
        <v>6</v>
      </c>
      <c r="X191" s="220">
        <v>16</v>
      </c>
      <c r="Y191" s="220"/>
      <c r="Z191" s="221">
        <v>3</v>
      </c>
      <c r="AA191" s="220" t="s">
        <v>2474</v>
      </c>
      <c r="AC191" s="46">
        <v>0</v>
      </c>
    </row>
    <row r="192" spans="1:29" ht="16.5" customHeight="1" x14ac:dyDescent="0.3">
      <c r="A192" s="49"/>
      <c r="B192" s="130" t="str">
        <f ca="1">'Translation Table'!H1912</f>
        <v>Compressor: Centrifugal: (Stages: 1) (Seals: Dry) (Driver: Electric Motor)</v>
      </c>
      <c r="C192" s="54" t="str">
        <f ca="1">'Translation Table'!H1912</f>
        <v>Compressor: Centrifugal: (Stages: 1) (Seals: Dry) (Driver: Electric Motor)</v>
      </c>
      <c r="D192" s="219">
        <v>1</v>
      </c>
      <c r="E192" s="221">
        <v>3</v>
      </c>
      <c r="F192" s="221"/>
      <c r="G192" s="221"/>
      <c r="H192" s="221">
        <v>0</v>
      </c>
      <c r="I192" s="221"/>
      <c r="J192" s="221"/>
      <c r="K192" s="219">
        <f t="shared" si="3"/>
        <v>48.75</v>
      </c>
      <c r="L192" s="219">
        <v>42.5</v>
      </c>
      <c r="M192" s="219">
        <v>6.25</v>
      </c>
      <c r="N192" s="219">
        <v>1415.25</v>
      </c>
      <c r="O192" s="219">
        <v>1</v>
      </c>
      <c r="P192" s="221"/>
      <c r="Q192" s="221"/>
      <c r="R192" s="221">
        <v>2</v>
      </c>
      <c r="S192" s="221"/>
      <c r="T192" s="221">
        <v>1</v>
      </c>
      <c r="U192" s="221"/>
      <c r="V192" s="221">
        <v>1</v>
      </c>
      <c r="W192" s="220">
        <v>3</v>
      </c>
      <c r="X192" s="220">
        <v>8</v>
      </c>
      <c r="Y192" s="220"/>
      <c r="Z192" s="221">
        <v>1</v>
      </c>
      <c r="AA192" s="220" t="s">
        <v>2474</v>
      </c>
      <c r="AC192" s="46">
        <v>0</v>
      </c>
    </row>
    <row r="193" spans="1:29" ht="16.5" customHeight="1" x14ac:dyDescent="0.3">
      <c r="A193" s="49"/>
      <c r="B193" s="54" t="str">
        <f ca="1">'Translation Table'!H1913</f>
        <v>Compressor: Centrifugal: (Stages: 1) (Seals: Dry) (Driver: Gas Turbine)</v>
      </c>
      <c r="C193" s="54" t="str">
        <f ca="1">'Translation Table'!H1913</f>
        <v>Compressor: Centrifugal: (Stages: 1) (Seals: Dry) (Driver: Gas Turbine)</v>
      </c>
      <c r="D193" s="219">
        <v>2.29</v>
      </c>
      <c r="E193" s="221">
        <v>3.43</v>
      </c>
      <c r="F193" s="221"/>
      <c r="G193" s="221"/>
      <c r="H193" s="221">
        <v>0</v>
      </c>
      <c r="I193" s="221"/>
      <c r="J193" s="221"/>
      <c r="K193" s="219">
        <f t="shared" si="3"/>
        <v>68.61</v>
      </c>
      <c r="L193" s="219">
        <v>62.36</v>
      </c>
      <c r="M193" s="219">
        <v>6.25</v>
      </c>
      <c r="N193" s="219">
        <v>1510.96</v>
      </c>
      <c r="O193" s="219">
        <v>5</v>
      </c>
      <c r="P193" s="221"/>
      <c r="Q193" s="221"/>
      <c r="R193" s="221">
        <v>2</v>
      </c>
      <c r="S193" s="221"/>
      <c r="T193" s="221">
        <v>1</v>
      </c>
      <c r="U193" s="221"/>
      <c r="V193" s="221">
        <v>5</v>
      </c>
      <c r="W193" s="220">
        <v>5</v>
      </c>
      <c r="X193" s="220">
        <v>11</v>
      </c>
      <c r="Y193" s="220"/>
      <c r="Z193" s="221">
        <v>2</v>
      </c>
      <c r="AA193" s="220" t="s">
        <v>517</v>
      </c>
      <c r="AC193" s="46">
        <v>0</v>
      </c>
    </row>
    <row r="194" spans="1:29" ht="16.5" customHeight="1" x14ac:dyDescent="0.3">
      <c r="A194" s="49"/>
      <c r="B194" s="130" t="str">
        <f ca="1">'Translation Table'!H1914</f>
        <v>Compressor: Centrifugal: (Stages: 2) (Seals: Dry) (Driver: Electric Motor)</v>
      </c>
      <c r="C194" s="54" t="str">
        <f ca="1">'Translation Table'!H1914</f>
        <v>Compressor: Centrifugal: (Stages: 2) (Seals: Dry) (Driver: Electric Motor)</v>
      </c>
      <c r="D194" s="219">
        <v>2</v>
      </c>
      <c r="E194" s="221">
        <v>4.5</v>
      </c>
      <c r="F194" s="221"/>
      <c r="G194" s="221"/>
      <c r="H194" s="221">
        <v>0</v>
      </c>
      <c r="I194" s="221"/>
      <c r="J194" s="221"/>
      <c r="K194" s="219">
        <f t="shared" si="3"/>
        <v>76.5</v>
      </c>
      <c r="L194" s="219">
        <v>69.25</v>
      </c>
      <c r="M194" s="219">
        <v>7.25</v>
      </c>
      <c r="N194" s="219">
        <v>2736.75</v>
      </c>
      <c r="O194" s="219">
        <v>1</v>
      </c>
      <c r="P194" s="221"/>
      <c r="Q194" s="221"/>
      <c r="R194" s="221">
        <v>4</v>
      </c>
      <c r="S194" s="221"/>
      <c r="T194" s="221">
        <v>1</v>
      </c>
      <c r="U194" s="221"/>
      <c r="V194" s="221">
        <v>5</v>
      </c>
      <c r="W194" s="220">
        <v>6</v>
      </c>
      <c r="X194" s="220">
        <v>16</v>
      </c>
      <c r="Y194" s="220"/>
      <c r="Z194" s="221">
        <v>2</v>
      </c>
      <c r="AA194" s="220" t="s">
        <v>2474</v>
      </c>
      <c r="AC194" s="46">
        <v>0</v>
      </c>
    </row>
    <row r="195" spans="1:29" ht="16.5" customHeight="1" x14ac:dyDescent="0.3">
      <c r="A195" s="49"/>
      <c r="B195" s="54" t="str">
        <f ca="1">'Translation Table'!H1915</f>
        <v>Compressor: Centrifugal: (Stages: 2) (Seals: Dry) (Driver: Gas Turbine)</v>
      </c>
      <c r="C195" s="54" t="str">
        <f ca="1">'Translation Table'!H1915</f>
        <v>Compressor: Centrifugal: (Stages: 2) (Seals: Dry) (Driver: Gas Turbine)</v>
      </c>
      <c r="D195" s="219">
        <v>5</v>
      </c>
      <c r="E195" s="221">
        <v>4.93</v>
      </c>
      <c r="F195" s="221"/>
      <c r="G195" s="221"/>
      <c r="H195" s="221">
        <v>0</v>
      </c>
      <c r="I195" s="221"/>
      <c r="J195" s="221"/>
      <c r="K195" s="219">
        <f t="shared" si="3"/>
        <v>96.46</v>
      </c>
      <c r="L195" s="219">
        <v>89.11</v>
      </c>
      <c r="M195" s="219">
        <v>7.35</v>
      </c>
      <c r="N195" s="219">
        <v>2832.46</v>
      </c>
      <c r="O195" s="219">
        <v>5</v>
      </c>
      <c r="P195" s="221"/>
      <c r="Q195" s="221"/>
      <c r="R195" s="221">
        <v>4</v>
      </c>
      <c r="S195" s="221"/>
      <c r="T195" s="221">
        <v>1</v>
      </c>
      <c r="U195" s="221"/>
      <c r="V195" s="221">
        <v>5</v>
      </c>
      <c r="W195" s="220">
        <v>6</v>
      </c>
      <c r="X195" s="220">
        <v>16</v>
      </c>
      <c r="Y195" s="220"/>
      <c r="Z195" s="221">
        <v>3</v>
      </c>
      <c r="AA195" s="220" t="s">
        <v>2474</v>
      </c>
      <c r="AC195" s="46">
        <v>0</v>
      </c>
    </row>
    <row r="196" spans="1:29" ht="16.5" customHeight="1" x14ac:dyDescent="0.3">
      <c r="A196" s="49"/>
      <c r="B196" s="130" t="str">
        <f ca="1">'Translation Table'!H1916</f>
        <v>Compressor: Reciprocating: (Stages: 1) (Driver: Electric Motor)</v>
      </c>
      <c r="C196" s="54" t="str">
        <f ca="1">'Translation Table'!H1916</f>
        <v>Compressor: Reciprocating: (Stages: 1) (Driver: Electric Motor)</v>
      </c>
      <c r="D196" s="219">
        <v>3</v>
      </c>
      <c r="E196" s="221">
        <v>3</v>
      </c>
      <c r="F196" s="221"/>
      <c r="G196" s="221"/>
      <c r="H196" s="221">
        <v>0</v>
      </c>
      <c r="I196" s="221"/>
      <c r="J196" s="221"/>
      <c r="K196" s="219">
        <f t="shared" si="3"/>
        <v>38.17</v>
      </c>
      <c r="L196" s="219">
        <v>33.5</v>
      </c>
      <c r="M196" s="219">
        <v>4.67</v>
      </c>
      <c r="N196" s="219">
        <v>489.83</v>
      </c>
      <c r="O196" s="219">
        <v>1.33</v>
      </c>
      <c r="P196" s="221">
        <v>4</v>
      </c>
      <c r="Q196" s="221"/>
      <c r="R196" s="221"/>
      <c r="S196" s="221">
        <v>1</v>
      </c>
      <c r="T196" s="221">
        <v>1</v>
      </c>
      <c r="U196" s="221">
        <v>0</v>
      </c>
      <c r="V196" s="221">
        <v>3</v>
      </c>
      <c r="W196" s="220">
        <v>4</v>
      </c>
      <c r="X196" s="220">
        <v>20</v>
      </c>
      <c r="Y196" s="220"/>
      <c r="Z196" s="221">
        <v>1</v>
      </c>
      <c r="AA196" s="220" t="s">
        <v>2474</v>
      </c>
      <c r="AC196" s="46">
        <v>0</v>
      </c>
    </row>
    <row r="197" spans="1:29" ht="16.5" customHeight="1" x14ac:dyDescent="0.3">
      <c r="A197" s="49"/>
      <c r="B197" s="54" t="str">
        <f ca="1">'Translation Table'!H1917</f>
        <v>Compressor: Reciprocating: (Stages: 1) (Driver: Recip Engine)</v>
      </c>
      <c r="C197" s="54" t="str">
        <f ca="1">'Translation Table'!H1917</f>
        <v>Compressor: Reciprocating: (Stages: 1) (Driver: Recip Engine)</v>
      </c>
      <c r="D197" s="219">
        <v>3.79</v>
      </c>
      <c r="E197" s="221">
        <v>3.43</v>
      </c>
      <c r="F197" s="221"/>
      <c r="G197" s="221"/>
      <c r="H197" s="221">
        <v>0</v>
      </c>
      <c r="I197" s="221"/>
      <c r="J197" s="221"/>
      <c r="K197" s="219">
        <f t="shared" si="3"/>
        <v>50.53</v>
      </c>
      <c r="L197" s="219">
        <v>44.86</v>
      </c>
      <c r="M197" s="219">
        <v>5.67</v>
      </c>
      <c r="N197" s="219">
        <v>592.29999999999995</v>
      </c>
      <c r="O197" s="219">
        <v>2.33</v>
      </c>
      <c r="P197" s="221">
        <v>4</v>
      </c>
      <c r="Q197" s="221"/>
      <c r="R197" s="221"/>
      <c r="S197" s="221">
        <v>1</v>
      </c>
      <c r="T197" s="221">
        <v>1</v>
      </c>
      <c r="U197" s="221">
        <v>0</v>
      </c>
      <c r="V197" s="221">
        <v>3</v>
      </c>
      <c r="W197" s="220">
        <v>4</v>
      </c>
      <c r="X197" s="220">
        <v>20</v>
      </c>
      <c r="Y197" s="220"/>
      <c r="Z197" s="221">
        <v>1</v>
      </c>
      <c r="AA197" s="220" t="s">
        <v>2474</v>
      </c>
      <c r="AC197" s="46">
        <v>0</v>
      </c>
    </row>
    <row r="198" spans="1:29" ht="16.5" customHeight="1" x14ac:dyDescent="0.3">
      <c r="A198" s="49"/>
      <c r="B198" s="130" t="str">
        <f ca="1">'Translation Table'!H1918</f>
        <v>Compressor: Reciprocating: (Stages: 2) (Driver: Electric Motor)</v>
      </c>
      <c r="C198" s="54" t="str">
        <f ca="1">'Translation Table'!H1918</f>
        <v>Compressor: Reciprocating: (Stages: 2) (Driver: Electric Motor)</v>
      </c>
      <c r="D198" s="219">
        <v>3</v>
      </c>
      <c r="E198" s="221">
        <v>3.33</v>
      </c>
      <c r="F198" s="221"/>
      <c r="G198" s="221"/>
      <c r="H198" s="221">
        <v>0</v>
      </c>
      <c r="I198" s="221"/>
      <c r="J198" s="221"/>
      <c r="K198" s="219">
        <f t="shared" si="3"/>
        <v>43.83</v>
      </c>
      <c r="L198" s="219">
        <v>38.83</v>
      </c>
      <c r="M198" s="219">
        <v>5</v>
      </c>
      <c r="N198" s="219">
        <v>786.17</v>
      </c>
      <c r="O198" s="219">
        <v>1.67</v>
      </c>
      <c r="P198" s="221">
        <v>4</v>
      </c>
      <c r="Q198" s="221"/>
      <c r="R198" s="221"/>
      <c r="S198" s="221">
        <v>1</v>
      </c>
      <c r="T198" s="221">
        <v>1</v>
      </c>
      <c r="U198" s="221">
        <v>0</v>
      </c>
      <c r="V198" s="221">
        <v>4</v>
      </c>
      <c r="W198" s="220">
        <v>8</v>
      </c>
      <c r="X198" s="220">
        <v>40</v>
      </c>
      <c r="Y198" s="220"/>
      <c r="Z198" s="221">
        <v>2</v>
      </c>
      <c r="AA198" s="220" t="s">
        <v>2474</v>
      </c>
      <c r="AC198" s="46">
        <v>0</v>
      </c>
    </row>
    <row r="199" spans="1:29" ht="16.5" customHeight="1" x14ac:dyDescent="0.3">
      <c r="A199" s="49"/>
      <c r="B199" s="54" t="str">
        <f ca="1">'Translation Table'!H1919</f>
        <v>Compressor: Reciprocating: (Stages: 2) (Driver: Recip Engine)</v>
      </c>
      <c r="C199" s="54" t="str">
        <f ca="1">'Translation Table'!H1919</f>
        <v>Compressor: Reciprocating: (Stages: 2) (Driver: Recip Engine)</v>
      </c>
      <c r="D199" s="219">
        <v>3.79</v>
      </c>
      <c r="E199" s="221">
        <v>3.76</v>
      </c>
      <c r="F199" s="221"/>
      <c r="G199" s="221"/>
      <c r="H199" s="221">
        <v>0</v>
      </c>
      <c r="I199" s="221"/>
      <c r="J199" s="221"/>
      <c r="K199" s="219">
        <f>L199+M199</f>
        <v>56.19</v>
      </c>
      <c r="L199" s="219">
        <v>50.19</v>
      </c>
      <c r="M199" s="219">
        <v>6</v>
      </c>
      <c r="N199" s="219">
        <v>888.63</v>
      </c>
      <c r="O199" s="219">
        <v>2.67</v>
      </c>
      <c r="P199" s="221">
        <v>4</v>
      </c>
      <c r="Q199" s="221"/>
      <c r="R199" s="221"/>
      <c r="S199" s="221">
        <v>1</v>
      </c>
      <c r="T199" s="221">
        <v>1</v>
      </c>
      <c r="U199" s="221">
        <v>0</v>
      </c>
      <c r="V199" s="221">
        <v>4</v>
      </c>
      <c r="W199" s="220">
        <v>8</v>
      </c>
      <c r="X199" s="220">
        <v>40</v>
      </c>
      <c r="Y199" s="220"/>
      <c r="Z199" s="221">
        <v>2</v>
      </c>
      <c r="AA199" s="220" t="s">
        <v>2474</v>
      </c>
      <c r="AC199" s="46">
        <v>0</v>
      </c>
    </row>
    <row r="200" spans="1:29" ht="16.5" customHeight="1" x14ac:dyDescent="0.3">
      <c r="A200" s="49"/>
      <c r="B200" s="130" t="str">
        <f ca="1">'Translation Table'!H1920</f>
        <v>Compressor: Reciprocating: (Stages: 3) (Driver: Electric Motor)</v>
      </c>
      <c r="C200" s="54" t="str">
        <f ca="1">'Translation Table'!H1920</f>
        <v>Compressor: Reciprocating: (Stages: 3) (Driver: Electric Motor)</v>
      </c>
      <c r="D200" s="219">
        <v>4</v>
      </c>
      <c r="E200" s="221">
        <v>4.33</v>
      </c>
      <c r="F200" s="221"/>
      <c r="G200" s="221"/>
      <c r="H200" s="221">
        <v>0</v>
      </c>
      <c r="I200" s="221"/>
      <c r="J200" s="221"/>
      <c r="K200" s="219">
        <f>L200+M200</f>
        <v>56.83</v>
      </c>
      <c r="L200" s="219">
        <v>51.5</v>
      </c>
      <c r="M200" s="219">
        <v>5.33</v>
      </c>
      <c r="N200" s="219">
        <v>1138.5</v>
      </c>
      <c r="O200" s="219">
        <v>2</v>
      </c>
      <c r="P200" s="221">
        <v>6</v>
      </c>
      <c r="Q200" s="221"/>
      <c r="R200" s="221"/>
      <c r="S200" s="221">
        <v>1</v>
      </c>
      <c r="T200" s="221">
        <v>1</v>
      </c>
      <c r="U200" s="221">
        <v>0</v>
      </c>
      <c r="V200" s="221">
        <v>5</v>
      </c>
      <c r="W200" s="220">
        <v>12</v>
      </c>
      <c r="X200" s="220">
        <v>60</v>
      </c>
      <c r="Y200" s="220"/>
      <c r="Z200" s="221">
        <v>3</v>
      </c>
      <c r="AA200" s="220" t="s">
        <v>2474</v>
      </c>
      <c r="AC200" s="46">
        <v>0</v>
      </c>
    </row>
    <row r="201" spans="1:29" ht="16.5" customHeight="1" x14ac:dyDescent="0.3">
      <c r="A201" s="49"/>
      <c r="B201" s="54" t="str">
        <f ca="1">'Translation Table'!H1921</f>
        <v>Compressor: Reciprocating: (Stages: 3) (Driver: Recip Engine)</v>
      </c>
      <c r="C201" s="54" t="str">
        <f ca="1">'Translation Table'!H1921</f>
        <v>Compressor: Reciprocating: (Stages: 3) (Driver: Recip Engine)</v>
      </c>
      <c r="D201" s="219">
        <v>4.29</v>
      </c>
      <c r="E201" s="221">
        <v>4.76</v>
      </c>
      <c r="F201" s="221"/>
      <c r="G201" s="221"/>
      <c r="H201" s="221">
        <v>0</v>
      </c>
      <c r="I201" s="221"/>
      <c r="J201" s="221"/>
      <c r="K201" s="219">
        <f>L201+M201</f>
        <v>69.19</v>
      </c>
      <c r="L201" s="219">
        <v>62.86</v>
      </c>
      <c r="M201" s="219">
        <v>6.33</v>
      </c>
      <c r="N201" s="219">
        <v>1240.96</v>
      </c>
      <c r="O201" s="219">
        <v>3</v>
      </c>
      <c r="P201" s="221">
        <v>6</v>
      </c>
      <c r="Q201" s="221"/>
      <c r="R201" s="221"/>
      <c r="S201" s="221">
        <v>1</v>
      </c>
      <c r="T201" s="221">
        <v>1</v>
      </c>
      <c r="U201" s="221">
        <v>0</v>
      </c>
      <c r="V201" s="221">
        <v>5</v>
      </c>
      <c r="W201" s="220">
        <v>12</v>
      </c>
      <c r="X201" s="220">
        <v>60</v>
      </c>
      <c r="Y201" s="220"/>
      <c r="Z201" s="221">
        <v>3</v>
      </c>
      <c r="AA201" s="220" t="s">
        <v>2474</v>
      </c>
      <c r="AC201" s="46">
        <v>0</v>
      </c>
    </row>
    <row r="202" spans="1:29" ht="16.5" customHeight="1" x14ac:dyDescent="0.3">
      <c r="A202" s="49"/>
      <c r="B202" s="130" t="str">
        <f ca="1">'Translation Table'!H1922</f>
        <v>Compressor: Reciprocating: (Stages 4) (Driver: Electric Motor)</v>
      </c>
      <c r="C202" s="54" t="str">
        <f ca="1">'Translation Table'!H1922</f>
        <v>Compressor: Reciprocating: (Stages 4) (Driver: Electric Motor)</v>
      </c>
      <c r="D202" s="219">
        <v>7</v>
      </c>
      <c r="E202" s="221">
        <v>5.33</v>
      </c>
      <c r="F202" s="221"/>
      <c r="G202" s="221"/>
      <c r="H202" s="221">
        <v>0</v>
      </c>
      <c r="I202" s="221"/>
      <c r="J202" s="221"/>
      <c r="K202" s="219">
        <f>L202+M202</f>
        <v>69.84</v>
      </c>
      <c r="L202" s="219">
        <v>64.17</v>
      </c>
      <c r="M202" s="219">
        <v>5.67</v>
      </c>
      <c r="N202" s="219">
        <v>1490.83</v>
      </c>
      <c r="O202" s="219">
        <v>2.33</v>
      </c>
      <c r="P202" s="221">
        <v>8</v>
      </c>
      <c r="Q202" s="221"/>
      <c r="R202" s="221"/>
      <c r="S202" s="221">
        <v>1</v>
      </c>
      <c r="T202" s="221">
        <v>1</v>
      </c>
      <c r="U202" s="221">
        <v>0</v>
      </c>
      <c r="V202" s="221">
        <v>6</v>
      </c>
      <c r="W202" s="220">
        <v>16</v>
      </c>
      <c r="X202" s="220">
        <v>80</v>
      </c>
      <c r="Y202" s="220"/>
      <c r="Z202" s="221">
        <v>4</v>
      </c>
      <c r="AA202" s="220" t="s">
        <v>2474</v>
      </c>
    </row>
    <row r="203" spans="1:29" ht="16.5" customHeight="1" x14ac:dyDescent="0.3">
      <c r="A203" s="49"/>
      <c r="B203" s="54" t="str">
        <f ca="1">'Translation Table'!H1923</f>
        <v>Compressor: Reciprocating: (Stages 4) (Driver: Recip Engine)</v>
      </c>
      <c r="C203" s="54" t="str">
        <f ca="1">'Translation Table'!H1923</f>
        <v>Compressor: Reciprocating: (Stages 4) (Driver: Recip Engine)</v>
      </c>
      <c r="D203" s="219">
        <v>7.79</v>
      </c>
      <c r="E203" s="221">
        <v>5.76</v>
      </c>
      <c r="F203" s="221"/>
      <c r="G203" s="221"/>
      <c r="H203" s="221">
        <v>0</v>
      </c>
      <c r="I203" s="221"/>
      <c r="J203" s="221"/>
      <c r="K203" s="219">
        <f>L203+M203</f>
        <v>82.19</v>
      </c>
      <c r="L203" s="219">
        <v>75.52</v>
      </c>
      <c r="M203" s="219">
        <v>6.67</v>
      </c>
      <c r="N203" s="219">
        <v>1593.3</v>
      </c>
      <c r="O203" s="219">
        <v>3.33</v>
      </c>
      <c r="P203" s="221">
        <v>8</v>
      </c>
      <c r="Q203" s="221"/>
      <c r="R203" s="221"/>
      <c r="S203" s="221">
        <v>1</v>
      </c>
      <c r="T203" s="221">
        <v>1</v>
      </c>
      <c r="U203" s="221">
        <v>0</v>
      </c>
      <c r="V203" s="221">
        <v>6</v>
      </c>
      <c r="W203" s="220">
        <v>16</v>
      </c>
      <c r="X203" s="220">
        <v>80</v>
      </c>
      <c r="Y203" s="220"/>
      <c r="Z203" s="221">
        <v>4</v>
      </c>
      <c r="AA203" s="220" t="s">
        <v>2474</v>
      </c>
    </row>
    <row r="204" spans="1:29" ht="16.5" customHeight="1" x14ac:dyDescent="0.3">
      <c r="A204" s="49"/>
      <c r="B204" s="130" t="str">
        <f ca="1">'Translation Table'!H1924</f>
        <v>Compressor: Screw (Driver: Electric Motor)</v>
      </c>
      <c r="C204" s="54" t="str">
        <f ca="1">'Translation Table'!H1924</f>
        <v>Compressor: Screw (Driver: Electric Motor)</v>
      </c>
      <c r="D204" s="219">
        <v>2</v>
      </c>
      <c r="E204" s="221">
        <v>0</v>
      </c>
      <c r="F204" s="221"/>
      <c r="G204" s="221"/>
      <c r="H204" s="221">
        <v>0</v>
      </c>
      <c r="I204" s="221"/>
      <c r="J204" s="221"/>
      <c r="K204" s="219">
        <f t="shared" ref="K204:K262" si="4">L204+M204</f>
        <v>33.5</v>
      </c>
      <c r="L204" s="219">
        <v>33.5</v>
      </c>
      <c r="M204" s="219"/>
      <c r="N204" s="219">
        <v>205.5</v>
      </c>
      <c r="O204" s="219">
        <v>1.5</v>
      </c>
      <c r="P204" s="221">
        <v>0</v>
      </c>
      <c r="Q204" s="221"/>
      <c r="R204" s="221"/>
      <c r="S204" s="221"/>
      <c r="T204" s="221"/>
      <c r="U204" s="221"/>
      <c r="V204" s="221">
        <v>3</v>
      </c>
      <c r="W204" s="220">
        <v>3</v>
      </c>
      <c r="X204" s="220">
        <v>6</v>
      </c>
      <c r="Y204" s="220"/>
      <c r="Z204" s="221">
        <v>1</v>
      </c>
      <c r="AA204" s="220" t="s">
        <v>2474</v>
      </c>
      <c r="AC204" s="46">
        <v>0</v>
      </c>
    </row>
    <row r="205" spans="1:29" ht="16.5" customHeight="1" x14ac:dyDescent="0.3">
      <c r="A205" s="49"/>
      <c r="B205" s="54" t="str">
        <f ca="1">'Translation Table'!H1925</f>
        <v>Compressor: Screw (Driver: Recip Engine)</v>
      </c>
      <c r="C205" s="54" t="str">
        <f ca="1">'Translation Table'!H1925</f>
        <v>Compressor: Screw (Driver: Recip Engine)</v>
      </c>
      <c r="D205" s="219">
        <v>2</v>
      </c>
      <c r="E205" s="221">
        <v>0</v>
      </c>
      <c r="F205" s="221"/>
      <c r="G205" s="221"/>
      <c r="H205" s="221">
        <v>0</v>
      </c>
      <c r="I205" s="221"/>
      <c r="J205" s="221"/>
      <c r="K205" s="219">
        <f t="shared" si="4"/>
        <v>36</v>
      </c>
      <c r="L205" s="219">
        <v>36</v>
      </c>
      <c r="M205" s="219"/>
      <c r="N205" s="219">
        <v>228</v>
      </c>
      <c r="O205" s="219">
        <v>2</v>
      </c>
      <c r="P205" s="221">
        <v>0</v>
      </c>
      <c r="Q205" s="221"/>
      <c r="R205" s="221"/>
      <c r="S205" s="221"/>
      <c r="T205" s="221"/>
      <c r="U205" s="221"/>
      <c r="V205" s="221">
        <v>3</v>
      </c>
      <c r="W205" s="220">
        <v>3</v>
      </c>
      <c r="X205" s="220">
        <v>6</v>
      </c>
      <c r="Y205" s="220"/>
      <c r="Z205" s="221">
        <v>1</v>
      </c>
      <c r="AA205" s="220" t="s">
        <v>517</v>
      </c>
      <c r="AC205" s="46">
        <v>0</v>
      </c>
    </row>
    <row r="206" spans="1:29" ht="16.5" customHeight="1" x14ac:dyDescent="0.3">
      <c r="A206" s="49"/>
      <c r="B206" s="130" t="str">
        <f ca="1">'Translation Table'!H1926</f>
        <v>Dehydration: Desiccant (Adsorber Columns: 2)</v>
      </c>
      <c r="C206" s="54" t="str">
        <f ca="1">'Translation Table'!H1926</f>
        <v>Dehydration: Desiccant (Adsorber Columns: 2)</v>
      </c>
      <c r="D206" s="219">
        <v>2</v>
      </c>
      <c r="E206" s="221">
        <v>0</v>
      </c>
      <c r="F206" s="221"/>
      <c r="G206" s="221"/>
      <c r="H206" s="221">
        <v>0</v>
      </c>
      <c r="I206" s="221"/>
      <c r="J206" s="221"/>
      <c r="K206" s="219">
        <f t="shared" si="4"/>
        <v>24</v>
      </c>
      <c r="L206" s="219">
        <v>24</v>
      </c>
      <c r="M206" s="219"/>
      <c r="N206" s="219">
        <v>100</v>
      </c>
      <c r="O206" s="219">
        <v>2</v>
      </c>
      <c r="P206" s="221"/>
      <c r="Q206" s="221"/>
      <c r="R206" s="221"/>
      <c r="S206" s="221"/>
      <c r="T206" s="221"/>
      <c r="U206" s="221"/>
      <c r="V206" s="221">
        <v>5</v>
      </c>
      <c r="W206" s="220">
        <v>7</v>
      </c>
      <c r="X206" s="220">
        <v>14</v>
      </c>
      <c r="Y206" s="220"/>
      <c r="Z206" s="221">
        <v>3</v>
      </c>
      <c r="AA206" s="220" t="s">
        <v>517</v>
      </c>
      <c r="AC206" s="46">
        <v>0</v>
      </c>
    </row>
    <row r="207" spans="1:29" ht="16.5" customHeight="1" x14ac:dyDescent="0.3">
      <c r="A207" s="49"/>
      <c r="B207" s="54" t="str">
        <f ca="1">'Translation Table'!H1927</f>
        <v>Dehydration: Desiccant (Adsorber Columns: 3)</v>
      </c>
      <c r="C207" s="54" t="str">
        <f ca="1">'Translation Table'!H1927</f>
        <v>Dehydration: Desiccant (Adsorber Columns: 3)</v>
      </c>
      <c r="D207" s="219">
        <v>3</v>
      </c>
      <c r="E207" s="221">
        <v>0</v>
      </c>
      <c r="F207" s="221"/>
      <c r="G207" s="221"/>
      <c r="H207" s="221">
        <v>0</v>
      </c>
      <c r="I207" s="221"/>
      <c r="J207" s="221"/>
      <c r="K207" s="219">
        <f t="shared" si="4"/>
        <v>30</v>
      </c>
      <c r="L207" s="219">
        <v>30</v>
      </c>
      <c r="M207" s="219"/>
      <c r="N207" s="219">
        <v>84</v>
      </c>
      <c r="O207" s="219">
        <v>2</v>
      </c>
      <c r="P207" s="221"/>
      <c r="Q207" s="221"/>
      <c r="R207" s="221"/>
      <c r="S207" s="221"/>
      <c r="T207" s="221"/>
      <c r="U207" s="221"/>
      <c r="V207" s="221">
        <v>5</v>
      </c>
      <c r="W207" s="220">
        <v>10</v>
      </c>
      <c r="X207" s="220">
        <v>20</v>
      </c>
      <c r="Y207" s="220"/>
      <c r="Z207" s="221">
        <v>4</v>
      </c>
      <c r="AA207" s="220" t="s">
        <v>2474</v>
      </c>
      <c r="AC207" s="46">
        <v>0</v>
      </c>
    </row>
    <row r="208" spans="1:29" ht="16.5" customHeight="1" x14ac:dyDescent="0.3">
      <c r="A208" s="49"/>
      <c r="B208" s="130" t="str">
        <f ca="1">'Translation Table'!H1928</f>
        <v>Dehydration: Glycol (with Gas-assisted Pump)</v>
      </c>
      <c r="C208" s="54" t="str">
        <f ca="1">'Translation Table'!H1928</f>
        <v>Dehydration: Glycol (with Gas-assisted Pump)</v>
      </c>
      <c r="D208" s="219">
        <v>1</v>
      </c>
      <c r="E208" s="221">
        <v>0</v>
      </c>
      <c r="F208" s="221"/>
      <c r="G208" s="221"/>
      <c r="H208" s="221">
        <v>0</v>
      </c>
      <c r="I208" s="221"/>
      <c r="J208" s="221"/>
      <c r="K208" s="219">
        <f t="shared" si="4"/>
        <v>24</v>
      </c>
      <c r="L208" s="219">
        <v>24</v>
      </c>
      <c r="M208" s="219"/>
      <c r="N208" s="219">
        <v>100</v>
      </c>
      <c r="O208" s="219">
        <v>2</v>
      </c>
      <c r="P208" s="221"/>
      <c r="Q208" s="221"/>
      <c r="R208" s="221"/>
      <c r="S208" s="221"/>
      <c r="T208" s="221"/>
      <c r="U208" s="221"/>
      <c r="V208" s="221">
        <v>5</v>
      </c>
      <c r="W208" s="220">
        <v>7</v>
      </c>
      <c r="X208" s="220">
        <v>14</v>
      </c>
      <c r="Y208" s="220"/>
      <c r="Z208" s="221">
        <v>2</v>
      </c>
      <c r="AA208" s="220" t="s">
        <v>517</v>
      </c>
      <c r="AC208" s="46">
        <v>0</v>
      </c>
    </row>
    <row r="209" spans="1:29" ht="16.5" customHeight="1" x14ac:dyDescent="0.3">
      <c r="A209" s="49"/>
      <c r="B209" s="54" t="str">
        <f ca="1">'Translation Table'!H1929</f>
        <v>Dehydration: Glycol (without Gas-assisted Pump)</v>
      </c>
      <c r="C209" s="54" t="str">
        <f ca="1">'Translation Table'!H1929</f>
        <v>Dehydration: Glycol (without Gas-assisted Pump)</v>
      </c>
      <c r="D209" s="219">
        <v>1</v>
      </c>
      <c r="E209" s="221">
        <v>0</v>
      </c>
      <c r="F209" s="221"/>
      <c r="G209" s="221"/>
      <c r="H209" s="221">
        <v>0</v>
      </c>
      <c r="I209" s="221"/>
      <c r="J209" s="221"/>
      <c r="K209" s="219">
        <f t="shared" si="4"/>
        <v>24</v>
      </c>
      <c r="L209" s="219">
        <v>24</v>
      </c>
      <c r="M209" s="219"/>
      <c r="N209" s="219">
        <v>100</v>
      </c>
      <c r="O209" s="219">
        <v>2</v>
      </c>
      <c r="P209" s="221"/>
      <c r="Q209" s="221"/>
      <c r="R209" s="221"/>
      <c r="S209" s="221"/>
      <c r="T209" s="221"/>
      <c r="U209" s="221"/>
      <c r="V209" s="221">
        <v>5</v>
      </c>
      <c r="W209" s="220">
        <v>7</v>
      </c>
      <c r="X209" s="220">
        <v>14</v>
      </c>
      <c r="Y209" s="220"/>
      <c r="Z209" s="221">
        <v>2</v>
      </c>
      <c r="AA209" s="220" t="s">
        <v>517</v>
      </c>
      <c r="AC209" s="46">
        <v>0</v>
      </c>
    </row>
    <row r="210" spans="1:29" ht="16.5" customHeight="1" x14ac:dyDescent="0.3">
      <c r="A210" s="49"/>
      <c r="B210" s="130" t="str">
        <f ca="1">'Translation Table'!H1930</f>
        <v>Flare System: Generic (Including Knock-out Drum)</v>
      </c>
      <c r="C210" s="54" t="str">
        <f ca="1">'Translation Table'!H1930</f>
        <v>Flare System: Generic (Including Knock-out Drum)</v>
      </c>
      <c r="D210" s="219">
        <v>0</v>
      </c>
      <c r="E210" s="221">
        <v>5</v>
      </c>
      <c r="F210" s="221"/>
      <c r="G210" s="221"/>
      <c r="H210" s="221">
        <v>0</v>
      </c>
      <c r="I210" s="221"/>
      <c r="J210" s="221"/>
      <c r="K210" s="219">
        <f t="shared" si="4"/>
        <v>35</v>
      </c>
      <c r="L210" s="219">
        <v>35</v>
      </c>
      <c r="M210" s="219"/>
      <c r="N210" s="219">
        <v>114</v>
      </c>
      <c r="O210" s="219">
        <v>1</v>
      </c>
      <c r="P210" s="221"/>
      <c r="Q210" s="221"/>
      <c r="R210" s="221"/>
      <c r="S210" s="221"/>
      <c r="T210" s="221"/>
      <c r="U210" s="221"/>
      <c r="V210" s="221">
        <v>1</v>
      </c>
      <c r="W210" s="220">
        <v>0</v>
      </c>
      <c r="X210" s="220">
        <v>0</v>
      </c>
      <c r="Y210" s="220"/>
      <c r="Z210" s="221">
        <v>1</v>
      </c>
      <c r="AA210" s="220" t="s">
        <v>2082</v>
      </c>
      <c r="AC210" s="46">
        <v>0</v>
      </c>
    </row>
    <row r="211" spans="1:29" ht="16.5" customHeight="1" x14ac:dyDescent="0.3">
      <c r="A211" s="49"/>
      <c r="B211" s="54" t="str">
        <f ca="1">'Translation Table'!H1931</f>
        <v>Gas-Lift Supply Header (Fittings Per Well or Line)</v>
      </c>
      <c r="C211" s="54" t="str">
        <f ca="1">'Translation Table'!H1931</f>
        <v>Gas-Lift Supply Header (Fittings Per Well or Line)</v>
      </c>
      <c r="D211" s="219">
        <v>0</v>
      </c>
      <c r="E211" s="221">
        <v>0</v>
      </c>
      <c r="F211" s="221"/>
      <c r="G211" s="221"/>
      <c r="H211" s="221">
        <v>0</v>
      </c>
      <c r="I211" s="221"/>
      <c r="J211" s="221"/>
      <c r="K211" s="219">
        <f t="shared" si="4"/>
        <v>9</v>
      </c>
      <c r="L211" s="219">
        <v>8</v>
      </c>
      <c r="M211" s="219">
        <v>1</v>
      </c>
      <c r="N211" s="219">
        <v>20</v>
      </c>
      <c r="O211" s="219">
        <v>0</v>
      </c>
      <c r="P211" s="221"/>
      <c r="Q211" s="221"/>
      <c r="R211" s="221"/>
      <c r="S211" s="221"/>
      <c r="T211" s="221">
        <v>1</v>
      </c>
      <c r="U211" s="221"/>
      <c r="V211" s="221">
        <v>1</v>
      </c>
      <c r="W211" s="220">
        <v>0</v>
      </c>
      <c r="X211" s="220">
        <v>0</v>
      </c>
      <c r="Y211" s="220"/>
      <c r="Z211" s="221">
        <v>0</v>
      </c>
      <c r="AA211" s="691" t="s">
        <v>2474</v>
      </c>
    </row>
    <row r="212" spans="1:29" ht="16.5" customHeight="1" x14ac:dyDescent="0.3">
      <c r="A212" s="49"/>
      <c r="B212" s="130" t="str">
        <f ca="1">'Translation Table'!H1932</f>
        <v>Heat Exchanger: Natural Gas/Steam</v>
      </c>
      <c r="C212" s="54" t="str">
        <f ca="1">'Translation Table'!H1932</f>
        <v>Heat Exchanger: Natural Gas/Steam</v>
      </c>
      <c r="D212" s="219">
        <v>0</v>
      </c>
      <c r="E212" s="219">
        <v>0</v>
      </c>
      <c r="F212" s="219"/>
      <c r="G212" s="219"/>
      <c r="H212" s="219">
        <v>0</v>
      </c>
      <c r="I212" s="219"/>
      <c r="J212" s="219"/>
      <c r="K212" s="219">
        <f t="shared" si="4"/>
        <v>4</v>
      </c>
      <c r="L212" s="219">
        <v>3</v>
      </c>
      <c r="M212" s="219">
        <v>1</v>
      </c>
      <c r="N212" s="219">
        <v>10</v>
      </c>
      <c r="O212" s="219">
        <v>0</v>
      </c>
      <c r="P212" s="219"/>
      <c r="Q212" s="219"/>
      <c r="R212" s="219"/>
      <c r="S212" s="219"/>
      <c r="T212" s="219"/>
      <c r="U212" s="219"/>
      <c r="V212" s="219">
        <v>0</v>
      </c>
      <c r="W212" s="219">
        <v>0</v>
      </c>
      <c r="X212" s="219">
        <v>0</v>
      </c>
      <c r="Y212" s="219"/>
      <c r="Z212" s="219">
        <v>0</v>
      </c>
      <c r="AA212" s="220" t="s">
        <v>2474</v>
      </c>
      <c r="AC212" s="46">
        <v>0</v>
      </c>
    </row>
    <row r="213" spans="1:29" ht="16.5" customHeight="1" x14ac:dyDescent="0.3">
      <c r="A213" s="49"/>
      <c r="B213" s="54" t="str">
        <f ca="1">'Translation Table'!H1933</f>
        <v>Heat Exchanger: Natural Gas/Natural Gas</v>
      </c>
      <c r="C213" s="54" t="str">
        <f ca="1">'Translation Table'!H1933</f>
        <v>Heat Exchanger: Natural Gas/Natural Gas</v>
      </c>
      <c r="D213" s="219">
        <v>0</v>
      </c>
      <c r="E213" s="219">
        <v>0</v>
      </c>
      <c r="F213" s="219"/>
      <c r="G213" s="219"/>
      <c r="H213" s="219">
        <v>0</v>
      </c>
      <c r="I213" s="219"/>
      <c r="J213" s="219"/>
      <c r="K213" s="219">
        <f t="shared" si="4"/>
        <v>10</v>
      </c>
      <c r="L213" s="219">
        <v>8</v>
      </c>
      <c r="M213" s="219">
        <v>2</v>
      </c>
      <c r="N213" s="219">
        <v>22</v>
      </c>
      <c r="O213" s="219">
        <v>0</v>
      </c>
      <c r="P213" s="219"/>
      <c r="Q213" s="219"/>
      <c r="R213" s="219"/>
      <c r="S213" s="219"/>
      <c r="T213" s="219"/>
      <c r="U213" s="219"/>
      <c r="V213" s="219">
        <v>0</v>
      </c>
      <c r="W213" s="219">
        <v>0</v>
      </c>
      <c r="X213" s="219">
        <v>0</v>
      </c>
      <c r="Y213" s="219"/>
      <c r="Z213" s="219">
        <v>0</v>
      </c>
      <c r="AA213" s="220" t="s">
        <v>2474</v>
      </c>
      <c r="AC213" s="46">
        <v>0</v>
      </c>
    </row>
    <row r="214" spans="1:29" ht="16.5" customHeight="1" x14ac:dyDescent="0.3">
      <c r="A214" s="49"/>
      <c r="B214" s="130" t="str">
        <f ca="1">'Translation Table'!H1934</f>
        <v>Heat Exchanger: Natural Gas/Non-Hydrocarbon Liquid</v>
      </c>
      <c r="C214" s="54" t="str">
        <f ca="1">'Translation Table'!H1934</f>
        <v>Heat Exchanger: Natural Gas/Non-Hydrocarbon Liquid</v>
      </c>
      <c r="D214" s="219">
        <v>0</v>
      </c>
      <c r="E214" s="219">
        <v>0</v>
      </c>
      <c r="F214" s="219"/>
      <c r="G214" s="219"/>
      <c r="H214" s="219">
        <v>0</v>
      </c>
      <c r="I214" s="219"/>
      <c r="J214" s="219"/>
      <c r="K214" s="219">
        <f t="shared" si="4"/>
        <v>4</v>
      </c>
      <c r="L214" s="219">
        <v>3</v>
      </c>
      <c r="M214" s="219">
        <v>1</v>
      </c>
      <c r="N214" s="219">
        <v>10</v>
      </c>
      <c r="O214" s="219">
        <v>0</v>
      </c>
      <c r="P214" s="219"/>
      <c r="Q214" s="219"/>
      <c r="R214" s="219"/>
      <c r="S214" s="219"/>
      <c r="T214" s="219"/>
      <c r="U214" s="219"/>
      <c r="V214" s="219">
        <v>0</v>
      </c>
      <c r="W214" s="219">
        <v>0</v>
      </c>
      <c r="X214" s="219">
        <v>0</v>
      </c>
      <c r="Y214" s="219"/>
      <c r="Z214" s="219">
        <v>0</v>
      </c>
      <c r="AA214" s="220" t="s">
        <v>2474</v>
      </c>
    </row>
    <row r="215" spans="1:29" ht="16.5" customHeight="1" x14ac:dyDescent="0.3">
      <c r="A215" s="49"/>
      <c r="B215" s="54" t="str">
        <f ca="1">'Translation Table'!H1935</f>
        <v>Heat Exchanger: Natural Gas/Hydrocarbon Liquid</v>
      </c>
      <c r="C215" s="54" t="str">
        <f ca="1">'Translation Table'!H1935</f>
        <v>Heat Exchanger: Natural Gas/Hydrocarbon Liquid</v>
      </c>
      <c r="D215" s="219">
        <v>0</v>
      </c>
      <c r="E215" s="219">
        <v>0</v>
      </c>
      <c r="F215" s="219"/>
      <c r="G215" s="219"/>
      <c r="H215" s="219">
        <v>0</v>
      </c>
      <c r="I215" s="219"/>
      <c r="J215" s="219"/>
      <c r="K215" s="219">
        <f t="shared" si="4"/>
        <v>4</v>
      </c>
      <c r="L215" s="219">
        <v>3</v>
      </c>
      <c r="M215" s="219">
        <v>1</v>
      </c>
      <c r="N215" s="219">
        <v>10</v>
      </c>
      <c r="O215" s="219">
        <v>0</v>
      </c>
      <c r="P215" s="219"/>
      <c r="Q215" s="219"/>
      <c r="R215" s="219"/>
      <c r="S215" s="219"/>
      <c r="T215" s="219"/>
      <c r="U215" s="219"/>
      <c r="V215" s="219">
        <v>0</v>
      </c>
      <c r="W215" s="219">
        <v>5</v>
      </c>
      <c r="X215" s="219">
        <v>10</v>
      </c>
      <c r="Y215" s="219"/>
      <c r="Z215" s="219">
        <v>0</v>
      </c>
      <c r="AA215" s="220" t="s">
        <v>2474</v>
      </c>
    </row>
    <row r="216" spans="1:29" ht="16.5" customHeight="1" x14ac:dyDescent="0.3">
      <c r="A216" s="49"/>
      <c r="B216" s="130" t="str">
        <f ca="1">'Translation Table'!H1936</f>
        <v>Heat Exchanger: Steam/Hydrocarbon Liquid</v>
      </c>
      <c r="C216" s="54" t="str">
        <f ca="1">'Translation Table'!H1936</f>
        <v>Heat Exchanger: Steam/Hydrocarbon Liquid</v>
      </c>
      <c r="D216" s="219">
        <v>0</v>
      </c>
      <c r="E216" s="219">
        <v>0</v>
      </c>
      <c r="F216" s="219"/>
      <c r="G216" s="219"/>
      <c r="H216" s="219">
        <v>0</v>
      </c>
      <c r="I216" s="219"/>
      <c r="J216" s="219"/>
      <c r="K216" s="219">
        <f t="shared" si="4"/>
        <v>0</v>
      </c>
      <c r="L216" s="219">
        <v>0</v>
      </c>
      <c r="M216" s="219">
        <v>0</v>
      </c>
      <c r="N216" s="219">
        <v>0</v>
      </c>
      <c r="O216" s="219">
        <v>0</v>
      </c>
      <c r="P216" s="219"/>
      <c r="Q216" s="219"/>
      <c r="R216" s="219"/>
      <c r="S216" s="219"/>
      <c r="T216" s="219"/>
      <c r="U216" s="219"/>
      <c r="V216" s="219">
        <v>0</v>
      </c>
      <c r="W216" s="219">
        <v>5</v>
      </c>
      <c r="X216" s="219">
        <v>10</v>
      </c>
      <c r="Y216" s="219"/>
      <c r="Z216" s="219">
        <v>0</v>
      </c>
      <c r="AA216" s="220" t="s">
        <v>2474</v>
      </c>
    </row>
    <row r="217" spans="1:29" ht="16.5" customHeight="1" x14ac:dyDescent="0.3">
      <c r="A217" s="49"/>
      <c r="B217" s="54" t="str">
        <f ca="1">'Translation Table'!H1937</f>
        <v>Heat Exchanger: Hydrocarbon Liquid/Hydrocarbon Liquid</v>
      </c>
      <c r="C217" s="54" t="str">
        <f ca="1">'Translation Table'!H1937</f>
        <v>Heat Exchanger: Hydrocarbon Liquid/Hydrocarbon Liquid</v>
      </c>
      <c r="D217" s="219">
        <v>0</v>
      </c>
      <c r="E217" s="219">
        <v>0</v>
      </c>
      <c r="F217" s="219"/>
      <c r="G217" s="219"/>
      <c r="H217" s="219">
        <v>0</v>
      </c>
      <c r="I217" s="219"/>
      <c r="J217" s="219"/>
      <c r="K217" s="219">
        <f t="shared" si="4"/>
        <v>0</v>
      </c>
      <c r="L217" s="219">
        <v>0</v>
      </c>
      <c r="M217" s="219">
        <v>0</v>
      </c>
      <c r="N217" s="219">
        <v>0</v>
      </c>
      <c r="O217" s="219">
        <v>0</v>
      </c>
      <c r="P217" s="219"/>
      <c r="Q217" s="219"/>
      <c r="R217" s="219"/>
      <c r="S217" s="219"/>
      <c r="T217" s="219"/>
      <c r="U217" s="219"/>
      <c r="V217" s="219">
        <v>0</v>
      </c>
      <c r="W217" s="219">
        <v>10</v>
      </c>
      <c r="X217" s="219">
        <v>20</v>
      </c>
      <c r="Y217" s="219"/>
      <c r="Z217" s="219">
        <v>0</v>
      </c>
      <c r="AA217" s="220" t="s">
        <v>2474</v>
      </c>
    </row>
    <row r="218" spans="1:29" ht="16.5" customHeight="1" x14ac:dyDescent="0.3">
      <c r="A218" s="49"/>
      <c r="B218" s="130" t="str">
        <f ca="1">'Translation Table'!H1938</f>
        <v>Heater/Boiler/Reboiler: Generic (Burner Assemblies: 1)</v>
      </c>
      <c r="C218" s="54" t="str">
        <f ca="1">'Translation Table'!H1938</f>
        <v>Heater/Boiler/Reboiler: Generic (Burner Assemblies: 1)</v>
      </c>
      <c r="D218" s="219">
        <v>2.29</v>
      </c>
      <c r="E218" s="221">
        <v>0.43</v>
      </c>
      <c r="F218" s="221"/>
      <c r="G218" s="221"/>
      <c r="H218" s="221">
        <v>0</v>
      </c>
      <c r="I218" s="221"/>
      <c r="J218" s="221"/>
      <c r="K218" s="219">
        <f t="shared" si="4"/>
        <v>31.21</v>
      </c>
      <c r="L218" s="219">
        <v>29.71</v>
      </c>
      <c r="M218" s="219">
        <v>1.5</v>
      </c>
      <c r="N218" s="219">
        <v>222.61</v>
      </c>
      <c r="O218" s="219">
        <v>5.76</v>
      </c>
      <c r="P218" s="221"/>
      <c r="Q218" s="221"/>
      <c r="R218" s="221"/>
      <c r="S218" s="221"/>
      <c r="T218" s="221"/>
      <c r="U218" s="221"/>
      <c r="V218" s="221">
        <v>0</v>
      </c>
      <c r="W218" s="220">
        <v>0</v>
      </c>
      <c r="X218" s="220">
        <v>0</v>
      </c>
      <c r="Y218" s="220"/>
      <c r="Z218" s="221">
        <v>1</v>
      </c>
      <c r="AA218" s="220" t="s">
        <v>2474</v>
      </c>
      <c r="AC218" s="46">
        <v>0</v>
      </c>
    </row>
    <row r="219" spans="1:29" ht="16.5" customHeight="1" x14ac:dyDescent="0.3">
      <c r="A219" s="49"/>
      <c r="B219" s="54" t="str">
        <f ca="1">'Translation Table'!H1939</f>
        <v>Heater/Boiler/Reboiler: Generic (Burner Assemblies: 2)</v>
      </c>
      <c r="C219" s="54" t="str">
        <f ca="1">'Translation Table'!H1939</f>
        <v>Heater/Boiler/Reboiler: Generic (Burner Assemblies: 2)</v>
      </c>
      <c r="D219" s="219">
        <v>7.59</v>
      </c>
      <c r="E219" s="221">
        <v>0.43</v>
      </c>
      <c r="F219" s="221"/>
      <c r="G219" s="221"/>
      <c r="H219" s="221">
        <v>0</v>
      </c>
      <c r="I219" s="221"/>
      <c r="J219" s="221"/>
      <c r="K219" s="219">
        <f t="shared" si="4"/>
        <v>44.510000000000005</v>
      </c>
      <c r="L219" s="219">
        <v>41.31</v>
      </c>
      <c r="M219" s="219">
        <v>3.2</v>
      </c>
      <c r="N219" s="219">
        <v>252.51</v>
      </c>
      <c r="O219" s="219">
        <v>7.59</v>
      </c>
      <c r="P219" s="221"/>
      <c r="Q219" s="221"/>
      <c r="R219" s="221"/>
      <c r="S219" s="221"/>
      <c r="T219" s="221"/>
      <c r="U219" s="221"/>
      <c r="V219" s="221">
        <v>0</v>
      </c>
      <c r="W219" s="220">
        <v>0</v>
      </c>
      <c r="X219" s="220">
        <v>0</v>
      </c>
      <c r="Y219" s="220"/>
      <c r="Z219" s="221">
        <v>1</v>
      </c>
      <c r="AA219" s="220" t="s">
        <v>2474</v>
      </c>
      <c r="AC219" s="46">
        <v>0</v>
      </c>
    </row>
    <row r="220" spans="1:29" ht="16.5" customHeight="1" x14ac:dyDescent="0.3">
      <c r="A220" s="49"/>
      <c r="B220" s="130" t="str">
        <f ca="1">'Translation Table'!H1940</f>
        <v>Heater/Boiler/Reboiler: Generic (Burner Assemblies: 3)</v>
      </c>
      <c r="C220" s="54" t="str">
        <f ca="1">'Translation Table'!H1940</f>
        <v>Heater/Boiler/Reboiler: Generic (Burner Assemblies: 3)</v>
      </c>
      <c r="D220" s="219">
        <v>12.89</v>
      </c>
      <c r="E220" s="221">
        <v>0.43</v>
      </c>
      <c r="F220" s="221"/>
      <c r="G220" s="221"/>
      <c r="H220" s="221">
        <v>0</v>
      </c>
      <c r="I220" s="221"/>
      <c r="J220" s="221"/>
      <c r="K220" s="219">
        <f t="shared" si="4"/>
        <v>57.809999999999995</v>
      </c>
      <c r="L220" s="219">
        <v>52.91</v>
      </c>
      <c r="M220" s="219">
        <v>4.9000000000000004</v>
      </c>
      <c r="N220" s="219">
        <v>282.41000000000003</v>
      </c>
      <c r="O220" s="219">
        <v>9.42</v>
      </c>
      <c r="P220" s="221"/>
      <c r="Q220" s="221"/>
      <c r="R220" s="221"/>
      <c r="S220" s="221"/>
      <c r="T220" s="221"/>
      <c r="U220" s="221"/>
      <c r="V220" s="221">
        <v>0</v>
      </c>
      <c r="W220" s="220">
        <v>0</v>
      </c>
      <c r="X220" s="220">
        <v>0</v>
      </c>
      <c r="Y220" s="220"/>
      <c r="Z220" s="221">
        <v>1</v>
      </c>
      <c r="AA220" s="220" t="s">
        <v>2474</v>
      </c>
      <c r="AC220" s="46">
        <v>0</v>
      </c>
    </row>
    <row r="221" spans="1:29" ht="16.5" customHeight="1" x14ac:dyDescent="0.3">
      <c r="A221" s="49"/>
      <c r="B221" s="54" t="str">
        <f ca="1">'Translation Table'!H1941</f>
        <v>Heater/Boiler/Reboiler: Line (Burner Assemblies: 1)</v>
      </c>
      <c r="C221" s="54" t="str">
        <f ca="1">'Translation Table'!H1941</f>
        <v>Heater/Boiler/Reboiler: Line (Burner Assemblies: 1)</v>
      </c>
      <c r="D221" s="219">
        <v>2.29</v>
      </c>
      <c r="E221" s="221">
        <v>0.43</v>
      </c>
      <c r="F221" s="221"/>
      <c r="G221" s="221"/>
      <c r="H221" s="221">
        <v>0</v>
      </c>
      <c r="I221" s="221"/>
      <c r="J221" s="221"/>
      <c r="K221" s="219">
        <f t="shared" si="4"/>
        <v>31.21</v>
      </c>
      <c r="L221" s="219">
        <v>29.71</v>
      </c>
      <c r="M221" s="219">
        <v>1.5</v>
      </c>
      <c r="N221" s="219">
        <v>222.61</v>
      </c>
      <c r="O221" s="219">
        <v>5.76</v>
      </c>
      <c r="P221" s="221"/>
      <c r="Q221" s="221"/>
      <c r="R221" s="221"/>
      <c r="S221" s="221"/>
      <c r="T221" s="221"/>
      <c r="U221" s="221"/>
      <c r="V221" s="221">
        <v>0</v>
      </c>
      <c r="W221" s="220">
        <v>0</v>
      </c>
      <c r="X221" s="220">
        <v>0</v>
      </c>
      <c r="Y221" s="220"/>
      <c r="Z221" s="221">
        <v>1</v>
      </c>
      <c r="AA221" s="220" t="s">
        <v>2474</v>
      </c>
    </row>
    <row r="222" spans="1:29" ht="16.5" customHeight="1" x14ac:dyDescent="0.3">
      <c r="A222" s="49"/>
      <c r="B222" s="130" t="str">
        <f ca="1">'Translation Table'!H1942</f>
        <v>Heater/Boiler/Reboiler: Line (Burner Assemblies: 2)</v>
      </c>
      <c r="C222" s="54" t="str">
        <f ca="1">'Translation Table'!H1942</f>
        <v>Heater/Boiler/Reboiler: Line (Burner Assemblies: 2)</v>
      </c>
      <c r="D222" s="219">
        <v>7.59</v>
      </c>
      <c r="E222" s="221">
        <v>0.43</v>
      </c>
      <c r="F222" s="221"/>
      <c r="G222" s="221"/>
      <c r="H222" s="221">
        <v>0</v>
      </c>
      <c r="I222" s="221"/>
      <c r="J222" s="221"/>
      <c r="K222" s="219">
        <f t="shared" si="4"/>
        <v>44.510000000000005</v>
      </c>
      <c r="L222" s="219">
        <v>41.31</v>
      </c>
      <c r="M222" s="219">
        <v>3.2</v>
      </c>
      <c r="N222" s="219">
        <v>252.51</v>
      </c>
      <c r="O222" s="219">
        <v>7.59</v>
      </c>
      <c r="P222" s="221"/>
      <c r="Q222" s="221"/>
      <c r="R222" s="221"/>
      <c r="S222" s="221"/>
      <c r="T222" s="221"/>
      <c r="U222" s="221"/>
      <c r="V222" s="221">
        <v>0</v>
      </c>
      <c r="W222" s="220">
        <v>0</v>
      </c>
      <c r="X222" s="220">
        <v>0</v>
      </c>
      <c r="Y222" s="220"/>
      <c r="Z222" s="221">
        <v>1</v>
      </c>
      <c r="AA222" s="220" t="s">
        <v>2474</v>
      </c>
    </row>
    <row r="223" spans="1:29" ht="16.5" customHeight="1" x14ac:dyDescent="0.3">
      <c r="A223" s="49"/>
      <c r="B223" s="54" t="str">
        <f ca="1">'Translation Table'!H1943</f>
        <v>Heater/Boiler/Reboiler: Line (Burner Assemblies: 3)</v>
      </c>
      <c r="C223" s="54" t="str">
        <f ca="1">'Translation Table'!H1943</f>
        <v>Heater/Boiler/Reboiler: Line (Burner Assemblies: 3)</v>
      </c>
      <c r="D223" s="219">
        <v>12.89</v>
      </c>
      <c r="E223" s="221">
        <v>0.43</v>
      </c>
      <c r="F223" s="221"/>
      <c r="G223" s="221"/>
      <c r="H223" s="221">
        <v>0</v>
      </c>
      <c r="I223" s="221"/>
      <c r="J223" s="221"/>
      <c r="K223" s="219">
        <f t="shared" si="4"/>
        <v>57.809999999999995</v>
      </c>
      <c r="L223" s="219">
        <v>52.91</v>
      </c>
      <c r="M223" s="219">
        <v>4.9000000000000004</v>
      </c>
      <c r="N223" s="219">
        <v>282.41000000000003</v>
      </c>
      <c r="O223" s="219">
        <v>9.42</v>
      </c>
      <c r="P223" s="221"/>
      <c r="Q223" s="221"/>
      <c r="R223" s="221"/>
      <c r="S223" s="221"/>
      <c r="T223" s="221"/>
      <c r="U223" s="221"/>
      <c r="V223" s="221">
        <v>0</v>
      </c>
      <c r="W223" s="220">
        <v>0</v>
      </c>
      <c r="X223" s="220">
        <v>0</v>
      </c>
      <c r="Y223" s="220"/>
      <c r="Z223" s="221">
        <v>1</v>
      </c>
      <c r="AA223" s="220" t="s">
        <v>2474</v>
      </c>
    </row>
    <row r="224" spans="1:29" ht="16.5" customHeight="1" x14ac:dyDescent="0.3">
      <c r="A224" s="49"/>
      <c r="B224" s="130" t="str">
        <f ca="1">'Translation Table'!H1944</f>
        <v>Heater/Boiler/Reboiler: Treater (Burner Assemblies: 1)</v>
      </c>
      <c r="C224" s="54" t="str">
        <f ca="1">'Translation Table'!H1944</f>
        <v>Heater/Boiler/Reboiler: Treater (Burner Assemblies: 1)</v>
      </c>
      <c r="D224" s="219">
        <v>2.29</v>
      </c>
      <c r="E224" s="221">
        <v>0.43</v>
      </c>
      <c r="F224" s="221"/>
      <c r="G224" s="221"/>
      <c r="H224" s="221">
        <v>0</v>
      </c>
      <c r="I224" s="221"/>
      <c r="J224" s="221"/>
      <c r="K224" s="219">
        <f t="shared" si="4"/>
        <v>31.21</v>
      </c>
      <c r="L224" s="219">
        <v>29.71</v>
      </c>
      <c r="M224" s="219">
        <v>1.5</v>
      </c>
      <c r="N224" s="219">
        <v>222.61</v>
      </c>
      <c r="O224" s="219">
        <v>5.76</v>
      </c>
      <c r="P224" s="221"/>
      <c r="Q224" s="221"/>
      <c r="R224" s="221"/>
      <c r="S224" s="221"/>
      <c r="T224" s="221"/>
      <c r="U224" s="221"/>
      <c r="V224" s="221">
        <v>0</v>
      </c>
      <c r="W224" s="220">
        <v>0</v>
      </c>
      <c r="X224" s="220">
        <v>0</v>
      </c>
      <c r="Y224" s="220"/>
      <c r="Z224" s="221">
        <v>2</v>
      </c>
      <c r="AA224" s="220" t="s">
        <v>2474</v>
      </c>
      <c r="AC224" s="46">
        <v>0</v>
      </c>
    </row>
    <row r="225" spans="1:29" ht="16.5" customHeight="1" x14ac:dyDescent="0.3">
      <c r="A225" s="49"/>
      <c r="B225" s="54" t="str">
        <f ca="1">'Translation Table'!H1945</f>
        <v>Heater/Boiler/Reboiler: Treater (Burner Assemblies: 2)</v>
      </c>
      <c r="C225" s="54" t="str">
        <f ca="1">'Translation Table'!H1945</f>
        <v>Heater/Boiler/Reboiler: Treater (Burner Assemblies: 2)</v>
      </c>
      <c r="D225" s="219">
        <v>7.59</v>
      </c>
      <c r="E225" s="221">
        <v>0.43</v>
      </c>
      <c r="F225" s="221"/>
      <c r="G225" s="221"/>
      <c r="H225" s="221">
        <v>0</v>
      </c>
      <c r="I225" s="221"/>
      <c r="J225" s="221"/>
      <c r="K225" s="219">
        <f t="shared" si="4"/>
        <v>44.510000000000005</v>
      </c>
      <c r="L225" s="219">
        <v>41.31</v>
      </c>
      <c r="M225" s="219">
        <v>3.2</v>
      </c>
      <c r="N225" s="219">
        <v>252.51</v>
      </c>
      <c r="O225" s="219">
        <v>7.59</v>
      </c>
      <c r="P225" s="221"/>
      <c r="Q225" s="221"/>
      <c r="R225" s="221"/>
      <c r="S225" s="221"/>
      <c r="T225" s="221"/>
      <c r="U225" s="221"/>
      <c r="V225" s="221">
        <v>0</v>
      </c>
      <c r="W225" s="220">
        <v>0</v>
      </c>
      <c r="X225" s="220">
        <v>0</v>
      </c>
      <c r="Y225" s="220"/>
      <c r="Z225" s="221">
        <v>2</v>
      </c>
      <c r="AA225" s="220" t="s">
        <v>2474</v>
      </c>
      <c r="AC225" s="46">
        <v>0</v>
      </c>
    </row>
    <row r="226" spans="1:29" ht="16.5" customHeight="1" x14ac:dyDescent="0.3">
      <c r="A226" s="49"/>
      <c r="B226" s="130" t="str">
        <f ca="1">'Translation Table'!H1946</f>
        <v>Heater/Boiler/Reboiler: Treater (Burner Assemblies: 3)</v>
      </c>
      <c r="C226" s="54" t="str">
        <f ca="1">'Translation Table'!H1946</f>
        <v>Heater/Boiler/Reboiler: Treater (Burner Assemblies: 3)</v>
      </c>
      <c r="D226" s="219">
        <v>12.89</v>
      </c>
      <c r="E226" s="221">
        <v>0.43</v>
      </c>
      <c r="F226" s="221"/>
      <c r="G226" s="221"/>
      <c r="H226" s="221">
        <v>0</v>
      </c>
      <c r="I226" s="221"/>
      <c r="J226" s="221"/>
      <c r="K226" s="219">
        <f t="shared" si="4"/>
        <v>57.809999999999995</v>
      </c>
      <c r="L226" s="219">
        <v>52.91</v>
      </c>
      <c r="M226" s="219">
        <v>4.9000000000000004</v>
      </c>
      <c r="N226" s="219">
        <v>282.41000000000003</v>
      </c>
      <c r="O226" s="219">
        <v>9.42</v>
      </c>
      <c r="P226" s="221"/>
      <c r="Q226" s="221"/>
      <c r="R226" s="221"/>
      <c r="S226" s="221"/>
      <c r="T226" s="221"/>
      <c r="U226" s="221"/>
      <c r="V226" s="221">
        <v>0</v>
      </c>
      <c r="W226" s="220">
        <v>0</v>
      </c>
      <c r="X226" s="220">
        <v>0</v>
      </c>
      <c r="Y226" s="220"/>
      <c r="Z226" s="221">
        <v>2</v>
      </c>
      <c r="AA226" s="220" t="s">
        <v>2474</v>
      </c>
      <c r="AC226" s="46">
        <v>0</v>
      </c>
    </row>
    <row r="227" spans="1:29" ht="16.5" customHeight="1" x14ac:dyDescent="0.3">
      <c r="A227" s="49"/>
      <c r="B227" s="54" t="str">
        <f ca="1">'Translation Table'!H1947</f>
        <v>Hydrocarbon Dewpoint Control: Joule-Thomson Unit (Excluding Compressor)</v>
      </c>
      <c r="C227" s="54" t="str">
        <f ca="1">'Translation Table'!H1947</f>
        <v>Hydrocarbon Dewpoint Control: Joule-Thomson Unit (Excluding Compressor)</v>
      </c>
      <c r="D227" s="219">
        <v>0</v>
      </c>
      <c r="E227" s="221">
        <v>0</v>
      </c>
      <c r="F227" s="221"/>
      <c r="G227" s="221"/>
      <c r="H227" s="221">
        <v>0</v>
      </c>
      <c r="I227" s="221"/>
      <c r="J227" s="221"/>
      <c r="K227" s="219">
        <f t="shared" si="4"/>
        <v>19</v>
      </c>
      <c r="L227" s="219">
        <v>19</v>
      </c>
      <c r="M227" s="219"/>
      <c r="N227" s="219">
        <v>79</v>
      </c>
      <c r="O227" s="219">
        <v>2</v>
      </c>
      <c r="P227" s="221"/>
      <c r="Q227" s="221"/>
      <c r="R227" s="221"/>
      <c r="S227" s="221"/>
      <c r="T227" s="221"/>
      <c r="U227" s="221"/>
      <c r="V227" s="221">
        <v>2</v>
      </c>
      <c r="W227" s="220">
        <v>11</v>
      </c>
      <c r="X227" s="220">
        <v>41</v>
      </c>
      <c r="Y227" s="220"/>
      <c r="Z227" s="221">
        <v>0</v>
      </c>
      <c r="AA227" s="220" t="s">
        <v>517</v>
      </c>
      <c r="AC227" s="46">
        <v>0</v>
      </c>
    </row>
    <row r="228" spans="1:29" ht="16.5" customHeight="1" x14ac:dyDescent="0.3">
      <c r="A228" s="49"/>
      <c r="B228" s="130" t="str">
        <f ca="1">'Translation Table'!H1948</f>
        <v>Hydrocarbon Dewpoint Control: Propane Refrigeration</v>
      </c>
      <c r="C228" s="54" t="str">
        <f ca="1">'Translation Table'!H1948</f>
        <v>Hydrocarbon Dewpoint Control: Propane Refrigeration</v>
      </c>
      <c r="D228" s="219">
        <v>2</v>
      </c>
      <c r="E228" s="221">
        <v>0</v>
      </c>
      <c r="F228" s="221"/>
      <c r="G228" s="221"/>
      <c r="H228" s="221">
        <v>0</v>
      </c>
      <c r="I228" s="221"/>
      <c r="J228" s="221"/>
      <c r="K228" s="219">
        <f t="shared" si="4"/>
        <v>65</v>
      </c>
      <c r="L228" s="219">
        <v>65</v>
      </c>
      <c r="M228" s="219"/>
      <c r="N228" s="219">
        <v>170</v>
      </c>
      <c r="O228" s="219">
        <v>2</v>
      </c>
      <c r="P228" s="221"/>
      <c r="Q228" s="221"/>
      <c r="R228" s="221"/>
      <c r="S228" s="221"/>
      <c r="T228" s="221"/>
      <c r="U228" s="221"/>
      <c r="V228" s="221">
        <v>2</v>
      </c>
      <c r="W228" s="220">
        <v>13</v>
      </c>
      <c r="X228" s="220">
        <v>31</v>
      </c>
      <c r="Y228" s="220"/>
      <c r="Z228" s="221">
        <v>4</v>
      </c>
      <c r="AA228" s="220" t="s">
        <v>517</v>
      </c>
      <c r="AC228" s="46">
        <v>0</v>
      </c>
    </row>
    <row r="229" spans="1:29" ht="16.5" customHeight="1" x14ac:dyDescent="0.3">
      <c r="A229" s="49"/>
      <c r="B229" s="54" t="str">
        <f ca="1">'Translation Table'!H1949</f>
        <v>Inlet/Outlet Header: Gas Facilities (Fittings Per Pipeline)</v>
      </c>
      <c r="C229" s="54" t="str">
        <f ca="1">'Translation Table'!H1949</f>
        <v>Inlet/Outlet Header: Gas Facilities (Fittings Per Pipeline)</v>
      </c>
      <c r="D229" s="219">
        <v>0</v>
      </c>
      <c r="E229" s="221">
        <v>0</v>
      </c>
      <c r="F229" s="221"/>
      <c r="G229" s="221"/>
      <c r="H229" s="221">
        <v>0</v>
      </c>
      <c r="I229" s="221"/>
      <c r="J229" s="221"/>
      <c r="K229" s="219">
        <f t="shared" si="4"/>
        <v>7</v>
      </c>
      <c r="L229" s="219">
        <v>6</v>
      </c>
      <c r="M229" s="219">
        <v>1</v>
      </c>
      <c r="N229" s="219">
        <v>16</v>
      </c>
      <c r="O229" s="219">
        <v>0</v>
      </c>
      <c r="P229" s="221"/>
      <c r="Q229" s="221"/>
      <c r="R229" s="221"/>
      <c r="S229" s="221"/>
      <c r="T229" s="221"/>
      <c r="U229" s="221"/>
      <c r="V229" s="221">
        <v>0</v>
      </c>
      <c r="W229" s="220">
        <v>0</v>
      </c>
      <c r="X229" s="220">
        <v>0</v>
      </c>
      <c r="Y229" s="220"/>
      <c r="Z229" s="221">
        <v>0</v>
      </c>
      <c r="AA229" s="220" t="s">
        <v>2474</v>
      </c>
    </row>
    <row r="230" spans="1:29" ht="16.5" customHeight="1" x14ac:dyDescent="0.3">
      <c r="A230" s="49"/>
      <c r="B230" s="130" t="str">
        <f ca="1">'Translation Table'!H1950</f>
        <v>Inlet/Outlet Header: Oil Facilities (Fittings Per Pipeline)</v>
      </c>
      <c r="C230" s="54" t="str">
        <f ca="1">'Translation Table'!H1950</f>
        <v>Inlet/Outlet Header: Oil Facilities (Fittings Per Pipeline)</v>
      </c>
      <c r="D230" s="219">
        <v>0</v>
      </c>
      <c r="E230" s="221">
        <v>0</v>
      </c>
      <c r="F230" s="221"/>
      <c r="G230" s="221"/>
      <c r="H230" s="221">
        <v>0</v>
      </c>
      <c r="I230" s="221"/>
      <c r="J230" s="221"/>
      <c r="K230" s="219">
        <f t="shared" si="4"/>
        <v>0</v>
      </c>
      <c r="L230" s="219"/>
      <c r="M230" s="219"/>
      <c r="N230" s="219"/>
      <c r="O230" s="219"/>
      <c r="P230" s="221"/>
      <c r="Q230" s="221"/>
      <c r="R230" s="221"/>
      <c r="S230" s="221"/>
      <c r="T230" s="221"/>
      <c r="U230" s="221"/>
      <c r="V230" s="221">
        <v>0</v>
      </c>
      <c r="W230" s="220">
        <v>7</v>
      </c>
      <c r="X230" s="220">
        <v>16</v>
      </c>
      <c r="Y230" s="220"/>
      <c r="Z230" s="221">
        <v>0</v>
      </c>
      <c r="AA230" s="220" t="s">
        <v>2474</v>
      </c>
    </row>
    <row r="231" spans="1:29" ht="16.5" customHeight="1" x14ac:dyDescent="0.3">
      <c r="A231" s="49"/>
      <c r="B231" s="54" t="str">
        <f ca="1">'Translation Table'!H1951</f>
        <v>LPG Extraction: Deepcut (C2 to C4)</v>
      </c>
      <c r="C231" s="54" t="str">
        <f ca="1">'Translation Table'!H1951</f>
        <v>LPG Extraction: Deepcut (C2 to C4)</v>
      </c>
      <c r="D231" s="219">
        <v>10</v>
      </c>
      <c r="E231" s="221">
        <v>0</v>
      </c>
      <c r="F231" s="221"/>
      <c r="G231" s="221"/>
      <c r="H231" s="221">
        <v>0</v>
      </c>
      <c r="I231" s="221"/>
      <c r="J231" s="221"/>
      <c r="K231" s="219">
        <f t="shared" si="4"/>
        <v>131</v>
      </c>
      <c r="L231" s="219">
        <v>131</v>
      </c>
      <c r="M231" s="219"/>
      <c r="N231" s="219">
        <v>241</v>
      </c>
      <c r="O231" s="219">
        <v>4</v>
      </c>
      <c r="P231" s="221"/>
      <c r="Q231" s="221">
        <v>2</v>
      </c>
      <c r="R231" s="221"/>
      <c r="S231" s="221"/>
      <c r="T231" s="221"/>
      <c r="U231" s="221"/>
      <c r="V231" s="221">
        <v>14</v>
      </c>
      <c r="W231" s="220">
        <v>121</v>
      </c>
      <c r="X231" s="220">
        <v>386</v>
      </c>
      <c r="Y231" s="220">
        <v>2</v>
      </c>
      <c r="Z231" s="221">
        <v>6</v>
      </c>
      <c r="AA231" s="220" t="s">
        <v>517</v>
      </c>
      <c r="AC231" s="46">
        <v>0</v>
      </c>
    </row>
    <row r="232" spans="1:29" ht="16.5" customHeight="1" x14ac:dyDescent="0.3">
      <c r="A232" s="49"/>
      <c r="B232" s="130" t="str">
        <f ca="1">'Translation Table'!H1952</f>
        <v>LPG Extraction: Shallow Cut (C3 to C4)</v>
      </c>
      <c r="C232" s="54" t="str">
        <f ca="1">'Translation Table'!H1952</f>
        <v>LPG Extraction: Shallow Cut (C3 to C4)</v>
      </c>
      <c r="D232" s="219">
        <v>6</v>
      </c>
      <c r="E232" s="221">
        <v>0</v>
      </c>
      <c r="F232" s="221"/>
      <c r="G232" s="221"/>
      <c r="H232" s="221">
        <v>0</v>
      </c>
      <c r="I232" s="221"/>
      <c r="J232" s="221"/>
      <c r="K232" s="219">
        <f t="shared" si="4"/>
        <v>48</v>
      </c>
      <c r="L232" s="219">
        <v>48</v>
      </c>
      <c r="M232" s="219"/>
      <c r="N232" s="219">
        <v>123</v>
      </c>
      <c r="O232" s="219">
        <v>4</v>
      </c>
      <c r="P232" s="221"/>
      <c r="Q232" s="221"/>
      <c r="R232" s="221"/>
      <c r="S232" s="221"/>
      <c r="T232" s="221"/>
      <c r="U232" s="221"/>
      <c r="V232" s="221">
        <v>6</v>
      </c>
      <c r="W232" s="220">
        <v>2</v>
      </c>
      <c r="X232" s="220">
        <v>9</v>
      </c>
      <c r="Y232" s="220"/>
      <c r="Z232" s="221">
        <v>8</v>
      </c>
      <c r="AA232" s="220" t="s">
        <v>517</v>
      </c>
      <c r="AC232" s="46">
        <v>0</v>
      </c>
    </row>
    <row r="233" spans="1:29" ht="16.5" customHeight="1" x14ac:dyDescent="0.3">
      <c r="A233" s="49"/>
      <c r="B233" s="54" t="str">
        <f ca="1">'Translation Table'!H1953</f>
        <v>NGL – Natural Gas Liquefaction</v>
      </c>
      <c r="C233" s="54" t="str">
        <f ca="1">'Translation Table'!H1953</f>
        <v>NGL – Natural Gas Liquefaction</v>
      </c>
      <c r="D233" s="219">
        <v>10</v>
      </c>
      <c r="E233" s="221">
        <v>0</v>
      </c>
      <c r="F233" s="221"/>
      <c r="G233" s="221"/>
      <c r="H233" s="221">
        <v>0</v>
      </c>
      <c r="I233" s="221"/>
      <c r="J233" s="221"/>
      <c r="K233" s="219">
        <f t="shared" si="4"/>
        <v>131</v>
      </c>
      <c r="L233" s="219">
        <v>131</v>
      </c>
      <c r="M233" s="219"/>
      <c r="N233" s="219">
        <v>192</v>
      </c>
      <c r="O233" s="219">
        <v>6</v>
      </c>
      <c r="P233" s="221"/>
      <c r="Q233" s="221"/>
      <c r="R233" s="221"/>
      <c r="S233" s="221"/>
      <c r="T233" s="221"/>
      <c r="U233" s="221"/>
      <c r="V233" s="221">
        <v>10</v>
      </c>
      <c r="W233" s="220">
        <v>121</v>
      </c>
      <c r="X233" s="220">
        <v>386</v>
      </c>
      <c r="Y233" s="220"/>
      <c r="Z233" s="221">
        <v>8</v>
      </c>
      <c r="AA233" s="220" t="s">
        <v>517</v>
      </c>
      <c r="AC233" s="46">
        <v>0</v>
      </c>
    </row>
    <row r="234" spans="1:29" ht="16.5" customHeight="1" x14ac:dyDescent="0.3">
      <c r="A234" s="49"/>
      <c r="B234" s="130" t="str">
        <f ca="1">'Translation Table'!H1954</f>
        <v>PIG Receiver or Sender</v>
      </c>
      <c r="C234" s="54" t="str">
        <f ca="1">'Translation Table'!H1954</f>
        <v>PIG Receiver or Sender</v>
      </c>
      <c r="D234" s="219">
        <v>0</v>
      </c>
      <c r="E234" s="221">
        <v>0</v>
      </c>
      <c r="F234" s="221"/>
      <c r="G234" s="221"/>
      <c r="H234" s="221">
        <v>0</v>
      </c>
      <c r="I234" s="221"/>
      <c r="J234" s="221"/>
      <c r="K234" s="219">
        <f t="shared" si="4"/>
        <v>3</v>
      </c>
      <c r="L234" s="219">
        <v>3</v>
      </c>
      <c r="M234" s="219"/>
      <c r="N234" s="219">
        <v>241</v>
      </c>
      <c r="O234" s="219">
        <v>0</v>
      </c>
      <c r="P234" s="221"/>
      <c r="Q234" s="221"/>
      <c r="R234" s="221"/>
      <c r="S234" s="221"/>
      <c r="T234" s="221"/>
      <c r="U234" s="221"/>
      <c r="V234" s="221">
        <v>0</v>
      </c>
      <c r="W234" s="220"/>
      <c r="X234" s="220"/>
      <c r="Y234" s="220"/>
      <c r="Z234" s="221">
        <v>1</v>
      </c>
      <c r="AA234" s="220" t="s">
        <v>517</v>
      </c>
      <c r="AC234" s="46">
        <v>0</v>
      </c>
    </row>
    <row r="235" spans="1:29" ht="16.5" customHeight="1" x14ac:dyDescent="0.3">
      <c r="A235" s="49"/>
      <c r="B235" s="54" t="str">
        <f ca="1">'Translation Table'!H1955</f>
        <v>Power Generator: Natural Gas Fuelled (Driver: Gas Turbine)</v>
      </c>
      <c r="C235" s="54" t="str">
        <f ca="1">'Translation Table'!H1955</f>
        <v>Power Generator: Natural Gas Fuelled (Driver: Gas Turbine)</v>
      </c>
      <c r="D235" s="219">
        <v>1.62</v>
      </c>
      <c r="E235" s="221">
        <v>1.93</v>
      </c>
      <c r="F235" s="221"/>
      <c r="G235" s="221"/>
      <c r="H235" s="221">
        <v>0</v>
      </c>
      <c r="I235" s="221"/>
      <c r="J235" s="221"/>
      <c r="K235" s="219">
        <f t="shared" si="4"/>
        <v>39.86</v>
      </c>
      <c r="L235" s="219">
        <v>32.94</v>
      </c>
      <c r="M235" s="219">
        <v>6.92</v>
      </c>
      <c r="N235" s="219">
        <v>203.8</v>
      </c>
      <c r="O235" s="219">
        <v>4.33</v>
      </c>
      <c r="P235" s="221"/>
      <c r="Q235" s="221"/>
      <c r="R235" s="221"/>
      <c r="S235" s="221"/>
      <c r="T235" s="221"/>
      <c r="U235" s="221"/>
      <c r="V235" s="221">
        <v>2</v>
      </c>
      <c r="W235" s="220">
        <v>0</v>
      </c>
      <c r="X235" s="220">
        <v>0</v>
      </c>
      <c r="Y235" s="220">
        <v>0</v>
      </c>
      <c r="Z235" s="221">
        <v>1</v>
      </c>
      <c r="AA235" s="220" t="s">
        <v>2474</v>
      </c>
      <c r="AC235" s="46">
        <v>0</v>
      </c>
    </row>
    <row r="236" spans="1:29" ht="16.5" customHeight="1" x14ac:dyDescent="0.3">
      <c r="A236" s="49"/>
      <c r="B236" s="130" t="str">
        <f ca="1">'Translation Table'!H1956</f>
        <v>Power Generator: Natural Gas Fuelled (Driver: Recip. Engine)</v>
      </c>
      <c r="C236" s="54" t="str">
        <f ca="1">'Translation Table'!H1956</f>
        <v>Power Generator: Natural Gas Fuelled (Driver: Recip. Engine)</v>
      </c>
      <c r="D236" s="219">
        <v>3.29</v>
      </c>
      <c r="E236" s="221">
        <v>1.76</v>
      </c>
      <c r="F236" s="221"/>
      <c r="G236" s="221"/>
      <c r="H236" s="221">
        <v>0</v>
      </c>
      <c r="I236" s="221"/>
      <c r="J236" s="221"/>
      <c r="K236" s="219">
        <f t="shared" si="4"/>
        <v>26.189999999999998</v>
      </c>
      <c r="L236" s="219">
        <v>20.86</v>
      </c>
      <c r="M236" s="219">
        <v>5.33</v>
      </c>
      <c r="N236" s="219">
        <v>157.71</v>
      </c>
      <c r="O236" s="219">
        <v>1.5</v>
      </c>
      <c r="P236" s="221"/>
      <c r="Q236" s="221"/>
      <c r="R236" s="221"/>
      <c r="S236" s="221"/>
      <c r="T236" s="221"/>
      <c r="U236" s="221"/>
      <c r="V236" s="221">
        <v>2</v>
      </c>
      <c r="W236" s="220">
        <v>0</v>
      </c>
      <c r="X236" s="220">
        <v>0</v>
      </c>
      <c r="Y236" s="220">
        <v>0</v>
      </c>
      <c r="Z236" s="221">
        <v>1</v>
      </c>
      <c r="AA236" s="220" t="s">
        <v>2474</v>
      </c>
      <c r="AC236" s="46">
        <v>0</v>
      </c>
    </row>
    <row r="237" spans="1:29" ht="16.5" customHeight="1" x14ac:dyDescent="0.3">
      <c r="A237" s="49"/>
      <c r="B237" s="54" t="str">
        <f ca="1">'Translation Table'!H1957</f>
        <v>Pump: Hydrocarbon Service (Driver: Motor)</v>
      </c>
      <c r="C237" s="54" t="str">
        <f ca="1">'Translation Table'!H1957</f>
        <v>Pump: Hydrocarbon Service (Driver: Motor)</v>
      </c>
      <c r="D237" s="219">
        <v>0</v>
      </c>
      <c r="E237" s="219">
        <v>0</v>
      </c>
      <c r="F237" s="219"/>
      <c r="G237" s="219"/>
      <c r="H237" s="219">
        <v>0</v>
      </c>
      <c r="I237" s="219"/>
      <c r="J237" s="219"/>
      <c r="K237" s="219">
        <f t="shared" si="4"/>
        <v>0</v>
      </c>
      <c r="L237" s="219">
        <v>0</v>
      </c>
      <c r="M237" s="219">
        <v>0</v>
      </c>
      <c r="N237" s="219">
        <v>0</v>
      </c>
      <c r="O237" s="219">
        <v>0</v>
      </c>
      <c r="P237" s="219"/>
      <c r="Q237" s="219"/>
      <c r="R237" s="219"/>
      <c r="S237" s="219"/>
      <c r="T237" s="219"/>
      <c r="U237" s="219"/>
      <c r="V237" s="219">
        <v>0</v>
      </c>
      <c r="W237" s="219">
        <v>4</v>
      </c>
      <c r="X237" s="219">
        <v>10</v>
      </c>
      <c r="Y237" s="219">
        <v>1</v>
      </c>
      <c r="Z237" s="219">
        <v>0</v>
      </c>
      <c r="AA237" s="220" t="s">
        <v>2474</v>
      </c>
    </row>
    <row r="238" spans="1:29" ht="16.5" customHeight="1" x14ac:dyDescent="0.3">
      <c r="A238" s="49"/>
      <c r="B238" s="130" t="str">
        <f ca="1">'Translation Table'!H1958</f>
        <v>Pump: Hydrocarbon Service (Driver: Recip Engine) (Fuel: Gaseous)</v>
      </c>
      <c r="C238" s="54" t="str">
        <f ca="1">'Translation Table'!H1958</f>
        <v>Pump: Hydrocarbon Service (Driver: Recip Engine) (Fuel: Gaseous)</v>
      </c>
      <c r="D238" s="219">
        <v>3.29</v>
      </c>
      <c r="E238" s="221">
        <v>1.76</v>
      </c>
      <c r="F238" s="221"/>
      <c r="G238" s="221"/>
      <c r="H238" s="221">
        <v>0</v>
      </c>
      <c r="I238" s="221"/>
      <c r="J238" s="221"/>
      <c r="K238" s="219">
        <f t="shared" si="4"/>
        <v>26.189999999999998</v>
      </c>
      <c r="L238" s="219">
        <v>20.86</v>
      </c>
      <c r="M238" s="219">
        <v>5.33</v>
      </c>
      <c r="N238" s="219">
        <v>157.71</v>
      </c>
      <c r="O238" s="219">
        <v>1.5</v>
      </c>
      <c r="P238" s="221"/>
      <c r="Q238" s="219"/>
      <c r="R238" s="219"/>
      <c r="S238" s="219"/>
      <c r="T238" s="221"/>
      <c r="U238" s="221"/>
      <c r="V238" s="221">
        <v>2</v>
      </c>
      <c r="W238" s="219">
        <v>4</v>
      </c>
      <c r="X238" s="219">
        <v>10</v>
      </c>
      <c r="Y238" s="219">
        <v>1</v>
      </c>
      <c r="Z238" s="221">
        <v>0</v>
      </c>
      <c r="AA238" s="220" t="s">
        <v>2474</v>
      </c>
      <c r="AC238" s="46">
        <v>0</v>
      </c>
    </row>
    <row r="239" spans="1:29" ht="16.5" customHeight="1" x14ac:dyDescent="0.3">
      <c r="A239" s="49"/>
      <c r="B239" s="54" t="str">
        <f ca="1">'Translation Table'!H1959</f>
        <v>Pump: Hydrocarbon Service (Driver: Recip Engine) (Fuel: Liquid)</v>
      </c>
      <c r="C239" s="54" t="str">
        <f ca="1">'Translation Table'!H1959</f>
        <v>Pump: Hydrocarbon Service (Driver: Recip Engine) (Fuel: Liquid)</v>
      </c>
      <c r="D239" s="219">
        <v>0</v>
      </c>
      <c r="E239" s="221">
        <v>0</v>
      </c>
      <c r="F239" s="221"/>
      <c r="G239" s="221"/>
      <c r="H239" s="221">
        <v>0</v>
      </c>
      <c r="I239" s="221"/>
      <c r="J239" s="221"/>
      <c r="K239" s="219">
        <f t="shared" si="4"/>
        <v>0</v>
      </c>
      <c r="L239" s="219">
        <v>0</v>
      </c>
      <c r="M239" s="219">
        <v>0</v>
      </c>
      <c r="N239" s="219">
        <v>0</v>
      </c>
      <c r="O239" s="219">
        <v>0</v>
      </c>
      <c r="P239" s="221"/>
      <c r="Q239" s="219"/>
      <c r="R239" s="219"/>
      <c r="S239" s="219"/>
      <c r="T239" s="221"/>
      <c r="U239" s="221"/>
      <c r="V239" s="221">
        <v>1</v>
      </c>
      <c r="W239" s="219">
        <v>4</v>
      </c>
      <c r="X239" s="219">
        <v>10</v>
      </c>
      <c r="Y239" s="219">
        <v>1</v>
      </c>
      <c r="Z239" s="221">
        <v>0</v>
      </c>
      <c r="AA239" s="220" t="s">
        <v>2474</v>
      </c>
    </row>
    <row r="240" spans="1:29" ht="16.5" customHeight="1" x14ac:dyDescent="0.3">
      <c r="A240" s="49"/>
      <c r="B240" s="130" t="str">
        <f ca="1">'Translation Table'!H1960</f>
        <v>Pump: Non-Hydrocarbon Service (Driver: Recip Engine) (Fuel: Gaseous)</v>
      </c>
      <c r="C240" s="54" t="str">
        <f ca="1">'Translation Table'!H1960</f>
        <v>Pump: Non-Hydrocarbon Service (Driver: Recip Engine) (Fuel: Gaseous)</v>
      </c>
      <c r="D240" s="219">
        <v>3.29</v>
      </c>
      <c r="E240" s="221">
        <v>1.76</v>
      </c>
      <c r="F240" s="221"/>
      <c r="G240" s="221"/>
      <c r="H240" s="221">
        <v>0</v>
      </c>
      <c r="I240" s="221"/>
      <c r="J240" s="221"/>
      <c r="K240" s="219">
        <f t="shared" si="4"/>
        <v>26.189999999999998</v>
      </c>
      <c r="L240" s="219">
        <v>20.86</v>
      </c>
      <c r="M240" s="219">
        <v>5.33</v>
      </c>
      <c r="N240" s="219">
        <v>157.71</v>
      </c>
      <c r="O240" s="219">
        <v>1.5</v>
      </c>
      <c r="P240" s="221"/>
      <c r="Q240" s="219"/>
      <c r="R240" s="219"/>
      <c r="S240" s="219"/>
      <c r="T240" s="221"/>
      <c r="U240" s="221"/>
      <c r="V240" s="221">
        <v>2</v>
      </c>
      <c r="W240" s="220">
        <v>0</v>
      </c>
      <c r="X240" s="220">
        <v>0</v>
      </c>
      <c r="Y240" s="220">
        <v>0</v>
      </c>
      <c r="Z240" s="221">
        <v>0</v>
      </c>
      <c r="AA240" s="220" t="s">
        <v>2474</v>
      </c>
    </row>
    <row r="241" spans="1:29" ht="16.5" customHeight="1" x14ac:dyDescent="0.3">
      <c r="A241" s="49"/>
      <c r="B241" s="54" t="str">
        <f ca="1">'Translation Table'!H1961</f>
        <v>Pump: Non-Hydrocarbon Service (Driver: Recip Engine) (Fuel: Gaseous)</v>
      </c>
      <c r="C241" s="54" t="str">
        <f ca="1">'Translation Table'!H1961</f>
        <v>Pump: Non-Hydrocarbon Service (Driver: Recip Engine) (Fuel: Gaseous)</v>
      </c>
      <c r="D241" s="219">
        <v>3.29</v>
      </c>
      <c r="E241" s="221">
        <v>1.76</v>
      </c>
      <c r="F241" s="221"/>
      <c r="G241" s="221"/>
      <c r="H241" s="221">
        <v>0</v>
      </c>
      <c r="I241" s="221"/>
      <c r="J241" s="221"/>
      <c r="K241" s="219">
        <f t="shared" si="4"/>
        <v>26.189999999999998</v>
      </c>
      <c r="L241" s="219">
        <v>20.86</v>
      </c>
      <c r="M241" s="219">
        <v>5.33</v>
      </c>
      <c r="N241" s="219">
        <v>157.71</v>
      </c>
      <c r="O241" s="219">
        <v>1.5</v>
      </c>
      <c r="P241" s="221"/>
      <c r="Q241" s="219"/>
      <c r="R241" s="219"/>
      <c r="S241" s="219"/>
      <c r="T241" s="221"/>
      <c r="U241" s="221"/>
      <c r="V241" s="221">
        <v>2</v>
      </c>
      <c r="W241" s="220">
        <v>0</v>
      </c>
      <c r="X241" s="220">
        <v>0</v>
      </c>
      <c r="Y241" s="220">
        <v>0</v>
      </c>
      <c r="Z241" s="221">
        <v>0</v>
      </c>
      <c r="AA241" s="220" t="s">
        <v>2474</v>
      </c>
    </row>
    <row r="242" spans="1:29" ht="16.5" customHeight="1" x14ac:dyDescent="0.3">
      <c r="A242" s="49"/>
      <c r="B242" s="130" t="str">
        <f ca="1">'Translation Table'!H1962</f>
        <v>Refrigeration (Propane)</v>
      </c>
      <c r="C242" s="54" t="str">
        <f ca="1">'Translation Table'!H1962</f>
        <v>Refrigeration (Propane)</v>
      </c>
      <c r="D242" s="219">
        <v>2</v>
      </c>
      <c r="E242" s="221">
        <v>0</v>
      </c>
      <c r="F242" s="221"/>
      <c r="G242" s="221"/>
      <c r="H242" s="221">
        <v>0</v>
      </c>
      <c r="I242" s="221"/>
      <c r="J242" s="221"/>
      <c r="K242" s="219">
        <f t="shared" si="4"/>
        <v>65</v>
      </c>
      <c r="L242" s="219">
        <v>65</v>
      </c>
      <c r="M242" s="219"/>
      <c r="N242" s="219">
        <v>170</v>
      </c>
      <c r="O242" s="219">
        <v>2</v>
      </c>
      <c r="P242" s="221"/>
      <c r="Q242" s="221"/>
      <c r="R242" s="221"/>
      <c r="S242" s="221"/>
      <c r="T242" s="221"/>
      <c r="U242" s="221"/>
      <c r="V242" s="221">
        <v>6</v>
      </c>
      <c r="W242" s="220">
        <v>13</v>
      </c>
      <c r="X242" s="220">
        <v>31</v>
      </c>
      <c r="Y242" s="220"/>
      <c r="Z242" s="221">
        <v>4</v>
      </c>
      <c r="AA242" s="220" t="s">
        <v>517</v>
      </c>
      <c r="AC242" s="46">
        <v>0</v>
      </c>
    </row>
    <row r="243" spans="1:29" ht="16.5" customHeight="1" x14ac:dyDescent="0.3">
      <c r="A243" s="49"/>
      <c r="B243" s="54" t="str">
        <f ca="1">'Translation Table'!H1963</f>
        <v>Separator: Filter Separator</v>
      </c>
      <c r="C243" s="54" t="str">
        <f ca="1">'Translation Table'!H1963</f>
        <v>Separator: Filter Separator</v>
      </c>
      <c r="D243" s="219">
        <v>0.5</v>
      </c>
      <c r="E243" s="221">
        <v>1.5</v>
      </c>
      <c r="F243" s="221"/>
      <c r="G243" s="221"/>
      <c r="H243" s="221">
        <v>0</v>
      </c>
      <c r="I243" s="221"/>
      <c r="J243" s="221"/>
      <c r="K243" s="219">
        <f t="shared" si="4"/>
        <v>14</v>
      </c>
      <c r="L243" s="219">
        <v>13</v>
      </c>
      <c r="M243" s="219">
        <v>1</v>
      </c>
      <c r="N243" s="219">
        <v>64</v>
      </c>
      <c r="O243" s="219">
        <v>0.5</v>
      </c>
      <c r="P243" s="221"/>
      <c r="Q243" s="221"/>
      <c r="R243" s="221"/>
      <c r="S243" s="221"/>
      <c r="T243" s="221"/>
      <c r="U243" s="221"/>
      <c r="V243" s="221">
        <v>2</v>
      </c>
      <c r="W243" s="220">
        <v>6</v>
      </c>
      <c r="X243" s="220">
        <v>19.5</v>
      </c>
      <c r="Y243" s="220">
        <v>0</v>
      </c>
      <c r="Z243" s="221">
        <v>1</v>
      </c>
      <c r="AA243" s="220" t="s">
        <v>2474</v>
      </c>
      <c r="AC243" s="46">
        <v>0</v>
      </c>
    </row>
    <row r="244" spans="1:29" ht="16.5" customHeight="1" x14ac:dyDescent="0.3">
      <c r="A244" s="49"/>
      <c r="B244" s="130" t="str">
        <f ca="1">'Translation Table'!H1964</f>
        <v>Separator: Horizontal (Phases: 2)</v>
      </c>
      <c r="C244" s="54" t="str">
        <f ca="1">'Translation Table'!H1964</f>
        <v>Separator: Horizontal (Phases: 2)</v>
      </c>
      <c r="D244" s="219">
        <v>1</v>
      </c>
      <c r="E244" s="221">
        <v>0</v>
      </c>
      <c r="F244" s="221"/>
      <c r="G244" s="221"/>
      <c r="H244" s="221">
        <v>0</v>
      </c>
      <c r="I244" s="221"/>
      <c r="J244" s="221"/>
      <c r="K244" s="219">
        <f t="shared" si="4"/>
        <v>12</v>
      </c>
      <c r="L244" s="219">
        <v>12</v>
      </c>
      <c r="M244" s="219">
        <v>0</v>
      </c>
      <c r="N244" s="219">
        <v>40</v>
      </c>
      <c r="O244" s="219">
        <v>2</v>
      </c>
      <c r="P244" s="221"/>
      <c r="Q244" s="221"/>
      <c r="R244" s="221"/>
      <c r="S244" s="221"/>
      <c r="T244" s="221"/>
      <c r="U244" s="221"/>
      <c r="V244" s="221">
        <v>2</v>
      </c>
      <c r="W244" s="220">
        <v>17</v>
      </c>
      <c r="X244" s="220">
        <v>58</v>
      </c>
      <c r="Y244" s="220"/>
      <c r="Z244" s="221">
        <v>1</v>
      </c>
      <c r="AA244" s="220" t="s">
        <v>517</v>
      </c>
      <c r="AC244" s="46">
        <v>0</v>
      </c>
    </row>
    <row r="245" spans="1:29" ht="16.5" customHeight="1" x14ac:dyDescent="0.3">
      <c r="A245" s="49"/>
      <c r="B245" s="54" t="str">
        <f ca="1">'Translation Table'!H1965</f>
        <v>Separator: Horizontal (Phases: 3)</v>
      </c>
      <c r="C245" s="54" t="str">
        <f ca="1">'Translation Table'!H1965</f>
        <v>Separator: Horizontal (Phases: 3)</v>
      </c>
      <c r="D245" s="219">
        <v>1</v>
      </c>
      <c r="E245" s="221">
        <v>0</v>
      </c>
      <c r="F245" s="221"/>
      <c r="G245" s="221"/>
      <c r="H245" s="221">
        <v>0</v>
      </c>
      <c r="I245" s="221"/>
      <c r="J245" s="221"/>
      <c r="K245" s="219">
        <f t="shared" si="4"/>
        <v>12</v>
      </c>
      <c r="L245" s="219">
        <v>12</v>
      </c>
      <c r="M245" s="219">
        <v>0</v>
      </c>
      <c r="N245" s="219">
        <v>40</v>
      </c>
      <c r="O245" s="219">
        <v>2</v>
      </c>
      <c r="P245" s="221"/>
      <c r="Q245" s="221"/>
      <c r="R245" s="221"/>
      <c r="S245" s="221"/>
      <c r="T245" s="221"/>
      <c r="U245" s="221"/>
      <c r="V245" s="221">
        <v>2</v>
      </c>
      <c r="W245" s="220">
        <v>17</v>
      </c>
      <c r="X245" s="220">
        <v>58</v>
      </c>
      <c r="Y245" s="220"/>
      <c r="Z245" s="221">
        <v>1</v>
      </c>
      <c r="AA245" s="220" t="s">
        <v>2474</v>
      </c>
      <c r="AC245" s="46">
        <v>0</v>
      </c>
    </row>
    <row r="246" spans="1:29" ht="16.5" customHeight="1" x14ac:dyDescent="0.3">
      <c r="A246" s="49"/>
      <c r="B246" s="130" t="str">
        <f ca="1">'Translation Table'!H1966</f>
        <v>Separator: Vertical (Phases: 2)</v>
      </c>
      <c r="C246" s="54" t="str">
        <f ca="1">'Translation Table'!H1966</f>
        <v>Separator: Vertical (Phases: 2)</v>
      </c>
      <c r="D246" s="219">
        <v>1</v>
      </c>
      <c r="E246" s="221">
        <v>0</v>
      </c>
      <c r="F246" s="221"/>
      <c r="G246" s="221"/>
      <c r="H246" s="221">
        <v>0</v>
      </c>
      <c r="I246" s="221"/>
      <c r="J246" s="221"/>
      <c r="K246" s="219">
        <f t="shared" si="4"/>
        <v>12</v>
      </c>
      <c r="L246" s="219">
        <v>12</v>
      </c>
      <c r="M246" s="219">
        <v>0</v>
      </c>
      <c r="N246" s="219">
        <v>40</v>
      </c>
      <c r="O246" s="219">
        <v>2</v>
      </c>
      <c r="P246" s="221"/>
      <c r="Q246" s="221"/>
      <c r="R246" s="221"/>
      <c r="S246" s="221"/>
      <c r="T246" s="221"/>
      <c r="U246" s="221"/>
      <c r="V246" s="221">
        <v>2</v>
      </c>
      <c r="W246" s="220">
        <v>17</v>
      </c>
      <c r="X246" s="220">
        <v>58</v>
      </c>
      <c r="Y246" s="220"/>
      <c r="Z246" s="221">
        <v>1</v>
      </c>
      <c r="AA246" s="220" t="s">
        <v>517</v>
      </c>
      <c r="AC246" s="46">
        <v>0</v>
      </c>
    </row>
    <row r="247" spans="1:29" ht="16.5" customHeight="1" x14ac:dyDescent="0.3">
      <c r="A247" s="49"/>
      <c r="B247" s="54" t="str">
        <f ca="1">'Translation Table'!H1967</f>
        <v>Separator: Vertical (Phases: 3)</v>
      </c>
      <c r="C247" s="54" t="str">
        <f ca="1">'Translation Table'!H1967</f>
        <v>Separator: Vertical (Phases: 3)</v>
      </c>
      <c r="D247" s="219">
        <v>1</v>
      </c>
      <c r="E247" s="221">
        <v>0</v>
      </c>
      <c r="F247" s="221"/>
      <c r="G247" s="221"/>
      <c r="H247" s="221">
        <v>0</v>
      </c>
      <c r="I247" s="221"/>
      <c r="J247" s="221"/>
      <c r="K247" s="219">
        <f t="shared" si="4"/>
        <v>12</v>
      </c>
      <c r="L247" s="219">
        <v>12</v>
      </c>
      <c r="M247" s="219">
        <v>0</v>
      </c>
      <c r="N247" s="219">
        <v>40</v>
      </c>
      <c r="O247" s="219">
        <v>2</v>
      </c>
      <c r="P247" s="221"/>
      <c r="Q247" s="221"/>
      <c r="R247" s="221"/>
      <c r="S247" s="221"/>
      <c r="T247" s="221"/>
      <c r="U247" s="221"/>
      <c r="V247" s="221">
        <v>2</v>
      </c>
      <c r="W247" s="220">
        <v>17</v>
      </c>
      <c r="X247" s="220">
        <v>58</v>
      </c>
      <c r="Y247" s="220"/>
      <c r="Z247" s="221">
        <v>1</v>
      </c>
      <c r="AA247" s="220" t="s">
        <v>2474</v>
      </c>
    </row>
    <row r="248" spans="1:29" ht="16.5" customHeight="1" x14ac:dyDescent="0.3">
      <c r="A248" s="49"/>
      <c r="B248" s="130" t="str">
        <f ca="1">'Translation Table'!H1968</f>
        <v>Stabilizer: with Reflux Loop</v>
      </c>
      <c r="C248" s="54" t="str">
        <f ca="1">'Translation Table'!H1968</f>
        <v>Stabilizer: with Reflux Loop</v>
      </c>
      <c r="D248" s="219">
        <v>3</v>
      </c>
      <c r="E248" s="221">
        <v>0</v>
      </c>
      <c r="F248" s="221"/>
      <c r="G248" s="221"/>
      <c r="H248" s="221">
        <v>0</v>
      </c>
      <c r="I248" s="221"/>
      <c r="J248" s="221"/>
      <c r="K248" s="219">
        <f t="shared" si="4"/>
        <v>20</v>
      </c>
      <c r="L248" s="219">
        <v>20</v>
      </c>
      <c r="M248" s="219"/>
      <c r="N248" s="219">
        <v>80</v>
      </c>
      <c r="O248" s="219">
        <v>2</v>
      </c>
      <c r="P248" s="221"/>
      <c r="Q248" s="221"/>
      <c r="R248" s="221"/>
      <c r="S248" s="221"/>
      <c r="T248" s="221"/>
      <c r="U248" s="221"/>
      <c r="V248" s="221">
        <v>4</v>
      </c>
      <c r="W248" s="220">
        <v>77</v>
      </c>
      <c r="X248" s="220">
        <v>247</v>
      </c>
      <c r="Y248" s="220"/>
      <c r="Z248" s="221">
        <v>1</v>
      </c>
      <c r="AA248" s="220" t="s">
        <v>517</v>
      </c>
    </row>
    <row r="249" spans="1:29" ht="16.5" customHeight="1" x14ac:dyDescent="0.3">
      <c r="A249" s="49"/>
      <c r="B249" s="54" t="str">
        <f ca="1">'Translation Table'!H1969</f>
        <v>Stabilizer: without Reflux Loop</v>
      </c>
      <c r="C249" s="54" t="str">
        <f ca="1">'Translation Table'!H1969</f>
        <v>Stabilizer: without Reflux Loop</v>
      </c>
      <c r="D249" s="219">
        <v>2</v>
      </c>
      <c r="E249" s="221">
        <v>0</v>
      </c>
      <c r="F249" s="221"/>
      <c r="G249" s="221"/>
      <c r="H249" s="221">
        <v>0</v>
      </c>
      <c r="I249" s="221"/>
      <c r="J249" s="221"/>
      <c r="K249" s="219">
        <f t="shared" si="4"/>
        <v>17</v>
      </c>
      <c r="L249" s="219">
        <v>17</v>
      </c>
      <c r="M249" s="219"/>
      <c r="N249" s="219">
        <v>74</v>
      </c>
      <c r="O249" s="219">
        <v>2</v>
      </c>
      <c r="P249" s="221"/>
      <c r="Q249" s="221"/>
      <c r="R249" s="221"/>
      <c r="S249" s="221"/>
      <c r="T249" s="221"/>
      <c r="U249" s="221"/>
      <c r="V249" s="221">
        <v>3</v>
      </c>
      <c r="W249" s="220">
        <v>74</v>
      </c>
      <c r="X249" s="220">
        <v>241</v>
      </c>
      <c r="Y249" s="220"/>
      <c r="Z249" s="221">
        <v>1</v>
      </c>
      <c r="AA249" s="220" t="s">
        <v>2474</v>
      </c>
    </row>
    <row r="250" spans="1:29" ht="16.5" customHeight="1" x14ac:dyDescent="0.3">
      <c r="A250" s="49"/>
      <c r="B250" s="130" t="str">
        <f ca="1">'Translation Table'!H1970</f>
        <v>Storage Tank (Produced Oil, with Vapor Control)</v>
      </c>
      <c r="C250" s="54" t="str">
        <f ca="1">'Translation Table'!H1970</f>
        <v>Storage Tank (Produced Oil, with Vapor Control)</v>
      </c>
      <c r="D250" s="219">
        <v>1</v>
      </c>
      <c r="E250" s="221">
        <v>0</v>
      </c>
      <c r="F250" s="221"/>
      <c r="G250" s="221"/>
      <c r="H250" s="221">
        <v>0</v>
      </c>
      <c r="I250" s="221"/>
      <c r="J250" s="221"/>
      <c r="K250" s="219">
        <f t="shared" si="4"/>
        <v>1</v>
      </c>
      <c r="L250" s="219">
        <v>1</v>
      </c>
      <c r="M250" s="219"/>
      <c r="N250" s="219">
        <v>2</v>
      </c>
      <c r="O250" s="219">
        <v>1</v>
      </c>
      <c r="P250" s="221"/>
      <c r="Q250" s="221"/>
      <c r="R250" s="221"/>
      <c r="S250" s="221"/>
      <c r="T250" s="221"/>
      <c r="U250" s="221"/>
      <c r="V250" s="221">
        <v>0</v>
      </c>
      <c r="W250" s="220">
        <v>10</v>
      </c>
      <c r="X250" s="220">
        <v>24</v>
      </c>
      <c r="Y250" s="220"/>
      <c r="Z250" s="221">
        <v>0</v>
      </c>
      <c r="AA250" s="220" t="s">
        <v>517</v>
      </c>
    </row>
    <row r="251" spans="1:29" ht="16.5" customHeight="1" x14ac:dyDescent="0.3">
      <c r="A251" s="49"/>
      <c r="B251" s="54" t="str">
        <f ca="1">'Translation Table'!H1971</f>
        <v>Storage Tank (Produced Oil, without Vapor Control)</v>
      </c>
      <c r="C251" s="54" t="str">
        <f ca="1">'Translation Table'!H1971</f>
        <v>Storage Tank (Produced Oil, without Vapor Control)</v>
      </c>
      <c r="D251" s="219">
        <v>0</v>
      </c>
      <c r="E251" s="221">
        <v>0</v>
      </c>
      <c r="F251" s="221"/>
      <c r="G251" s="221"/>
      <c r="H251" s="221">
        <v>0</v>
      </c>
      <c r="I251" s="221"/>
      <c r="J251" s="221"/>
      <c r="K251" s="219">
        <f t="shared" si="4"/>
        <v>0</v>
      </c>
      <c r="L251" s="219">
        <v>0</v>
      </c>
      <c r="M251" s="219"/>
      <c r="N251" s="219">
        <v>0</v>
      </c>
      <c r="O251" s="219">
        <v>0</v>
      </c>
      <c r="P251" s="221"/>
      <c r="Q251" s="221"/>
      <c r="R251" s="221"/>
      <c r="S251" s="221"/>
      <c r="T251" s="221"/>
      <c r="U251" s="221"/>
      <c r="V251" s="221">
        <v>0</v>
      </c>
      <c r="W251" s="220">
        <v>10</v>
      </c>
      <c r="X251" s="220">
        <v>24</v>
      </c>
      <c r="Y251" s="220"/>
      <c r="Z251" s="221">
        <v>0</v>
      </c>
      <c r="AA251" s="220" t="s">
        <v>517</v>
      </c>
    </row>
    <row r="252" spans="1:29" ht="16.5" customHeight="1" x14ac:dyDescent="0.3">
      <c r="A252" s="49"/>
      <c r="B252" s="130" t="str">
        <f ca="1">'Translation Table'!H1972</f>
        <v>Storage Tank (Produced Water, with Vapor Control)</v>
      </c>
      <c r="C252" s="54" t="str">
        <f ca="1">'Translation Table'!H1972</f>
        <v>Storage Tank (Produced Water, with Vapor Control)</v>
      </c>
      <c r="D252" s="219">
        <v>1</v>
      </c>
      <c r="E252" s="221">
        <v>0</v>
      </c>
      <c r="F252" s="221"/>
      <c r="G252" s="221"/>
      <c r="H252" s="221">
        <v>0</v>
      </c>
      <c r="I252" s="221"/>
      <c r="J252" s="221"/>
      <c r="K252" s="219">
        <f t="shared" si="4"/>
        <v>1</v>
      </c>
      <c r="L252" s="219">
        <v>1</v>
      </c>
      <c r="M252" s="219"/>
      <c r="N252" s="219">
        <v>2</v>
      </c>
      <c r="O252" s="219">
        <v>1</v>
      </c>
      <c r="P252" s="221"/>
      <c r="Q252" s="221"/>
      <c r="R252" s="221"/>
      <c r="S252" s="221"/>
      <c r="T252" s="221"/>
      <c r="U252" s="221"/>
      <c r="V252" s="221">
        <v>0</v>
      </c>
      <c r="W252" s="220">
        <v>10</v>
      </c>
      <c r="X252" s="220">
        <v>24</v>
      </c>
      <c r="Y252" s="220"/>
      <c r="Z252" s="221">
        <v>0</v>
      </c>
      <c r="AA252" s="220" t="s">
        <v>517</v>
      </c>
    </row>
    <row r="253" spans="1:29" ht="16.5" customHeight="1" x14ac:dyDescent="0.3">
      <c r="A253" s="49"/>
      <c r="B253" s="54" t="str">
        <f ca="1">'Translation Table'!H1973</f>
        <v>Storage Tank (Produced Water, without Vapor Control)</v>
      </c>
      <c r="C253" s="54" t="str">
        <f ca="1">'Translation Table'!H1973</f>
        <v>Storage Tank (Produced Water, without Vapor Control)</v>
      </c>
      <c r="D253" s="219">
        <v>0</v>
      </c>
      <c r="E253" s="221">
        <v>0</v>
      </c>
      <c r="F253" s="221"/>
      <c r="G253" s="221"/>
      <c r="H253" s="221">
        <v>0</v>
      </c>
      <c r="I253" s="221"/>
      <c r="J253" s="221"/>
      <c r="K253" s="219">
        <f t="shared" si="4"/>
        <v>0</v>
      </c>
      <c r="L253" s="219">
        <v>0</v>
      </c>
      <c r="M253" s="219"/>
      <c r="N253" s="219">
        <v>0</v>
      </c>
      <c r="O253" s="219">
        <v>0</v>
      </c>
      <c r="P253" s="221"/>
      <c r="Q253" s="221"/>
      <c r="R253" s="221"/>
      <c r="S253" s="221"/>
      <c r="T253" s="221"/>
      <c r="U253" s="221"/>
      <c r="V253" s="221">
        <v>0</v>
      </c>
      <c r="W253" s="220">
        <v>10</v>
      </c>
      <c r="X253" s="220">
        <v>24</v>
      </c>
      <c r="Y253" s="220"/>
      <c r="Z253" s="221">
        <v>0</v>
      </c>
      <c r="AA253" s="220" t="s">
        <v>517</v>
      </c>
    </row>
    <row r="254" spans="1:29" ht="16.5" customHeight="1" x14ac:dyDescent="0.3">
      <c r="A254" s="49"/>
      <c r="B254" s="130" t="str">
        <f ca="1">'Translation Table'!H1974</f>
        <v>Storage Tank: Chemicals with Natural Gas Blanketing)</v>
      </c>
      <c r="C254" s="54" t="str">
        <f ca="1">'Translation Table'!H1974</f>
        <v>Storage Tank: Chemicals with Natural Gas Blanketing)</v>
      </c>
      <c r="D254" s="219">
        <v>1</v>
      </c>
      <c r="E254" s="221">
        <v>0</v>
      </c>
      <c r="F254" s="221"/>
      <c r="G254" s="221"/>
      <c r="H254" s="221">
        <v>0</v>
      </c>
      <c r="I254" s="221"/>
      <c r="J254" s="221"/>
      <c r="K254" s="219">
        <f t="shared" si="4"/>
        <v>1</v>
      </c>
      <c r="L254" s="219">
        <v>1</v>
      </c>
      <c r="M254" s="219"/>
      <c r="N254" s="219">
        <v>2</v>
      </c>
      <c r="O254" s="219">
        <v>1</v>
      </c>
      <c r="P254" s="221"/>
      <c r="Q254" s="221"/>
      <c r="R254" s="221"/>
      <c r="S254" s="221"/>
      <c r="T254" s="221"/>
      <c r="U254" s="221"/>
      <c r="V254" s="221">
        <v>0</v>
      </c>
      <c r="W254" s="220">
        <v>0</v>
      </c>
      <c r="X254" s="220">
        <v>0</v>
      </c>
      <c r="Y254" s="220"/>
      <c r="Z254" s="221">
        <v>0</v>
      </c>
      <c r="AA254" s="691" t="s">
        <v>2474</v>
      </c>
    </row>
    <row r="255" spans="1:29" ht="16.5" customHeight="1" x14ac:dyDescent="0.3">
      <c r="A255" s="49"/>
      <c r="B255" s="54" t="str">
        <f ca="1">'Translation Table'!H1975</f>
        <v>Sulphur Recovery: Claus</v>
      </c>
      <c r="C255" s="54" t="str">
        <f ca="1">'Translation Table'!H1975</f>
        <v>Sulphur Recovery: Claus</v>
      </c>
      <c r="D255" s="219">
        <v>1</v>
      </c>
      <c r="E255" s="221">
        <v>0</v>
      </c>
      <c r="F255" s="221"/>
      <c r="G255" s="221"/>
      <c r="H255" s="221">
        <v>0</v>
      </c>
      <c r="I255" s="221"/>
      <c r="J255" s="221"/>
      <c r="K255" s="219">
        <f t="shared" si="4"/>
        <v>31</v>
      </c>
      <c r="L255" s="219">
        <v>31</v>
      </c>
      <c r="M255" s="219"/>
      <c r="N255" s="219">
        <v>134</v>
      </c>
      <c r="O255" s="219">
        <v>4</v>
      </c>
      <c r="P255" s="221"/>
      <c r="Q255" s="221"/>
      <c r="R255" s="221"/>
      <c r="S255" s="221"/>
      <c r="T255" s="221"/>
      <c r="U255" s="221"/>
      <c r="V255" s="221">
        <v>2</v>
      </c>
      <c r="W255" s="220">
        <v>7</v>
      </c>
      <c r="X255" s="220">
        <v>12</v>
      </c>
      <c r="Y255" s="220"/>
      <c r="Z255" s="221">
        <v>1</v>
      </c>
      <c r="AA255" s="220" t="s">
        <v>517</v>
      </c>
    </row>
    <row r="256" spans="1:29" ht="16.5" customHeight="1" x14ac:dyDescent="0.3">
      <c r="A256" s="49"/>
      <c r="B256" s="130" t="str">
        <f ca="1">'Translation Table'!H1976</f>
        <v>Sulphur Recovery: MCRC (Sub-dewpoint)</v>
      </c>
      <c r="C256" s="54" t="str">
        <f ca="1">'Translation Table'!H1976</f>
        <v>Sulphur Recovery: MCRC (Sub-dewpoint)</v>
      </c>
      <c r="D256" s="219">
        <v>1</v>
      </c>
      <c r="E256" s="221">
        <v>0</v>
      </c>
      <c r="F256" s="221"/>
      <c r="G256" s="221"/>
      <c r="H256" s="221">
        <v>0</v>
      </c>
      <c r="I256" s="221"/>
      <c r="J256" s="221"/>
      <c r="K256" s="219">
        <f t="shared" si="4"/>
        <v>31</v>
      </c>
      <c r="L256" s="219">
        <v>31</v>
      </c>
      <c r="M256" s="219"/>
      <c r="N256" s="219">
        <v>134</v>
      </c>
      <c r="O256" s="219">
        <v>4</v>
      </c>
      <c r="P256" s="221"/>
      <c r="Q256" s="221"/>
      <c r="R256" s="221"/>
      <c r="S256" s="221"/>
      <c r="T256" s="221"/>
      <c r="U256" s="221"/>
      <c r="V256" s="221">
        <v>2</v>
      </c>
      <c r="W256" s="220">
        <v>7</v>
      </c>
      <c r="X256" s="220">
        <v>12</v>
      </c>
      <c r="Y256" s="220"/>
      <c r="Z256" s="221">
        <v>1</v>
      </c>
      <c r="AA256" s="220" t="s">
        <v>517</v>
      </c>
    </row>
    <row r="257" spans="1:27" ht="16.5" customHeight="1" x14ac:dyDescent="0.3">
      <c r="A257" s="49"/>
      <c r="B257" s="54" t="str">
        <f ca="1">'Translation Table'!H1977</f>
        <v>Sweetening: (Physical Solvent)</v>
      </c>
      <c r="C257" s="54" t="str">
        <f ca="1">'Translation Table'!H1977</f>
        <v>Sweetening: (Physical Solvent)</v>
      </c>
      <c r="D257" s="219">
        <v>4</v>
      </c>
      <c r="E257" s="221">
        <v>0</v>
      </c>
      <c r="F257" s="221"/>
      <c r="G257" s="221"/>
      <c r="H257" s="221">
        <v>0</v>
      </c>
      <c r="I257" s="221"/>
      <c r="J257" s="221"/>
      <c r="K257" s="219">
        <f t="shared" si="4"/>
        <v>104</v>
      </c>
      <c r="L257" s="219">
        <v>104</v>
      </c>
      <c r="M257" s="219"/>
      <c r="N257" s="219">
        <v>248</v>
      </c>
      <c r="O257" s="219">
        <v>2</v>
      </c>
      <c r="P257" s="221"/>
      <c r="Q257" s="221"/>
      <c r="R257" s="221"/>
      <c r="S257" s="221"/>
      <c r="T257" s="221"/>
      <c r="U257" s="221"/>
      <c r="V257" s="221">
        <v>6</v>
      </c>
      <c r="W257" s="220">
        <v>26</v>
      </c>
      <c r="X257" s="220">
        <v>62</v>
      </c>
      <c r="Y257" s="220"/>
      <c r="Z257" s="221">
        <v>3</v>
      </c>
      <c r="AA257" s="220" t="s">
        <v>517</v>
      </c>
    </row>
    <row r="258" spans="1:27" ht="16.5" customHeight="1" x14ac:dyDescent="0.3">
      <c r="A258" s="49"/>
      <c r="B258" s="130" t="str">
        <f ca="1">'Translation Table'!H1978</f>
        <v>Sweetening: Chemsweet</v>
      </c>
      <c r="C258" s="54" t="str">
        <f ca="1">'Translation Table'!H1978</f>
        <v>Sweetening: Chemsweet</v>
      </c>
      <c r="D258" s="219">
        <v>8</v>
      </c>
      <c r="E258" s="221">
        <v>0</v>
      </c>
      <c r="F258" s="221"/>
      <c r="G258" s="221"/>
      <c r="H258" s="221">
        <v>0</v>
      </c>
      <c r="I258" s="221"/>
      <c r="J258" s="221"/>
      <c r="K258" s="219">
        <f t="shared" si="4"/>
        <v>63</v>
      </c>
      <c r="L258" s="219">
        <v>63</v>
      </c>
      <c r="M258" s="219"/>
      <c r="N258" s="219">
        <v>243</v>
      </c>
      <c r="O258" s="219">
        <v>2</v>
      </c>
      <c r="P258" s="221"/>
      <c r="Q258" s="221"/>
      <c r="R258" s="221"/>
      <c r="S258" s="221"/>
      <c r="T258" s="221"/>
      <c r="U258" s="221"/>
      <c r="V258" s="221">
        <v>6</v>
      </c>
      <c r="W258" s="220">
        <v>2</v>
      </c>
      <c r="X258" s="220">
        <v>0</v>
      </c>
      <c r="Y258" s="220"/>
      <c r="Z258" s="221">
        <v>3</v>
      </c>
      <c r="AA258" s="220" t="s">
        <v>517</v>
      </c>
    </row>
    <row r="259" spans="1:27" ht="16.5" customHeight="1" x14ac:dyDescent="0.3">
      <c r="A259" s="49"/>
      <c r="B259" s="54" t="str">
        <f ca="1">'Translation Table'!H1979</f>
        <v>Sweetening: DEA (Diethanolamine)</v>
      </c>
      <c r="C259" s="54" t="str">
        <f ca="1">'Translation Table'!H1979</f>
        <v>Sweetening: DEA (Diethanolamine)</v>
      </c>
      <c r="D259" s="219">
        <v>2</v>
      </c>
      <c r="E259" s="221">
        <v>3</v>
      </c>
      <c r="F259" s="221"/>
      <c r="G259" s="221"/>
      <c r="H259" s="221">
        <v>0</v>
      </c>
      <c r="I259" s="221"/>
      <c r="J259" s="221"/>
      <c r="K259" s="219">
        <f t="shared" si="4"/>
        <v>60</v>
      </c>
      <c r="L259" s="219">
        <v>60</v>
      </c>
      <c r="M259" s="219"/>
      <c r="N259" s="219">
        <v>702</v>
      </c>
      <c r="O259" s="219">
        <v>2</v>
      </c>
      <c r="P259" s="221"/>
      <c r="Q259" s="221"/>
      <c r="R259" s="221"/>
      <c r="S259" s="221"/>
      <c r="T259" s="221"/>
      <c r="U259" s="221"/>
      <c r="V259" s="221">
        <v>13</v>
      </c>
      <c r="W259" s="220">
        <v>1</v>
      </c>
      <c r="X259" s="220">
        <v>3</v>
      </c>
      <c r="Y259" s="220"/>
      <c r="Z259" s="221">
        <v>3</v>
      </c>
      <c r="AA259" s="220" t="s">
        <v>517</v>
      </c>
    </row>
    <row r="260" spans="1:27" ht="16.5" customHeight="1" x14ac:dyDescent="0.3">
      <c r="A260" s="49"/>
      <c r="B260" s="130" t="str">
        <f ca="1">'Translation Table'!H1980</f>
        <v>Sweetening: DGA (Diglycolamine)</v>
      </c>
      <c r="C260" s="54" t="str">
        <f ca="1">'Translation Table'!H1980</f>
        <v>Sweetening: DGA (Diglycolamine)</v>
      </c>
      <c r="D260" s="219">
        <v>2</v>
      </c>
      <c r="E260" s="221">
        <v>3</v>
      </c>
      <c r="F260" s="221"/>
      <c r="G260" s="221"/>
      <c r="H260" s="221">
        <v>0</v>
      </c>
      <c r="I260" s="221"/>
      <c r="J260" s="221"/>
      <c r="K260" s="219">
        <f t="shared" si="4"/>
        <v>60</v>
      </c>
      <c r="L260" s="219">
        <v>60</v>
      </c>
      <c r="M260" s="219"/>
      <c r="N260" s="219">
        <v>702</v>
      </c>
      <c r="O260" s="219">
        <v>2</v>
      </c>
      <c r="P260" s="221"/>
      <c r="Q260" s="221"/>
      <c r="R260" s="221"/>
      <c r="S260" s="221"/>
      <c r="T260" s="221"/>
      <c r="U260" s="221"/>
      <c r="V260" s="221">
        <v>13</v>
      </c>
      <c r="W260" s="220">
        <v>1</v>
      </c>
      <c r="X260" s="220">
        <v>3</v>
      </c>
      <c r="Y260" s="220"/>
      <c r="Z260" s="221">
        <v>3</v>
      </c>
      <c r="AA260" s="220" t="s">
        <v>517</v>
      </c>
    </row>
    <row r="261" spans="1:27" ht="16.5" customHeight="1" x14ac:dyDescent="0.3">
      <c r="A261" s="49"/>
      <c r="B261" s="54" t="str">
        <f ca="1">'Translation Table'!H1981</f>
        <v>Sweetening: Generic</v>
      </c>
      <c r="C261" s="54" t="str">
        <f ca="1">'Translation Table'!H1981</f>
        <v>Sweetening: Generic</v>
      </c>
      <c r="D261" s="219">
        <v>2</v>
      </c>
      <c r="E261" s="221">
        <v>3</v>
      </c>
      <c r="F261" s="221"/>
      <c r="G261" s="221"/>
      <c r="H261" s="221">
        <v>0</v>
      </c>
      <c r="I261" s="221"/>
      <c r="J261" s="221"/>
      <c r="K261" s="219">
        <f t="shared" si="4"/>
        <v>60</v>
      </c>
      <c r="L261" s="219">
        <v>60</v>
      </c>
      <c r="M261" s="219"/>
      <c r="N261" s="219">
        <v>702</v>
      </c>
      <c r="O261" s="219">
        <v>2</v>
      </c>
      <c r="P261" s="221"/>
      <c r="Q261" s="221"/>
      <c r="R261" s="221"/>
      <c r="S261" s="221"/>
      <c r="T261" s="221"/>
      <c r="U261" s="221"/>
      <c r="V261" s="221">
        <v>13</v>
      </c>
      <c r="W261" s="220">
        <v>1</v>
      </c>
      <c r="X261" s="220">
        <v>3</v>
      </c>
      <c r="Y261" s="220"/>
      <c r="Z261" s="221">
        <v>3</v>
      </c>
      <c r="AA261" s="220" t="s">
        <v>517</v>
      </c>
    </row>
    <row r="262" spans="1:27" ht="16.5" customHeight="1" x14ac:dyDescent="0.3">
      <c r="A262" s="49"/>
      <c r="B262" s="130" t="str">
        <f ca="1">'Translation Table'!H1982</f>
        <v>Sweetening: Iron Sponge</v>
      </c>
      <c r="C262" s="54" t="str">
        <f ca="1">'Translation Table'!H1982</f>
        <v>Sweetening: Iron Sponge</v>
      </c>
      <c r="D262" s="219">
        <v>1</v>
      </c>
      <c r="E262" s="221">
        <v>0</v>
      </c>
      <c r="F262" s="221"/>
      <c r="G262" s="221"/>
      <c r="H262" s="221">
        <v>0</v>
      </c>
      <c r="I262" s="221"/>
      <c r="J262" s="221"/>
      <c r="K262" s="219">
        <f t="shared" si="4"/>
        <v>31</v>
      </c>
      <c r="L262" s="219">
        <v>31</v>
      </c>
      <c r="M262" s="219"/>
      <c r="N262" s="219">
        <v>134</v>
      </c>
      <c r="O262" s="219">
        <v>2</v>
      </c>
      <c r="P262" s="221"/>
      <c r="Q262" s="221"/>
      <c r="R262" s="221"/>
      <c r="S262" s="221"/>
      <c r="T262" s="221"/>
      <c r="U262" s="221"/>
      <c r="V262" s="221">
        <v>2</v>
      </c>
      <c r="W262" s="220">
        <v>7</v>
      </c>
      <c r="X262" s="220">
        <v>12</v>
      </c>
      <c r="Y262" s="220"/>
      <c r="Z262" s="221">
        <v>3</v>
      </c>
      <c r="AA262" s="220" t="s">
        <v>517</v>
      </c>
    </row>
    <row r="263" spans="1:27" ht="16.5" customHeight="1" x14ac:dyDescent="0.3">
      <c r="A263" s="49"/>
      <c r="B263" s="54" t="str">
        <f ca="1">'Translation Table'!H1983</f>
        <v>Sweetening: LoCat</v>
      </c>
      <c r="C263" s="54" t="str">
        <f ca="1">'Translation Table'!H1983</f>
        <v>Sweetening: LoCat</v>
      </c>
      <c r="D263" s="219">
        <v>1</v>
      </c>
      <c r="E263" s="221">
        <v>0</v>
      </c>
      <c r="F263" s="221"/>
      <c r="G263" s="221"/>
      <c r="H263" s="221">
        <v>0</v>
      </c>
      <c r="I263" s="221"/>
      <c r="J263" s="221"/>
      <c r="K263" s="219">
        <f t="shared" ref="K263:K326" si="5">L263+M263</f>
        <v>24</v>
      </c>
      <c r="L263" s="219">
        <v>24</v>
      </c>
      <c r="M263" s="219"/>
      <c r="N263" s="219">
        <v>100</v>
      </c>
      <c r="O263" s="219">
        <v>2</v>
      </c>
      <c r="P263" s="221"/>
      <c r="Q263" s="221"/>
      <c r="R263" s="221"/>
      <c r="S263" s="221"/>
      <c r="T263" s="221"/>
      <c r="U263" s="221"/>
      <c r="V263" s="221">
        <v>2</v>
      </c>
      <c r="W263" s="220">
        <v>7</v>
      </c>
      <c r="X263" s="220">
        <v>14</v>
      </c>
      <c r="Y263" s="220"/>
      <c r="Z263" s="221">
        <v>3</v>
      </c>
      <c r="AA263" s="220" t="s">
        <v>517</v>
      </c>
    </row>
    <row r="264" spans="1:27" ht="16.5" customHeight="1" x14ac:dyDescent="0.3">
      <c r="A264" s="49"/>
      <c r="B264" s="130" t="str">
        <f ca="1">'Translation Table'!H1984</f>
        <v>Sweetening: MDEA (Monodiethanolamine)</v>
      </c>
      <c r="C264" s="54" t="str">
        <f ca="1">'Translation Table'!H1984</f>
        <v>Sweetening: MDEA (Monodiethanolamine)</v>
      </c>
      <c r="D264" s="219">
        <v>2</v>
      </c>
      <c r="E264" s="221">
        <v>3</v>
      </c>
      <c r="F264" s="221"/>
      <c r="G264" s="221"/>
      <c r="H264" s="221">
        <v>0</v>
      </c>
      <c r="I264" s="221"/>
      <c r="J264" s="221"/>
      <c r="K264" s="219">
        <f t="shared" si="5"/>
        <v>60</v>
      </c>
      <c r="L264" s="219">
        <v>60</v>
      </c>
      <c r="M264" s="219"/>
      <c r="N264" s="219">
        <v>702</v>
      </c>
      <c r="O264" s="219">
        <v>2</v>
      </c>
      <c r="P264" s="221"/>
      <c r="Q264" s="221"/>
      <c r="R264" s="221"/>
      <c r="S264" s="221"/>
      <c r="T264" s="221"/>
      <c r="U264" s="221"/>
      <c r="V264" s="221">
        <v>13</v>
      </c>
      <c r="W264" s="220">
        <v>1</v>
      </c>
      <c r="X264" s="220">
        <v>3</v>
      </c>
      <c r="Y264" s="220"/>
      <c r="Z264" s="221">
        <v>3</v>
      </c>
      <c r="AA264" s="220" t="s">
        <v>517</v>
      </c>
    </row>
    <row r="265" spans="1:27" ht="16.5" customHeight="1" x14ac:dyDescent="0.3">
      <c r="A265" s="49"/>
      <c r="B265" s="54" t="str">
        <f ca="1">'Translation Table'!H1985</f>
        <v>Sweetening: MEA (Monoethanolamine)</v>
      </c>
      <c r="C265" s="54" t="str">
        <f ca="1">'Translation Table'!H1985</f>
        <v>Sweetening: MEA (Monoethanolamine)</v>
      </c>
      <c r="D265" s="219">
        <v>2</v>
      </c>
      <c r="E265" s="221">
        <v>3</v>
      </c>
      <c r="F265" s="221"/>
      <c r="G265" s="221"/>
      <c r="H265" s="221">
        <v>0</v>
      </c>
      <c r="I265" s="221"/>
      <c r="J265" s="221"/>
      <c r="K265" s="219">
        <f t="shared" si="5"/>
        <v>60</v>
      </c>
      <c r="L265" s="219">
        <v>60</v>
      </c>
      <c r="M265" s="219"/>
      <c r="N265" s="219">
        <v>702</v>
      </c>
      <c r="O265" s="219">
        <v>2</v>
      </c>
      <c r="P265" s="221"/>
      <c r="Q265" s="221"/>
      <c r="R265" s="221"/>
      <c r="S265" s="221"/>
      <c r="T265" s="221"/>
      <c r="U265" s="221"/>
      <c r="V265" s="221">
        <v>13</v>
      </c>
      <c r="W265" s="220">
        <v>1</v>
      </c>
      <c r="X265" s="220">
        <v>3</v>
      </c>
      <c r="Y265" s="220"/>
      <c r="Z265" s="221">
        <v>3</v>
      </c>
      <c r="AA265" s="220" t="s">
        <v>517</v>
      </c>
    </row>
    <row r="266" spans="1:27" ht="16.5" customHeight="1" x14ac:dyDescent="0.3">
      <c r="A266" s="49"/>
      <c r="B266" s="130" t="str">
        <f ca="1">'Translation Table'!H1986</f>
        <v>Sweetening: Selexol</v>
      </c>
      <c r="C266" s="54" t="str">
        <f ca="1">'Translation Table'!H1986</f>
        <v>Sweetening: Selexol</v>
      </c>
      <c r="D266" s="219">
        <v>4</v>
      </c>
      <c r="E266" s="221">
        <v>0</v>
      </c>
      <c r="F266" s="221"/>
      <c r="G266" s="221"/>
      <c r="H266" s="221">
        <v>0</v>
      </c>
      <c r="I266" s="221"/>
      <c r="J266" s="221"/>
      <c r="K266" s="219">
        <f t="shared" si="5"/>
        <v>104</v>
      </c>
      <c r="L266" s="219">
        <v>104</v>
      </c>
      <c r="M266" s="219"/>
      <c r="N266" s="219">
        <v>248</v>
      </c>
      <c r="O266" s="219">
        <v>2</v>
      </c>
      <c r="P266" s="221"/>
      <c r="Q266" s="221"/>
      <c r="R266" s="221"/>
      <c r="S266" s="221"/>
      <c r="T266" s="221"/>
      <c r="U266" s="221"/>
      <c r="V266" s="221">
        <v>6</v>
      </c>
      <c r="W266" s="220">
        <v>26</v>
      </c>
      <c r="X266" s="220">
        <v>62</v>
      </c>
      <c r="Y266" s="220"/>
      <c r="Z266" s="221">
        <v>3</v>
      </c>
      <c r="AA266" s="220" t="s">
        <v>517</v>
      </c>
    </row>
    <row r="267" spans="1:27" ht="16.5" customHeight="1" x14ac:dyDescent="0.3">
      <c r="A267" s="49"/>
      <c r="B267" s="54" t="str">
        <f ca="1">'Translation Table'!H1987</f>
        <v>Sweetening: Sulfacheck</v>
      </c>
      <c r="C267" s="54" t="str">
        <f ca="1">'Translation Table'!H1987</f>
        <v>Sweetening: Sulfacheck</v>
      </c>
      <c r="D267" s="219">
        <v>2</v>
      </c>
      <c r="E267" s="221">
        <v>3</v>
      </c>
      <c r="F267" s="221"/>
      <c r="G267" s="221"/>
      <c r="H267" s="221">
        <v>0</v>
      </c>
      <c r="I267" s="221"/>
      <c r="J267" s="221"/>
      <c r="K267" s="219">
        <f t="shared" si="5"/>
        <v>60</v>
      </c>
      <c r="L267" s="219">
        <v>60</v>
      </c>
      <c r="M267" s="219"/>
      <c r="N267" s="219">
        <v>702</v>
      </c>
      <c r="O267" s="219">
        <v>2</v>
      </c>
      <c r="P267" s="221"/>
      <c r="Q267" s="221"/>
      <c r="R267" s="221"/>
      <c r="S267" s="221"/>
      <c r="T267" s="221"/>
      <c r="U267" s="221"/>
      <c r="V267" s="221">
        <v>13</v>
      </c>
      <c r="W267" s="220">
        <v>1</v>
      </c>
      <c r="X267" s="220">
        <v>3</v>
      </c>
      <c r="Y267" s="220"/>
      <c r="Z267" s="221">
        <v>3</v>
      </c>
      <c r="AA267" s="220" t="s">
        <v>517</v>
      </c>
    </row>
    <row r="268" spans="1:27" ht="16.5" customHeight="1" x14ac:dyDescent="0.3">
      <c r="A268" s="49"/>
      <c r="B268" s="130" t="str">
        <f ca="1">'Translation Table'!H1988</f>
        <v>Sweetening: Sulfinol</v>
      </c>
      <c r="C268" s="54" t="str">
        <f ca="1">'Translation Table'!H1988</f>
        <v>Sweetening: Sulfinol</v>
      </c>
      <c r="D268" s="219">
        <v>2</v>
      </c>
      <c r="E268" s="221">
        <v>3</v>
      </c>
      <c r="F268" s="221"/>
      <c r="G268" s="221"/>
      <c r="H268" s="221">
        <v>0</v>
      </c>
      <c r="I268" s="221"/>
      <c r="J268" s="221"/>
      <c r="K268" s="219">
        <f t="shared" si="5"/>
        <v>60</v>
      </c>
      <c r="L268" s="219">
        <v>60</v>
      </c>
      <c r="M268" s="219"/>
      <c r="N268" s="219">
        <v>702</v>
      </c>
      <c r="O268" s="219">
        <v>2</v>
      </c>
      <c r="P268" s="221"/>
      <c r="Q268" s="221"/>
      <c r="R268" s="221"/>
      <c r="S268" s="221"/>
      <c r="T268" s="221"/>
      <c r="U268" s="221"/>
      <c r="V268" s="221">
        <v>12</v>
      </c>
      <c r="W268" s="220">
        <v>1</v>
      </c>
      <c r="X268" s="220">
        <v>3</v>
      </c>
      <c r="Y268" s="220"/>
      <c r="Z268" s="221">
        <v>3</v>
      </c>
      <c r="AA268" s="220" t="s">
        <v>517</v>
      </c>
    </row>
    <row r="269" spans="1:27" ht="16.5" customHeight="1" x14ac:dyDescent="0.3">
      <c r="A269" s="49"/>
      <c r="B269" s="54" t="str">
        <f ca="1">'Translation Table'!H1989</f>
        <v>Vapor Recovery Unit: Offshore</v>
      </c>
      <c r="C269" s="54" t="str">
        <f ca="1">'Translation Table'!H1989</f>
        <v>Vapor Recovery Unit: Offshore</v>
      </c>
      <c r="D269" s="219">
        <v>1</v>
      </c>
      <c r="E269" s="221">
        <v>8</v>
      </c>
      <c r="F269" s="221"/>
      <c r="G269" s="221"/>
      <c r="H269" s="221">
        <v>0</v>
      </c>
      <c r="I269" s="221"/>
      <c r="J269" s="221"/>
      <c r="K269" s="219">
        <f t="shared" si="5"/>
        <v>41</v>
      </c>
      <c r="L269" s="219">
        <v>41</v>
      </c>
      <c r="M269" s="219"/>
      <c r="N269" s="219">
        <v>162</v>
      </c>
      <c r="O269" s="219">
        <v>2</v>
      </c>
      <c r="P269" s="221"/>
      <c r="Q269" s="221"/>
      <c r="R269" s="221"/>
      <c r="S269" s="221"/>
      <c r="T269" s="221"/>
      <c r="U269" s="221"/>
      <c r="V269" s="221">
        <v>1</v>
      </c>
      <c r="W269" s="220">
        <v>0</v>
      </c>
      <c r="X269" s="220">
        <v>0</v>
      </c>
      <c r="Y269" s="220"/>
      <c r="Z269" s="221">
        <v>1</v>
      </c>
      <c r="AA269" s="220" t="s">
        <v>2081</v>
      </c>
    </row>
    <row r="270" spans="1:27" ht="16.5" customHeight="1" x14ac:dyDescent="0.3">
      <c r="A270" s="49"/>
      <c r="B270" s="130" t="str">
        <f ca="1">'Translation Table'!H1990</f>
        <v>Vapor Recovery Unit: Onshore</v>
      </c>
      <c r="C270" s="54" t="str">
        <f ca="1">'Translation Table'!H1990</f>
        <v>Vapor Recovery Unit: Onshore</v>
      </c>
      <c r="D270" s="219">
        <v>1</v>
      </c>
      <c r="E270" s="221">
        <v>3</v>
      </c>
      <c r="F270" s="221"/>
      <c r="G270" s="221"/>
      <c r="H270" s="221">
        <v>0</v>
      </c>
      <c r="I270" s="221"/>
      <c r="J270" s="221"/>
      <c r="K270" s="219">
        <f t="shared" si="5"/>
        <v>10</v>
      </c>
      <c r="L270" s="219">
        <v>10</v>
      </c>
      <c r="M270" s="219"/>
      <c r="N270" s="219">
        <v>78</v>
      </c>
      <c r="O270" s="219">
        <v>2</v>
      </c>
      <c r="P270" s="221"/>
      <c r="Q270" s="221"/>
      <c r="R270" s="221"/>
      <c r="S270" s="221"/>
      <c r="T270" s="221"/>
      <c r="U270" s="221"/>
      <c r="V270" s="221">
        <v>1</v>
      </c>
      <c r="W270" s="220">
        <v>0</v>
      </c>
      <c r="X270" s="220">
        <v>0</v>
      </c>
      <c r="Y270" s="220"/>
      <c r="Z270" s="221">
        <v>1</v>
      </c>
      <c r="AA270" s="220" t="s">
        <v>2081</v>
      </c>
    </row>
    <row r="271" spans="1:27" ht="16.5" customHeight="1" x14ac:dyDescent="0.3">
      <c r="A271" s="49"/>
      <c r="B271" s="54" t="str">
        <f ca="1">'Translation Table'!H1991</f>
        <v>Well: Conventional Oil</v>
      </c>
      <c r="C271" s="54" t="str">
        <f ca="1">'Translation Table'!H1991</f>
        <v>Well: Conventional Oil</v>
      </c>
      <c r="D271" s="219">
        <v>0</v>
      </c>
      <c r="E271" s="221">
        <v>2</v>
      </c>
      <c r="F271" s="221"/>
      <c r="G271" s="221"/>
      <c r="H271" s="221">
        <v>0</v>
      </c>
      <c r="I271" s="221"/>
      <c r="J271" s="221"/>
      <c r="K271" s="219">
        <f t="shared" si="5"/>
        <v>13</v>
      </c>
      <c r="L271" s="219">
        <v>13</v>
      </c>
      <c r="M271" s="219"/>
      <c r="N271" s="219">
        <v>53</v>
      </c>
      <c r="O271" s="219">
        <v>0</v>
      </c>
      <c r="P271" s="221"/>
      <c r="Q271" s="221"/>
      <c r="R271" s="221"/>
      <c r="S271" s="221"/>
      <c r="T271" s="221"/>
      <c r="U271" s="221"/>
      <c r="V271" s="221">
        <v>0</v>
      </c>
      <c r="W271" s="220">
        <v>0</v>
      </c>
      <c r="X271" s="220">
        <v>0</v>
      </c>
      <c r="Y271" s="220"/>
      <c r="Z271" s="221">
        <v>0</v>
      </c>
      <c r="AA271" s="220" t="s">
        <v>2082</v>
      </c>
    </row>
    <row r="272" spans="1:27" ht="16.5" customHeight="1" x14ac:dyDescent="0.3">
      <c r="A272" s="49"/>
      <c r="B272" s="130" t="str">
        <f ca="1">'Translation Table'!H1992</f>
        <v>Well: Conventional Oil (Gas Lift)</v>
      </c>
      <c r="C272" s="54" t="str">
        <f ca="1">'Translation Table'!H1992</f>
        <v>Well: Conventional Oil (Gas Lift)</v>
      </c>
      <c r="D272" s="219">
        <v>0</v>
      </c>
      <c r="E272" s="221">
        <v>1</v>
      </c>
      <c r="F272" s="221"/>
      <c r="G272" s="221"/>
      <c r="H272" s="221">
        <v>0</v>
      </c>
      <c r="I272" s="221"/>
      <c r="J272" s="221"/>
      <c r="K272" s="219">
        <f t="shared" si="5"/>
        <v>15</v>
      </c>
      <c r="L272" s="219">
        <f>6+9</f>
        <v>15</v>
      </c>
      <c r="M272" s="219"/>
      <c r="N272" s="219">
        <f>17+21</f>
        <v>38</v>
      </c>
      <c r="O272" s="219">
        <v>0</v>
      </c>
      <c r="P272" s="221"/>
      <c r="Q272" s="221"/>
      <c r="R272" s="221"/>
      <c r="S272" s="221"/>
      <c r="T272" s="221"/>
      <c r="U272" s="221"/>
      <c r="V272" s="221">
        <v>0</v>
      </c>
      <c r="W272" s="220">
        <v>0</v>
      </c>
      <c r="X272" s="220">
        <v>0</v>
      </c>
      <c r="Y272" s="220"/>
      <c r="Z272" s="221">
        <v>0</v>
      </c>
      <c r="AA272" s="691" t="s">
        <v>2474</v>
      </c>
    </row>
    <row r="273" spans="1:29" ht="16.5" customHeight="1" x14ac:dyDescent="0.3">
      <c r="A273" s="49"/>
      <c r="B273" s="54" t="str">
        <f ca="1">'Translation Table'!H1993</f>
        <v>Well: Heavy Oil</v>
      </c>
      <c r="C273" s="54" t="str">
        <f ca="1">'Translation Table'!H1993</f>
        <v>Well: Heavy Oil</v>
      </c>
      <c r="D273" s="219">
        <v>0</v>
      </c>
      <c r="E273" s="221">
        <v>3</v>
      </c>
      <c r="F273" s="221"/>
      <c r="G273" s="221"/>
      <c r="H273" s="221">
        <v>0</v>
      </c>
      <c r="I273" s="221"/>
      <c r="J273" s="221"/>
      <c r="K273" s="219">
        <f t="shared" si="5"/>
        <v>8</v>
      </c>
      <c r="L273" s="219">
        <v>8</v>
      </c>
      <c r="M273" s="219"/>
      <c r="N273" s="219">
        <v>44</v>
      </c>
      <c r="O273" s="219">
        <v>0</v>
      </c>
      <c r="P273" s="221"/>
      <c r="Q273" s="221"/>
      <c r="R273" s="221"/>
      <c r="S273" s="221"/>
      <c r="T273" s="221"/>
      <c r="U273" s="221"/>
      <c r="V273" s="221">
        <v>0</v>
      </c>
      <c r="W273" s="220">
        <v>0</v>
      </c>
      <c r="X273" s="220">
        <v>0</v>
      </c>
      <c r="Y273" s="220"/>
      <c r="Z273" s="221">
        <v>0</v>
      </c>
      <c r="AA273" s="220" t="s">
        <v>2082</v>
      </c>
    </row>
    <row r="274" spans="1:29" ht="16.5" customHeight="1" x14ac:dyDescent="0.3">
      <c r="A274" s="49" t="str">
        <f ca="1">'Translation Table'!H1720</f>
        <v>Onshore Gas Production</v>
      </c>
      <c r="B274" s="130" t="str">
        <f ca="1">'Translation Table'!H1994</f>
        <v>Blowdown System: Generic (Pit or Vent)</v>
      </c>
      <c r="C274" s="54" t="str">
        <f ca="1">'Translation Table'!H1994</f>
        <v>Blowdown System: Generic (Pit or Vent)</v>
      </c>
      <c r="D274" s="219">
        <v>0</v>
      </c>
      <c r="E274" s="221">
        <v>0</v>
      </c>
      <c r="F274" s="221"/>
      <c r="G274" s="221"/>
      <c r="H274" s="221">
        <v>1</v>
      </c>
      <c r="I274" s="221"/>
      <c r="J274" s="221"/>
      <c r="K274" s="219">
        <f t="shared" si="5"/>
        <v>2</v>
      </c>
      <c r="L274" s="219">
        <v>1</v>
      </c>
      <c r="M274" s="219">
        <v>1</v>
      </c>
      <c r="N274" s="219">
        <v>2</v>
      </c>
      <c r="O274" s="219"/>
      <c r="P274" s="221"/>
      <c r="Q274" s="221"/>
      <c r="R274" s="221"/>
      <c r="S274" s="221"/>
      <c r="T274" s="221"/>
      <c r="U274" s="221"/>
      <c r="V274" s="221">
        <v>1</v>
      </c>
      <c r="W274" s="220"/>
      <c r="X274" s="220"/>
      <c r="Y274" s="220"/>
      <c r="Z274" s="221">
        <v>0</v>
      </c>
      <c r="AA274" s="220" t="s">
        <v>2474</v>
      </c>
      <c r="AC274" s="46">
        <v>0</v>
      </c>
    </row>
    <row r="275" spans="1:29" ht="16.5" customHeight="1" x14ac:dyDescent="0.3">
      <c r="A275" s="49"/>
      <c r="B275" s="54" t="str">
        <f ca="1">'Translation Table'!H1995</f>
        <v>Aerial Cooler: Natural Gas Service</v>
      </c>
      <c r="C275" s="54" t="str">
        <f ca="1">'Translation Table'!H1995</f>
        <v>Aerial Cooler: Natural Gas Service</v>
      </c>
      <c r="D275" s="219">
        <v>0</v>
      </c>
      <c r="E275" s="219">
        <v>0</v>
      </c>
      <c r="F275" s="219"/>
      <c r="G275" s="219"/>
      <c r="H275" s="219">
        <v>0</v>
      </c>
      <c r="I275" s="219"/>
      <c r="J275" s="219"/>
      <c r="K275" s="219">
        <f t="shared" si="5"/>
        <v>4</v>
      </c>
      <c r="L275" s="219">
        <v>4</v>
      </c>
      <c r="M275" s="219"/>
      <c r="N275" s="219">
        <v>428</v>
      </c>
      <c r="O275" s="219"/>
      <c r="P275" s="219"/>
      <c r="Q275" s="219"/>
      <c r="R275" s="219"/>
      <c r="S275" s="219"/>
      <c r="T275" s="219"/>
      <c r="U275" s="219"/>
      <c r="V275" s="219">
        <v>1</v>
      </c>
      <c r="W275" s="219"/>
      <c r="X275" s="219"/>
      <c r="Y275" s="219"/>
      <c r="Z275" s="219">
        <v>0</v>
      </c>
      <c r="AA275" s="220" t="s">
        <v>2474</v>
      </c>
    </row>
    <row r="276" spans="1:29" ht="16.5" customHeight="1" x14ac:dyDescent="0.3">
      <c r="A276" s="49"/>
      <c r="B276" s="130" t="str">
        <f ca="1">'Translation Table'!H1996</f>
        <v>Aerial Cooler: Hydrocarbon Liquid Service</v>
      </c>
      <c r="C276" s="54" t="str">
        <f ca="1">'Translation Table'!H1996</f>
        <v>Aerial Cooler: Hydrocarbon Liquid Service</v>
      </c>
      <c r="D276" s="219">
        <v>0</v>
      </c>
      <c r="E276" s="219">
        <v>0</v>
      </c>
      <c r="F276" s="219"/>
      <c r="G276" s="219"/>
      <c r="H276" s="219">
        <v>0</v>
      </c>
      <c r="I276" s="219"/>
      <c r="J276" s="219"/>
      <c r="K276" s="219">
        <f t="shared" si="5"/>
        <v>0</v>
      </c>
      <c r="L276" s="219"/>
      <c r="M276" s="219"/>
      <c r="N276" s="219"/>
      <c r="O276" s="219"/>
      <c r="P276" s="219"/>
      <c r="Q276" s="219"/>
      <c r="R276" s="219"/>
      <c r="S276" s="219"/>
      <c r="T276" s="219"/>
      <c r="U276" s="219"/>
      <c r="V276" s="219">
        <v>1</v>
      </c>
      <c r="W276" s="219">
        <v>4</v>
      </c>
      <c r="X276" s="219">
        <v>428</v>
      </c>
      <c r="Y276" s="219"/>
      <c r="Z276" s="219">
        <v>0</v>
      </c>
      <c r="AA276" s="220" t="s">
        <v>2474</v>
      </c>
    </row>
    <row r="277" spans="1:29" ht="16.5" customHeight="1" x14ac:dyDescent="0.3">
      <c r="A277" s="49"/>
      <c r="B277" s="54" t="str">
        <f ca="1">'Translation Table'!H1997</f>
        <v>Chemical Injection Pump: Pneumatic (Diaphragm Type)</v>
      </c>
      <c r="C277" s="54" t="str">
        <f ca="1">'Translation Table'!H1997</f>
        <v>Chemical Injection Pump: Pneumatic (Diaphragm Type)</v>
      </c>
      <c r="D277" s="219">
        <v>0</v>
      </c>
      <c r="E277" s="221">
        <v>1</v>
      </c>
      <c r="F277" s="221"/>
      <c r="G277" s="221"/>
      <c r="H277" s="221">
        <v>0</v>
      </c>
      <c r="I277" s="221"/>
      <c r="J277" s="221"/>
      <c r="K277" s="219">
        <f t="shared" si="5"/>
        <v>1</v>
      </c>
      <c r="L277" s="219">
        <v>1</v>
      </c>
      <c r="M277" s="219">
        <v>0</v>
      </c>
      <c r="N277" s="219">
        <v>6</v>
      </c>
      <c r="O277" s="219">
        <v>1</v>
      </c>
      <c r="P277" s="221"/>
      <c r="Q277" s="221"/>
      <c r="R277" s="221"/>
      <c r="S277" s="221"/>
      <c r="T277" s="221"/>
      <c r="U277" s="221"/>
      <c r="V277" s="221">
        <v>0</v>
      </c>
      <c r="W277" s="220">
        <v>0</v>
      </c>
      <c r="X277" s="220">
        <v>0</v>
      </c>
      <c r="Y277" s="220"/>
      <c r="Z277" s="221">
        <v>0</v>
      </c>
      <c r="AA277" s="220" t="s">
        <v>269</v>
      </c>
      <c r="AC277" s="46">
        <v>0</v>
      </c>
    </row>
    <row r="278" spans="1:29" ht="16.5" customHeight="1" x14ac:dyDescent="0.3">
      <c r="A278" s="49"/>
      <c r="B278" s="130" t="str">
        <f ca="1">'Translation Table'!H1998</f>
        <v>Chemical Injection Pump: Pneumatic (Piston Type)</v>
      </c>
      <c r="C278" s="54" t="str">
        <f ca="1">'Translation Table'!H1998</f>
        <v>Chemical Injection Pump: Pneumatic (Piston Type)</v>
      </c>
      <c r="D278" s="219">
        <v>0</v>
      </c>
      <c r="E278" s="221">
        <v>1</v>
      </c>
      <c r="F278" s="221"/>
      <c r="G278" s="221"/>
      <c r="H278" s="221">
        <v>0</v>
      </c>
      <c r="I278" s="221"/>
      <c r="J278" s="221"/>
      <c r="K278" s="219">
        <f t="shared" si="5"/>
        <v>1</v>
      </c>
      <c r="L278" s="219">
        <v>1</v>
      </c>
      <c r="M278" s="219"/>
      <c r="N278" s="219">
        <v>6</v>
      </c>
      <c r="O278" s="219">
        <v>1</v>
      </c>
      <c r="P278" s="221"/>
      <c r="Q278" s="221"/>
      <c r="R278" s="221"/>
      <c r="S278" s="221"/>
      <c r="T278" s="221"/>
      <c r="U278" s="221"/>
      <c r="V278" s="221">
        <v>0</v>
      </c>
      <c r="W278" s="220">
        <v>0</v>
      </c>
      <c r="X278" s="220">
        <v>0</v>
      </c>
      <c r="Y278" s="220"/>
      <c r="Z278" s="221">
        <v>0</v>
      </c>
      <c r="AA278" s="220" t="s">
        <v>269</v>
      </c>
      <c r="AC278" s="46">
        <v>0</v>
      </c>
    </row>
    <row r="279" spans="1:29" ht="16.5" customHeight="1" x14ac:dyDescent="0.3">
      <c r="A279" s="49"/>
      <c r="B279" s="54" t="str">
        <f ca="1">'Translation Table'!H1999</f>
        <v>Chemical Injection Pump: Pneumatic (Unknown Type)</v>
      </c>
      <c r="C279" s="54" t="str">
        <f ca="1">'Translation Table'!H1999</f>
        <v>Chemical Injection Pump: Pneumatic (Unknown Type)</v>
      </c>
      <c r="D279" s="219">
        <v>0</v>
      </c>
      <c r="E279" s="221">
        <v>1</v>
      </c>
      <c r="F279" s="221"/>
      <c r="G279" s="221"/>
      <c r="H279" s="221">
        <v>0</v>
      </c>
      <c r="I279" s="221"/>
      <c r="J279" s="221"/>
      <c r="K279" s="219">
        <f t="shared" si="5"/>
        <v>1</v>
      </c>
      <c r="L279" s="219">
        <v>1</v>
      </c>
      <c r="M279" s="219"/>
      <c r="N279" s="219">
        <v>6</v>
      </c>
      <c r="O279" s="219">
        <v>1</v>
      </c>
      <c r="P279" s="221"/>
      <c r="Q279" s="221"/>
      <c r="R279" s="221"/>
      <c r="S279" s="221"/>
      <c r="T279" s="221"/>
      <c r="U279" s="221"/>
      <c r="V279" s="221">
        <v>0</v>
      </c>
      <c r="W279" s="220">
        <v>0</v>
      </c>
      <c r="X279" s="220">
        <v>0</v>
      </c>
      <c r="Y279" s="220"/>
      <c r="Z279" s="221">
        <v>0</v>
      </c>
      <c r="AA279" s="220" t="s">
        <v>269</v>
      </c>
      <c r="AC279" s="46">
        <v>0</v>
      </c>
    </row>
    <row r="280" spans="1:29" ht="16.5" customHeight="1" x14ac:dyDescent="0.3">
      <c r="A280" s="49"/>
      <c r="B280" s="130" t="str">
        <f ca="1">'Translation Table'!H2000</f>
        <v>Compressor: Centrifugal: (Stages: 1) (Seals: Wet) (Driver: Electric Motor)</v>
      </c>
      <c r="C280" s="54" t="str">
        <f ca="1">'Translation Table'!H2000</f>
        <v>Compressor: Centrifugal: (Stages: 1) (Seals: Wet) (Driver: Electric Motor)</v>
      </c>
      <c r="D280" s="219">
        <v>1</v>
      </c>
      <c r="E280" s="221">
        <v>3</v>
      </c>
      <c r="F280" s="221"/>
      <c r="G280" s="221"/>
      <c r="H280" s="221">
        <v>0</v>
      </c>
      <c r="I280" s="221"/>
      <c r="J280" s="221"/>
      <c r="K280" s="219">
        <f t="shared" si="5"/>
        <v>48.75</v>
      </c>
      <c r="L280" s="219">
        <v>42.5</v>
      </c>
      <c r="M280" s="219">
        <v>6.25</v>
      </c>
      <c r="N280" s="219">
        <v>1415.25</v>
      </c>
      <c r="O280" s="219">
        <v>1</v>
      </c>
      <c r="P280" s="221"/>
      <c r="Q280" s="221">
        <v>2</v>
      </c>
      <c r="R280" s="221"/>
      <c r="S280" s="221"/>
      <c r="T280" s="221">
        <v>1</v>
      </c>
      <c r="U280" s="221"/>
      <c r="V280" s="221">
        <v>1</v>
      </c>
      <c r="W280" s="220">
        <v>3</v>
      </c>
      <c r="X280" s="220">
        <v>8</v>
      </c>
      <c r="Y280" s="220"/>
      <c r="Z280" s="221">
        <v>1</v>
      </c>
      <c r="AA280" s="220" t="s">
        <v>2474</v>
      </c>
      <c r="AC280" s="46">
        <v>0</v>
      </c>
    </row>
    <row r="281" spans="1:29" ht="16.5" customHeight="1" x14ac:dyDescent="0.3">
      <c r="A281" s="49"/>
      <c r="B281" s="54" t="str">
        <f ca="1">'Translation Table'!H2001</f>
        <v>Compressor: Centrifugal: (Stages: 1) (Seals: Wet) (Driver: Gas Turbine)</v>
      </c>
      <c r="C281" s="54" t="str">
        <f ca="1">'Translation Table'!H2001</f>
        <v>Compressor: Centrifugal: (Stages: 1) (Seals: Wet) (Driver: Gas Turbine)</v>
      </c>
      <c r="D281" s="219">
        <v>2.29</v>
      </c>
      <c r="E281" s="221">
        <v>3.43</v>
      </c>
      <c r="F281" s="221"/>
      <c r="G281" s="221"/>
      <c r="H281" s="221">
        <v>0</v>
      </c>
      <c r="I281" s="221"/>
      <c r="J281" s="221"/>
      <c r="K281" s="219">
        <f t="shared" si="5"/>
        <v>68.61</v>
      </c>
      <c r="L281" s="219">
        <v>62.36</v>
      </c>
      <c r="M281" s="219">
        <v>6.25</v>
      </c>
      <c r="N281" s="219">
        <v>1510.96</v>
      </c>
      <c r="O281" s="219">
        <v>5</v>
      </c>
      <c r="P281" s="221"/>
      <c r="Q281" s="221">
        <v>2</v>
      </c>
      <c r="R281" s="221"/>
      <c r="S281" s="221"/>
      <c r="T281" s="221">
        <v>1</v>
      </c>
      <c r="U281" s="221"/>
      <c r="V281" s="221">
        <v>5</v>
      </c>
      <c r="W281" s="220">
        <v>5</v>
      </c>
      <c r="X281" s="220">
        <v>11</v>
      </c>
      <c r="Y281" s="220"/>
      <c r="Z281" s="221">
        <v>2</v>
      </c>
      <c r="AA281" s="220" t="s">
        <v>2474</v>
      </c>
      <c r="AC281" s="46">
        <v>0</v>
      </c>
    </row>
    <row r="282" spans="1:29" ht="16.5" customHeight="1" x14ac:dyDescent="0.3">
      <c r="A282" s="49"/>
      <c r="B282" s="130" t="str">
        <f ca="1">'Translation Table'!H2002</f>
        <v>Compressor: Centrifugal: (Stages: 2) (Seals: Wet) (Driver: Electric Motor)</v>
      </c>
      <c r="C282" s="54" t="str">
        <f ca="1">'Translation Table'!H2002</f>
        <v>Compressor: Centrifugal: (Stages: 2) (Seals: Wet) (Driver: Electric Motor)</v>
      </c>
      <c r="D282" s="219">
        <v>2</v>
      </c>
      <c r="E282" s="221">
        <v>4.5</v>
      </c>
      <c r="F282" s="221"/>
      <c r="G282" s="221"/>
      <c r="H282" s="221">
        <v>0</v>
      </c>
      <c r="I282" s="221"/>
      <c r="J282" s="221"/>
      <c r="K282" s="219">
        <f t="shared" si="5"/>
        <v>76.5</v>
      </c>
      <c r="L282" s="219">
        <v>69.25</v>
      </c>
      <c r="M282" s="219">
        <v>7.25</v>
      </c>
      <c r="N282" s="219">
        <v>2736.75</v>
      </c>
      <c r="O282" s="219">
        <v>1</v>
      </c>
      <c r="P282" s="221"/>
      <c r="Q282" s="221">
        <v>4</v>
      </c>
      <c r="R282" s="221"/>
      <c r="S282" s="221"/>
      <c r="T282" s="221">
        <v>1</v>
      </c>
      <c r="U282" s="221"/>
      <c r="V282" s="221">
        <v>5</v>
      </c>
      <c r="W282" s="220">
        <v>6</v>
      </c>
      <c r="X282" s="220">
        <v>16</v>
      </c>
      <c r="Y282" s="220"/>
      <c r="Z282" s="221">
        <v>2</v>
      </c>
      <c r="AA282" s="220" t="s">
        <v>2474</v>
      </c>
      <c r="AC282" s="46">
        <v>0</v>
      </c>
    </row>
    <row r="283" spans="1:29" ht="16.5" customHeight="1" x14ac:dyDescent="0.3">
      <c r="A283" s="49"/>
      <c r="B283" s="54" t="str">
        <f ca="1">'Translation Table'!H2003</f>
        <v>Compressor: Centrifugal: (Stages: 2) (Seals: Wet) (Driver: Gas Turbine)</v>
      </c>
      <c r="C283" s="54" t="str">
        <f ca="1">'Translation Table'!H2003</f>
        <v>Compressor: Centrifugal: (Stages: 2) (Seals: Wet) (Driver: Gas Turbine)</v>
      </c>
      <c r="D283" s="219">
        <v>5</v>
      </c>
      <c r="E283" s="221">
        <v>4.93</v>
      </c>
      <c r="F283" s="221"/>
      <c r="G283" s="221"/>
      <c r="H283" s="221">
        <v>0</v>
      </c>
      <c r="I283" s="221"/>
      <c r="J283" s="221"/>
      <c r="K283" s="219">
        <f t="shared" si="5"/>
        <v>96.46</v>
      </c>
      <c r="L283" s="219">
        <v>89.11</v>
      </c>
      <c r="M283" s="219">
        <v>7.35</v>
      </c>
      <c r="N283" s="219">
        <v>2832.46</v>
      </c>
      <c r="O283" s="219">
        <v>5</v>
      </c>
      <c r="P283" s="221"/>
      <c r="Q283" s="221">
        <v>4</v>
      </c>
      <c r="R283" s="221"/>
      <c r="S283" s="221"/>
      <c r="T283" s="221">
        <v>1</v>
      </c>
      <c r="U283" s="221"/>
      <c r="V283" s="221">
        <v>5</v>
      </c>
      <c r="W283" s="220">
        <v>6</v>
      </c>
      <c r="X283" s="220">
        <v>16</v>
      </c>
      <c r="Y283" s="220"/>
      <c r="Z283" s="221">
        <v>3</v>
      </c>
      <c r="AA283" s="220" t="s">
        <v>2474</v>
      </c>
      <c r="AC283" s="46">
        <v>0</v>
      </c>
    </row>
    <row r="284" spans="1:29" ht="16.5" customHeight="1" x14ac:dyDescent="0.3">
      <c r="A284" s="49"/>
      <c r="B284" s="130" t="str">
        <f ca="1">'Translation Table'!H2004</f>
        <v>Compressor: Centrifugal: (Stages: 1) (Seals: Dry) (Driver: Electric Motor)</v>
      </c>
      <c r="C284" s="54" t="str">
        <f ca="1">'Translation Table'!H2004</f>
        <v>Compressor: Centrifugal: (Stages: 1) (Seals: Dry) (Driver: Electric Motor)</v>
      </c>
      <c r="D284" s="219">
        <v>1</v>
      </c>
      <c r="E284" s="221">
        <v>3</v>
      </c>
      <c r="F284" s="221"/>
      <c r="G284" s="221"/>
      <c r="H284" s="221">
        <v>0</v>
      </c>
      <c r="I284" s="221"/>
      <c r="J284" s="221"/>
      <c r="K284" s="219">
        <f t="shared" si="5"/>
        <v>48.75</v>
      </c>
      <c r="L284" s="219">
        <v>42.5</v>
      </c>
      <c r="M284" s="219">
        <v>6.25</v>
      </c>
      <c r="N284" s="219">
        <v>1415.25</v>
      </c>
      <c r="O284" s="219">
        <v>1</v>
      </c>
      <c r="P284" s="221"/>
      <c r="Q284" s="221"/>
      <c r="R284" s="221">
        <v>2</v>
      </c>
      <c r="S284" s="221"/>
      <c r="T284" s="221">
        <v>1</v>
      </c>
      <c r="U284" s="221"/>
      <c r="V284" s="221">
        <v>1</v>
      </c>
      <c r="W284" s="220">
        <v>3</v>
      </c>
      <c r="X284" s="220">
        <v>8</v>
      </c>
      <c r="Y284" s="220"/>
      <c r="Z284" s="221">
        <v>1</v>
      </c>
      <c r="AA284" s="220" t="s">
        <v>2474</v>
      </c>
      <c r="AC284" s="46">
        <v>0</v>
      </c>
    </row>
    <row r="285" spans="1:29" ht="16.5" customHeight="1" x14ac:dyDescent="0.3">
      <c r="A285" s="49"/>
      <c r="B285" s="54" t="str">
        <f ca="1">'Translation Table'!H2005</f>
        <v>Compressor: Centrifugal: (Stages: 1) (Seals: Dry) (Driver: Gas Turbine)</v>
      </c>
      <c r="C285" s="54" t="str">
        <f ca="1">'Translation Table'!H2005</f>
        <v>Compressor: Centrifugal: (Stages: 1) (Seals: Dry) (Driver: Gas Turbine)</v>
      </c>
      <c r="D285" s="219">
        <v>2.29</v>
      </c>
      <c r="E285" s="221">
        <v>3.43</v>
      </c>
      <c r="F285" s="221"/>
      <c r="G285" s="221"/>
      <c r="H285" s="221">
        <v>0</v>
      </c>
      <c r="I285" s="221"/>
      <c r="J285" s="221"/>
      <c r="K285" s="219">
        <f t="shared" si="5"/>
        <v>68.61</v>
      </c>
      <c r="L285" s="219">
        <v>62.36</v>
      </c>
      <c r="M285" s="219">
        <v>6.25</v>
      </c>
      <c r="N285" s="219">
        <v>1510.96</v>
      </c>
      <c r="O285" s="219">
        <v>5</v>
      </c>
      <c r="P285" s="221"/>
      <c r="Q285" s="221"/>
      <c r="R285" s="221">
        <v>2</v>
      </c>
      <c r="S285" s="221"/>
      <c r="T285" s="221">
        <v>1</v>
      </c>
      <c r="U285" s="221"/>
      <c r="V285" s="221">
        <v>5</v>
      </c>
      <c r="W285" s="220">
        <v>5</v>
      </c>
      <c r="X285" s="220">
        <v>11</v>
      </c>
      <c r="Y285" s="220"/>
      <c r="Z285" s="221">
        <v>2</v>
      </c>
      <c r="AA285" s="220" t="s">
        <v>2474</v>
      </c>
      <c r="AC285" s="46">
        <v>0</v>
      </c>
    </row>
    <row r="286" spans="1:29" ht="16.5" customHeight="1" x14ac:dyDescent="0.3">
      <c r="A286" s="49"/>
      <c r="B286" s="130" t="str">
        <f ca="1">'Translation Table'!H2006</f>
        <v>Compressor: Centrifugal: (Stages: 2) (Seals: Dry) (Driver: Electric Motor)</v>
      </c>
      <c r="C286" s="54" t="str">
        <f ca="1">'Translation Table'!H2006</f>
        <v>Compressor: Centrifugal: (Stages: 2) (Seals: Dry) (Driver: Electric Motor)</v>
      </c>
      <c r="D286" s="219">
        <v>2</v>
      </c>
      <c r="E286" s="221">
        <v>4.5</v>
      </c>
      <c r="F286" s="221"/>
      <c r="G286" s="221"/>
      <c r="H286" s="221">
        <v>0</v>
      </c>
      <c r="I286" s="221"/>
      <c r="J286" s="221"/>
      <c r="K286" s="219">
        <f t="shared" si="5"/>
        <v>76.5</v>
      </c>
      <c r="L286" s="219">
        <v>69.25</v>
      </c>
      <c r="M286" s="219">
        <v>7.25</v>
      </c>
      <c r="N286" s="219">
        <v>2736.75</v>
      </c>
      <c r="O286" s="219">
        <v>1</v>
      </c>
      <c r="P286" s="221"/>
      <c r="Q286" s="221"/>
      <c r="R286" s="221">
        <v>4</v>
      </c>
      <c r="S286" s="221"/>
      <c r="T286" s="221">
        <v>1</v>
      </c>
      <c r="U286" s="221"/>
      <c r="V286" s="221">
        <v>5</v>
      </c>
      <c r="W286" s="220">
        <v>6</v>
      </c>
      <c r="X286" s="220">
        <v>16</v>
      </c>
      <c r="Y286" s="220"/>
      <c r="Z286" s="221">
        <v>2</v>
      </c>
      <c r="AA286" s="220" t="s">
        <v>2474</v>
      </c>
      <c r="AC286" s="46">
        <v>0</v>
      </c>
    </row>
    <row r="287" spans="1:29" ht="16.5" customHeight="1" x14ac:dyDescent="0.3">
      <c r="A287" s="49"/>
      <c r="B287" s="54" t="str">
        <f ca="1">'Translation Table'!H2007</f>
        <v>Compressor: Centrifugal: (Stages: 2) (Seals: Dry) (Driver: Gas Turbine)</v>
      </c>
      <c r="C287" s="54" t="str">
        <f ca="1">'Translation Table'!H2007</f>
        <v>Compressor: Centrifugal: (Stages: 2) (Seals: Dry) (Driver: Gas Turbine)</v>
      </c>
      <c r="D287" s="219">
        <v>5</v>
      </c>
      <c r="E287" s="221">
        <v>4.93</v>
      </c>
      <c r="F287" s="221"/>
      <c r="G287" s="221"/>
      <c r="H287" s="221">
        <v>0</v>
      </c>
      <c r="I287" s="221"/>
      <c r="J287" s="221"/>
      <c r="K287" s="219">
        <f t="shared" si="5"/>
        <v>96.46</v>
      </c>
      <c r="L287" s="219">
        <v>89.11</v>
      </c>
      <c r="M287" s="219">
        <v>7.35</v>
      </c>
      <c r="N287" s="219">
        <v>2832.46</v>
      </c>
      <c r="O287" s="219">
        <v>5</v>
      </c>
      <c r="P287" s="221"/>
      <c r="Q287" s="221"/>
      <c r="R287" s="221">
        <v>4</v>
      </c>
      <c r="S287" s="221"/>
      <c r="T287" s="221">
        <v>1</v>
      </c>
      <c r="U287" s="221"/>
      <c r="V287" s="221">
        <v>5</v>
      </c>
      <c r="W287" s="220">
        <v>6</v>
      </c>
      <c r="X287" s="220">
        <v>16</v>
      </c>
      <c r="Y287" s="220"/>
      <c r="Z287" s="221">
        <v>3</v>
      </c>
      <c r="AA287" s="220" t="s">
        <v>2474</v>
      </c>
      <c r="AC287" s="46">
        <v>0</v>
      </c>
    </row>
    <row r="288" spans="1:29" ht="16.5" customHeight="1" x14ac:dyDescent="0.3">
      <c r="A288" s="49"/>
      <c r="B288" s="130" t="str">
        <f ca="1">'Translation Table'!H2008</f>
        <v>Compressor: Reciprocating: (Stages: 1) (Driver: Electric Motor)</v>
      </c>
      <c r="C288" s="54" t="str">
        <f ca="1">'Translation Table'!H2008</f>
        <v>Compressor: Reciprocating: (Stages: 1) (Driver: Electric Motor)</v>
      </c>
      <c r="D288" s="219">
        <v>3</v>
      </c>
      <c r="E288" s="221">
        <v>3</v>
      </c>
      <c r="F288" s="221"/>
      <c r="G288" s="221"/>
      <c r="H288" s="221">
        <v>0</v>
      </c>
      <c r="I288" s="221"/>
      <c r="J288" s="221"/>
      <c r="K288" s="219">
        <f t="shared" si="5"/>
        <v>38.17</v>
      </c>
      <c r="L288" s="219">
        <v>33.5</v>
      </c>
      <c r="M288" s="219">
        <v>4.67</v>
      </c>
      <c r="N288" s="219">
        <v>489.83</v>
      </c>
      <c r="O288" s="219">
        <v>1.33</v>
      </c>
      <c r="P288" s="221">
        <v>4</v>
      </c>
      <c r="Q288" s="221"/>
      <c r="R288" s="221"/>
      <c r="S288" s="221">
        <v>1</v>
      </c>
      <c r="T288" s="221">
        <v>1</v>
      </c>
      <c r="U288" s="221">
        <v>0</v>
      </c>
      <c r="V288" s="221">
        <v>3</v>
      </c>
      <c r="W288" s="220">
        <v>4</v>
      </c>
      <c r="X288" s="220">
        <v>20</v>
      </c>
      <c r="Y288" s="220"/>
      <c r="Z288" s="221">
        <v>1</v>
      </c>
      <c r="AA288" s="220" t="s">
        <v>2474</v>
      </c>
      <c r="AC288" s="46">
        <v>0</v>
      </c>
    </row>
    <row r="289" spans="1:29" ht="16.5" customHeight="1" x14ac:dyDescent="0.3">
      <c r="A289" s="49"/>
      <c r="B289" s="54" t="str">
        <f ca="1">'Translation Table'!H2009</f>
        <v>Compressor: Reciprocating: (Stages: 1) (Driver: Recip Engine)</v>
      </c>
      <c r="C289" s="54" t="str">
        <f ca="1">'Translation Table'!H2009</f>
        <v>Compressor: Reciprocating: (Stages: 1) (Driver: Recip Engine)</v>
      </c>
      <c r="D289" s="219">
        <v>3.79</v>
      </c>
      <c r="E289" s="221">
        <v>3.43</v>
      </c>
      <c r="F289" s="221"/>
      <c r="G289" s="221"/>
      <c r="H289" s="221">
        <v>0</v>
      </c>
      <c r="I289" s="221"/>
      <c r="J289" s="221"/>
      <c r="K289" s="219">
        <f t="shared" si="5"/>
        <v>50.53</v>
      </c>
      <c r="L289" s="219">
        <v>44.86</v>
      </c>
      <c r="M289" s="219">
        <v>5.67</v>
      </c>
      <c r="N289" s="219">
        <v>592.29999999999995</v>
      </c>
      <c r="O289" s="219">
        <v>2.33</v>
      </c>
      <c r="P289" s="221">
        <v>4</v>
      </c>
      <c r="Q289" s="221"/>
      <c r="R289" s="221"/>
      <c r="S289" s="221">
        <v>1</v>
      </c>
      <c r="T289" s="221">
        <v>1</v>
      </c>
      <c r="U289" s="221">
        <v>0</v>
      </c>
      <c r="V289" s="221">
        <v>3</v>
      </c>
      <c r="W289" s="220">
        <v>4</v>
      </c>
      <c r="X289" s="220">
        <v>20</v>
      </c>
      <c r="Y289" s="220"/>
      <c r="Z289" s="221">
        <v>1</v>
      </c>
      <c r="AA289" s="220" t="s">
        <v>2474</v>
      </c>
      <c r="AC289" s="46">
        <v>0</v>
      </c>
    </row>
    <row r="290" spans="1:29" ht="16.5" customHeight="1" x14ac:dyDescent="0.3">
      <c r="A290" s="49"/>
      <c r="B290" s="130" t="str">
        <f ca="1">'Translation Table'!H2010</f>
        <v>Compressor: Reciprocating: (Stages: 2) (Driver: Electric Motor)</v>
      </c>
      <c r="C290" s="54" t="str">
        <f ca="1">'Translation Table'!H2010</f>
        <v>Compressor: Reciprocating: (Stages: 2) (Driver: Electric Motor)</v>
      </c>
      <c r="D290" s="219">
        <v>3</v>
      </c>
      <c r="E290" s="221">
        <v>3.33</v>
      </c>
      <c r="F290" s="221"/>
      <c r="G290" s="221"/>
      <c r="H290" s="221">
        <v>0</v>
      </c>
      <c r="I290" s="221"/>
      <c r="J290" s="221"/>
      <c r="K290" s="219">
        <f t="shared" si="5"/>
        <v>43.83</v>
      </c>
      <c r="L290" s="219">
        <v>38.83</v>
      </c>
      <c r="M290" s="219">
        <v>5</v>
      </c>
      <c r="N290" s="219">
        <v>786.17</v>
      </c>
      <c r="O290" s="219">
        <v>1.67</v>
      </c>
      <c r="P290" s="221">
        <v>4</v>
      </c>
      <c r="Q290" s="221"/>
      <c r="R290" s="221"/>
      <c r="S290" s="221">
        <v>1</v>
      </c>
      <c r="T290" s="221">
        <v>1</v>
      </c>
      <c r="U290" s="221">
        <v>0</v>
      </c>
      <c r="V290" s="221">
        <v>4</v>
      </c>
      <c r="W290" s="220">
        <v>8</v>
      </c>
      <c r="X290" s="220">
        <v>40</v>
      </c>
      <c r="Y290" s="220"/>
      <c r="Z290" s="221">
        <v>2</v>
      </c>
      <c r="AA290" s="220" t="s">
        <v>2474</v>
      </c>
      <c r="AC290" s="46">
        <v>0</v>
      </c>
    </row>
    <row r="291" spans="1:29" ht="16.5" customHeight="1" x14ac:dyDescent="0.3">
      <c r="A291" s="49"/>
      <c r="B291" s="54" t="str">
        <f ca="1">'Translation Table'!H2011</f>
        <v>Compressor: Reciprocating: (Stages: 2) (Driver: Recip Engine)</v>
      </c>
      <c r="C291" s="54" t="str">
        <f ca="1">'Translation Table'!H2011</f>
        <v>Compressor: Reciprocating: (Stages: 2) (Driver: Recip Engine)</v>
      </c>
      <c r="D291" s="219">
        <v>3.79</v>
      </c>
      <c r="E291" s="221">
        <v>3.76</v>
      </c>
      <c r="F291" s="221"/>
      <c r="G291" s="221"/>
      <c r="H291" s="221">
        <v>0</v>
      </c>
      <c r="I291" s="221"/>
      <c r="J291" s="221"/>
      <c r="K291" s="219">
        <f t="shared" si="5"/>
        <v>56.19</v>
      </c>
      <c r="L291" s="219">
        <v>50.19</v>
      </c>
      <c r="M291" s="219">
        <v>6</v>
      </c>
      <c r="N291" s="219">
        <v>888.63</v>
      </c>
      <c r="O291" s="219">
        <v>2.67</v>
      </c>
      <c r="P291" s="221">
        <v>4</v>
      </c>
      <c r="Q291" s="221"/>
      <c r="R291" s="221"/>
      <c r="S291" s="221">
        <v>1</v>
      </c>
      <c r="T291" s="221">
        <v>1</v>
      </c>
      <c r="U291" s="221">
        <v>0</v>
      </c>
      <c r="V291" s="221">
        <v>4</v>
      </c>
      <c r="W291" s="220">
        <v>8</v>
      </c>
      <c r="X291" s="220">
        <v>40</v>
      </c>
      <c r="Y291" s="220"/>
      <c r="Z291" s="221">
        <v>2</v>
      </c>
      <c r="AA291" s="220" t="s">
        <v>2474</v>
      </c>
      <c r="AC291" s="46">
        <v>0</v>
      </c>
    </row>
    <row r="292" spans="1:29" ht="16.5" customHeight="1" x14ac:dyDescent="0.3">
      <c r="A292" s="49"/>
      <c r="B292" s="130" t="str">
        <f ca="1">'Translation Table'!H2012</f>
        <v>Compressor: Reciprocating: (Stages: 3) (Driver: Electric Motor)</v>
      </c>
      <c r="C292" s="54" t="str">
        <f ca="1">'Translation Table'!H2012</f>
        <v>Compressor: Reciprocating: (Stages: 3) (Driver: Electric Motor)</v>
      </c>
      <c r="D292" s="219">
        <v>4</v>
      </c>
      <c r="E292" s="221">
        <v>4.33</v>
      </c>
      <c r="F292" s="221"/>
      <c r="G292" s="221"/>
      <c r="H292" s="221">
        <v>0</v>
      </c>
      <c r="I292" s="221"/>
      <c r="J292" s="221"/>
      <c r="K292" s="219">
        <f t="shared" si="5"/>
        <v>56.83</v>
      </c>
      <c r="L292" s="219">
        <v>51.5</v>
      </c>
      <c r="M292" s="219">
        <v>5.33</v>
      </c>
      <c r="N292" s="219">
        <v>1138.5</v>
      </c>
      <c r="O292" s="219">
        <v>2</v>
      </c>
      <c r="P292" s="221">
        <v>6</v>
      </c>
      <c r="Q292" s="221"/>
      <c r="R292" s="221"/>
      <c r="S292" s="221">
        <v>1</v>
      </c>
      <c r="T292" s="221">
        <v>1</v>
      </c>
      <c r="U292" s="221">
        <v>0</v>
      </c>
      <c r="V292" s="221">
        <v>5</v>
      </c>
      <c r="W292" s="220">
        <v>12</v>
      </c>
      <c r="X292" s="220">
        <v>60</v>
      </c>
      <c r="Y292" s="220"/>
      <c r="Z292" s="221">
        <v>3</v>
      </c>
      <c r="AA292" s="220" t="s">
        <v>2474</v>
      </c>
      <c r="AC292" s="46">
        <v>0</v>
      </c>
    </row>
    <row r="293" spans="1:29" ht="16.5" customHeight="1" x14ac:dyDescent="0.3">
      <c r="A293" s="49"/>
      <c r="B293" s="54" t="str">
        <f ca="1">'Translation Table'!H2013</f>
        <v>Compressor: Reciprocating: (Stages: 3) (Driver: Recip Engine)</v>
      </c>
      <c r="C293" s="54" t="str">
        <f ca="1">'Translation Table'!H2013</f>
        <v>Compressor: Reciprocating: (Stages: 3) (Driver: Recip Engine)</v>
      </c>
      <c r="D293" s="219">
        <v>4.29</v>
      </c>
      <c r="E293" s="221">
        <v>4.76</v>
      </c>
      <c r="F293" s="221"/>
      <c r="G293" s="221"/>
      <c r="H293" s="221">
        <v>0</v>
      </c>
      <c r="I293" s="221"/>
      <c r="J293" s="221"/>
      <c r="K293" s="219">
        <f t="shared" si="5"/>
        <v>69.19</v>
      </c>
      <c r="L293" s="219">
        <v>62.86</v>
      </c>
      <c r="M293" s="219">
        <v>6.33</v>
      </c>
      <c r="N293" s="219">
        <v>1240.96</v>
      </c>
      <c r="O293" s="219">
        <v>3</v>
      </c>
      <c r="P293" s="221">
        <v>6</v>
      </c>
      <c r="Q293" s="221"/>
      <c r="R293" s="221"/>
      <c r="S293" s="221">
        <v>1</v>
      </c>
      <c r="T293" s="221">
        <v>1</v>
      </c>
      <c r="U293" s="221">
        <v>0</v>
      </c>
      <c r="V293" s="221">
        <v>5</v>
      </c>
      <c r="W293" s="220">
        <v>12</v>
      </c>
      <c r="X293" s="220">
        <v>60</v>
      </c>
      <c r="Y293" s="220"/>
      <c r="Z293" s="221">
        <v>3</v>
      </c>
      <c r="AA293" s="220" t="s">
        <v>2474</v>
      </c>
      <c r="AC293" s="46">
        <v>0</v>
      </c>
    </row>
    <row r="294" spans="1:29" ht="16.5" customHeight="1" x14ac:dyDescent="0.3">
      <c r="A294" s="49"/>
      <c r="B294" s="130" t="str">
        <f ca="1">'Translation Table'!H2014</f>
        <v>Compressor: Reciprocating: (Stages 4) (Driver: Electric Motor)</v>
      </c>
      <c r="C294" s="54" t="str">
        <f ca="1">'Translation Table'!H2014</f>
        <v>Compressor: Reciprocating: (Stages 4) (Driver: Electric Motor)</v>
      </c>
      <c r="D294" s="219">
        <v>7</v>
      </c>
      <c r="E294" s="221">
        <v>5.33</v>
      </c>
      <c r="F294" s="221"/>
      <c r="G294" s="221"/>
      <c r="H294" s="221">
        <v>0</v>
      </c>
      <c r="I294" s="221"/>
      <c r="J294" s="221"/>
      <c r="K294" s="219">
        <f t="shared" si="5"/>
        <v>69.84</v>
      </c>
      <c r="L294" s="219">
        <v>64.17</v>
      </c>
      <c r="M294" s="219">
        <v>5.67</v>
      </c>
      <c r="N294" s="219">
        <v>1490.83</v>
      </c>
      <c r="O294" s="219">
        <v>2.33</v>
      </c>
      <c r="P294" s="221">
        <v>8</v>
      </c>
      <c r="Q294" s="221"/>
      <c r="R294" s="221"/>
      <c r="S294" s="221">
        <v>1</v>
      </c>
      <c r="T294" s="221">
        <v>1</v>
      </c>
      <c r="U294" s="221">
        <v>0</v>
      </c>
      <c r="V294" s="221">
        <v>6</v>
      </c>
      <c r="W294" s="220">
        <v>16</v>
      </c>
      <c r="X294" s="220">
        <v>80</v>
      </c>
      <c r="Y294" s="220"/>
      <c r="Z294" s="221">
        <v>4</v>
      </c>
      <c r="AA294" s="220" t="s">
        <v>2474</v>
      </c>
    </row>
    <row r="295" spans="1:29" ht="16.5" customHeight="1" x14ac:dyDescent="0.3">
      <c r="A295" s="49"/>
      <c r="B295" s="54" t="str">
        <f ca="1">'Translation Table'!H2015</f>
        <v>Compressor: Reciprocating: (Stages 4) (Driver: Recip Engine)</v>
      </c>
      <c r="C295" s="54" t="str">
        <f ca="1">'Translation Table'!H2015</f>
        <v>Compressor: Reciprocating: (Stages 4) (Driver: Recip Engine)</v>
      </c>
      <c r="D295" s="219">
        <v>7.79</v>
      </c>
      <c r="E295" s="221">
        <v>5.76</v>
      </c>
      <c r="F295" s="221"/>
      <c r="G295" s="221"/>
      <c r="H295" s="221">
        <v>0</v>
      </c>
      <c r="I295" s="221"/>
      <c r="J295" s="221"/>
      <c r="K295" s="219">
        <f t="shared" si="5"/>
        <v>82.19</v>
      </c>
      <c r="L295" s="219">
        <v>75.52</v>
      </c>
      <c r="M295" s="219">
        <v>6.67</v>
      </c>
      <c r="N295" s="219">
        <v>1593.3</v>
      </c>
      <c r="O295" s="219">
        <v>3.33</v>
      </c>
      <c r="P295" s="221">
        <v>8</v>
      </c>
      <c r="Q295" s="221"/>
      <c r="R295" s="221"/>
      <c r="S295" s="221">
        <v>1</v>
      </c>
      <c r="T295" s="221">
        <v>1</v>
      </c>
      <c r="U295" s="221">
        <v>0</v>
      </c>
      <c r="V295" s="221">
        <v>6</v>
      </c>
      <c r="W295" s="220">
        <v>16</v>
      </c>
      <c r="X295" s="220">
        <v>80</v>
      </c>
      <c r="Y295" s="220"/>
      <c r="Z295" s="221">
        <v>4</v>
      </c>
      <c r="AA295" s="220" t="s">
        <v>2474</v>
      </c>
    </row>
    <row r="296" spans="1:29" ht="16.5" customHeight="1" x14ac:dyDescent="0.3">
      <c r="A296" s="49"/>
      <c r="B296" s="130" t="str">
        <f ca="1">'Translation Table'!H2016</f>
        <v>Compressor: Screw (Driver: Electric Motor)</v>
      </c>
      <c r="C296" s="54" t="str">
        <f ca="1">'Translation Table'!H2016</f>
        <v>Compressor: Screw (Driver: Electric Motor)</v>
      </c>
      <c r="D296" s="219">
        <v>2</v>
      </c>
      <c r="E296" s="221">
        <v>0</v>
      </c>
      <c r="F296" s="221"/>
      <c r="G296" s="221"/>
      <c r="H296" s="221">
        <v>0</v>
      </c>
      <c r="I296" s="221"/>
      <c r="J296" s="221"/>
      <c r="K296" s="219">
        <f t="shared" si="5"/>
        <v>33.5</v>
      </c>
      <c r="L296" s="219">
        <v>33.5</v>
      </c>
      <c r="M296" s="219"/>
      <c r="N296" s="219">
        <v>205.5</v>
      </c>
      <c r="O296" s="219">
        <v>1.5</v>
      </c>
      <c r="P296" s="221">
        <v>0</v>
      </c>
      <c r="Q296" s="221"/>
      <c r="R296" s="221"/>
      <c r="S296" s="221"/>
      <c r="T296" s="221"/>
      <c r="U296" s="221"/>
      <c r="V296" s="221">
        <v>3</v>
      </c>
      <c r="W296" s="220">
        <v>3</v>
      </c>
      <c r="X296" s="220">
        <v>6</v>
      </c>
      <c r="Y296" s="220"/>
      <c r="Z296" s="221">
        <v>1</v>
      </c>
      <c r="AA296" s="220" t="s">
        <v>2474</v>
      </c>
      <c r="AC296" s="46">
        <v>0</v>
      </c>
    </row>
    <row r="297" spans="1:29" ht="16.5" customHeight="1" x14ac:dyDescent="0.3">
      <c r="A297" s="49"/>
      <c r="B297" s="54" t="str">
        <f ca="1">'Translation Table'!H2017</f>
        <v>Compressor: Screw (Driver: Recip Engine)</v>
      </c>
      <c r="C297" s="54" t="str">
        <f ca="1">'Translation Table'!H2017</f>
        <v>Compressor: Screw (Driver: Recip Engine)</v>
      </c>
      <c r="D297" s="219">
        <v>2</v>
      </c>
      <c r="E297" s="221">
        <v>0</v>
      </c>
      <c r="F297" s="221"/>
      <c r="G297" s="221"/>
      <c r="H297" s="221">
        <v>0</v>
      </c>
      <c r="I297" s="221"/>
      <c r="J297" s="221"/>
      <c r="K297" s="219">
        <f t="shared" si="5"/>
        <v>36</v>
      </c>
      <c r="L297" s="219">
        <v>36</v>
      </c>
      <c r="M297" s="219"/>
      <c r="N297" s="219">
        <v>228</v>
      </c>
      <c r="O297" s="219">
        <v>2</v>
      </c>
      <c r="P297" s="221">
        <v>0</v>
      </c>
      <c r="Q297" s="221"/>
      <c r="R297" s="221"/>
      <c r="S297" s="221"/>
      <c r="T297" s="221"/>
      <c r="U297" s="221"/>
      <c r="V297" s="221">
        <v>3</v>
      </c>
      <c r="W297" s="220">
        <v>3</v>
      </c>
      <c r="X297" s="220">
        <v>6</v>
      </c>
      <c r="Y297" s="220"/>
      <c r="Z297" s="221">
        <v>1</v>
      </c>
      <c r="AA297" s="220" t="s">
        <v>517</v>
      </c>
      <c r="AC297" s="46">
        <v>0</v>
      </c>
    </row>
    <row r="298" spans="1:29" ht="16.5" customHeight="1" x14ac:dyDescent="0.3">
      <c r="A298" s="49"/>
      <c r="B298" s="130" t="str">
        <f ca="1">'Translation Table'!H2018</f>
        <v>Dehydration: Desiccant (Adsorber Columns: 2)</v>
      </c>
      <c r="C298" s="54" t="str">
        <f ca="1">'Translation Table'!H2018</f>
        <v>Dehydration: Desiccant (Adsorber Columns: 2)</v>
      </c>
      <c r="D298" s="219">
        <v>2</v>
      </c>
      <c r="E298" s="221">
        <v>0</v>
      </c>
      <c r="F298" s="221"/>
      <c r="G298" s="221"/>
      <c r="H298" s="221">
        <v>0</v>
      </c>
      <c r="I298" s="221"/>
      <c r="J298" s="221"/>
      <c r="K298" s="219">
        <f t="shared" si="5"/>
        <v>24</v>
      </c>
      <c r="L298" s="219">
        <v>24</v>
      </c>
      <c r="M298" s="219"/>
      <c r="N298" s="219">
        <v>100</v>
      </c>
      <c r="O298" s="219">
        <v>2</v>
      </c>
      <c r="P298" s="221"/>
      <c r="Q298" s="221"/>
      <c r="R298" s="221"/>
      <c r="S298" s="221"/>
      <c r="T298" s="221"/>
      <c r="U298" s="221"/>
      <c r="V298" s="221">
        <v>5</v>
      </c>
      <c r="W298" s="220">
        <v>7</v>
      </c>
      <c r="X298" s="220">
        <v>14</v>
      </c>
      <c r="Y298" s="220"/>
      <c r="Z298" s="221">
        <v>3</v>
      </c>
      <c r="AA298" s="220" t="s">
        <v>517</v>
      </c>
      <c r="AC298" s="46">
        <v>0</v>
      </c>
    </row>
    <row r="299" spans="1:29" ht="16.5" customHeight="1" x14ac:dyDescent="0.3">
      <c r="A299" s="49"/>
      <c r="B299" s="54" t="str">
        <f ca="1">'Translation Table'!H2019</f>
        <v>Dehydration: Desiccant (Adsorber Columns: 3)</v>
      </c>
      <c r="C299" s="54" t="str">
        <f ca="1">'Translation Table'!H2019</f>
        <v>Dehydration: Desiccant (Adsorber Columns: 3)</v>
      </c>
      <c r="D299" s="219">
        <v>3</v>
      </c>
      <c r="E299" s="221">
        <v>0</v>
      </c>
      <c r="F299" s="221"/>
      <c r="G299" s="221"/>
      <c r="H299" s="221">
        <v>0</v>
      </c>
      <c r="I299" s="221"/>
      <c r="J299" s="221"/>
      <c r="K299" s="219">
        <f t="shared" si="5"/>
        <v>30</v>
      </c>
      <c r="L299" s="219">
        <v>30</v>
      </c>
      <c r="M299" s="219"/>
      <c r="N299" s="219">
        <v>84</v>
      </c>
      <c r="O299" s="219">
        <v>2</v>
      </c>
      <c r="P299" s="221"/>
      <c r="Q299" s="221"/>
      <c r="R299" s="221"/>
      <c r="S299" s="221"/>
      <c r="T299" s="221"/>
      <c r="U299" s="221"/>
      <c r="V299" s="221">
        <v>5</v>
      </c>
      <c r="W299" s="220">
        <v>10</v>
      </c>
      <c r="X299" s="220">
        <v>20</v>
      </c>
      <c r="Y299" s="220"/>
      <c r="Z299" s="221">
        <v>4</v>
      </c>
      <c r="AA299" s="220" t="s">
        <v>2474</v>
      </c>
      <c r="AC299" s="46">
        <v>0</v>
      </c>
    </row>
    <row r="300" spans="1:29" ht="16.5" customHeight="1" x14ac:dyDescent="0.3">
      <c r="A300" s="49"/>
      <c r="B300" s="130" t="str">
        <f ca="1">'Translation Table'!H2020</f>
        <v>Dehydration: Glycol (with Gas-assisted Pump)</v>
      </c>
      <c r="C300" s="54" t="str">
        <f ca="1">'Translation Table'!H2020</f>
        <v>Dehydration: Glycol (with Gas-assisted Pump)</v>
      </c>
      <c r="D300" s="219">
        <v>1</v>
      </c>
      <c r="E300" s="221">
        <v>0</v>
      </c>
      <c r="F300" s="221"/>
      <c r="G300" s="221"/>
      <c r="H300" s="221">
        <v>0</v>
      </c>
      <c r="I300" s="221"/>
      <c r="J300" s="221"/>
      <c r="K300" s="219">
        <f t="shared" si="5"/>
        <v>24</v>
      </c>
      <c r="L300" s="219">
        <v>24</v>
      </c>
      <c r="M300" s="219"/>
      <c r="N300" s="219">
        <v>100</v>
      </c>
      <c r="O300" s="219">
        <v>2</v>
      </c>
      <c r="P300" s="221"/>
      <c r="Q300" s="221"/>
      <c r="R300" s="221"/>
      <c r="S300" s="221"/>
      <c r="T300" s="221"/>
      <c r="U300" s="221"/>
      <c r="V300" s="221">
        <v>5</v>
      </c>
      <c r="W300" s="220">
        <v>7</v>
      </c>
      <c r="X300" s="220">
        <v>14</v>
      </c>
      <c r="Y300" s="220"/>
      <c r="Z300" s="221">
        <v>2</v>
      </c>
      <c r="AA300" s="220" t="s">
        <v>517</v>
      </c>
      <c r="AC300" s="46">
        <v>0</v>
      </c>
    </row>
    <row r="301" spans="1:29" ht="16.5" customHeight="1" x14ac:dyDescent="0.3">
      <c r="A301" s="49"/>
      <c r="B301" s="54" t="str">
        <f ca="1">'Translation Table'!H2021</f>
        <v>Dehydration: Glycol (without Gas-assisted Pump)</v>
      </c>
      <c r="C301" s="54" t="str">
        <f ca="1">'Translation Table'!H2021</f>
        <v>Dehydration: Glycol (without Gas-assisted Pump)</v>
      </c>
      <c r="D301" s="219">
        <v>1</v>
      </c>
      <c r="E301" s="221">
        <v>0</v>
      </c>
      <c r="F301" s="221"/>
      <c r="G301" s="221"/>
      <c r="H301" s="221">
        <v>0</v>
      </c>
      <c r="I301" s="221"/>
      <c r="J301" s="221"/>
      <c r="K301" s="219">
        <f t="shared" si="5"/>
        <v>24</v>
      </c>
      <c r="L301" s="219">
        <v>24</v>
      </c>
      <c r="M301" s="219"/>
      <c r="N301" s="219">
        <v>100</v>
      </c>
      <c r="O301" s="219">
        <v>2</v>
      </c>
      <c r="P301" s="221"/>
      <c r="Q301" s="221"/>
      <c r="R301" s="221"/>
      <c r="S301" s="221"/>
      <c r="T301" s="221"/>
      <c r="U301" s="221"/>
      <c r="V301" s="221">
        <v>5</v>
      </c>
      <c r="W301" s="220">
        <v>7</v>
      </c>
      <c r="X301" s="220">
        <v>14</v>
      </c>
      <c r="Y301" s="220"/>
      <c r="Z301" s="221">
        <v>2</v>
      </c>
      <c r="AA301" s="220" t="s">
        <v>517</v>
      </c>
      <c r="AC301" s="46">
        <v>0</v>
      </c>
    </row>
    <row r="302" spans="1:29" ht="16.5" customHeight="1" x14ac:dyDescent="0.3">
      <c r="A302" s="49"/>
      <c r="B302" s="130" t="str">
        <f ca="1">'Translation Table'!H2022</f>
        <v>Flare System: Generic (Including Knock-out Drum)</v>
      </c>
      <c r="C302" s="54" t="str">
        <f ca="1">'Translation Table'!H2022</f>
        <v>Flare System: Generic (Including Knock-out Drum)</v>
      </c>
      <c r="D302" s="219">
        <v>0</v>
      </c>
      <c r="E302" s="221">
        <v>5</v>
      </c>
      <c r="F302" s="221"/>
      <c r="G302" s="221"/>
      <c r="H302" s="221">
        <v>0</v>
      </c>
      <c r="I302" s="221"/>
      <c r="J302" s="221"/>
      <c r="K302" s="219">
        <f t="shared" si="5"/>
        <v>35</v>
      </c>
      <c r="L302" s="219">
        <v>35</v>
      </c>
      <c r="M302" s="219"/>
      <c r="N302" s="219">
        <v>114</v>
      </c>
      <c r="O302" s="219">
        <v>1</v>
      </c>
      <c r="P302" s="221"/>
      <c r="Q302" s="221"/>
      <c r="R302" s="221"/>
      <c r="S302" s="221"/>
      <c r="T302" s="221"/>
      <c r="U302" s="221"/>
      <c r="V302" s="221">
        <v>1</v>
      </c>
      <c r="W302" s="220">
        <v>0</v>
      </c>
      <c r="X302" s="220">
        <v>0</v>
      </c>
      <c r="Y302" s="220"/>
      <c r="Z302" s="221">
        <v>1</v>
      </c>
      <c r="AA302" s="220" t="s">
        <v>2082</v>
      </c>
      <c r="AC302" s="46">
        <v>0</v>
      </c>
    </row>
    <row r="303" spans="1:29" ht="16.5" customHeight="1" x14ac:dyDescent="0.3">
      <c r="A303" s="49"/>
      <c r="B303" s="54" t="str">
        <f ca="1">'Translation Table'!H2023</f>
        <v>Heat Exchanger: Natural Gas/Steam</v>
      </c>
      <c r="C303" s="54" t="str">
        <f ca="1">'Translation Table'!H2023</f>
        <v>Heat Exchanger: Natural Gas/Steam</v>
      </c>
      <c r="D303" s="219">
        <v>0</v>
      </c>
      <c r="E303" s="219">
        <v>0</v>
      </c>
      <c r="F303" s="219"/>
      <c r="G303" s="219"/>
      <c r="H303" s="219">
        <v>0</v>
      </c>
      <c r="I303" s="219"/>
      <c r="J303" s="219"/>
      <c r="K303" s="219">
        <f t="shared" si="5"/>
        <v>4</v>
      </c>
      <c r="L303" s="219">
        <v>3</v>
      </c>
      <c r="M303" s="219">
        <v>1</v>
      </c>
      <c r="N303" s="219">
        <v>10</v>
      </c>
      <c r="O303" s="219">
        <v>0</v>
      </c>
      <c r="P303" s="219"/>
      <c r="Q303" s="219"/>
      <c r="R303" s="219"/>
      <c r="S303" s="219"/>
      <c r="T303" s="219"/>
      <c r="U303" s="219"/>
      <c r="V303" s="219">
        <v>0</v>
      </c>
      <c r="W303" s="219">
        <v>0</v>
      </c>
      <c r="X303" s="219">
        <v>0</v>
      </c>
      <c r="Y303" s="219"/>
      <c r="Z303" s="219">
        <v>0</v>
      </c>
      <c r="AA303" s="220" t="s">
        <v>2474</v>
      </c>
      <c r="AC303" s="46">
        <v>0</v>
      </c>
    </row>
    <row r="304" spans="1:29" ht="16.5" customHeight="1" x14ac:dyDescent="0.3">
      <c r="A304" s="49"/>
      <c r="B304" s="130" t="str">
        <f ca="1">'Translation Table'!H2024</f>
        <v>Heat Exchanger: Natural Gas/Natural Gas</v>
      </c>
      <c r="C304" s="54" t="str">
        <f ca="1">'Translation Table'!H2024</f>
        <v>Heat Exchanger: Natural Gas/Natural Gas</v>
      </c>
      <c r="D304" s="219">
        <v>0</v>
      </c>
      <c r="E304" s="219">
        <v>0</v>
      </c>
      <c r="F304" s="219"/>
      <c r="G304" s="219"/>
      <c r="H304" s="219">
        <v>0</v>
      </c>
      <c r="I304" s="219"/>
      <c r="J304" s="219"/>
      <c r="K304" s="219">
        <f t="shared" si="5"/>
        <v>10</v>
      </c>
      <c r="L304" s="219">
        <v>8</v>
      </c>
      <c r="M304" s="219">
        <v>2</v>
      </c>
      <c r="N304" s="219">
        <v>22</v>
      </c>
      <c r="O304" s="219">
        <v>0</v>
      </c>
      <c r="P304" s="219"/>
      <c r="Q304" s="219"/>
      <c r="R304" s="219"/>
      <c r="S304" s="219"/>
      <c r="T304" s="219"/>
      <c r="U304" s="219"/>
      <c r="V304" s="219">
        <v>0</v>
      </c>
      <c r="W304" s="219">
        <v>0</v>
      </c>
      <c r="X304" s="219">
        <v>0</v>
      </c>
      <c r="Y304" s="219"/>
      <c r="Z304" s="219">
        <v>0</v>
      </c>
      <c r="AA304" s="220" t="s">
        <v>2474</v>
      </c>
      <c r="AC304" s="46">
        <v>0</v>
      </c>
    </row>
    <row r="305" spans="1:29" ht="16.5" customHeight="1" x14ac:dyDescent="0.3">
      <c r="A305" s="49"/>
      <c r="B305" s="54" t="str">
        <f ca="1">'Translation Table'!H2025</f>
        <v>Heat Exchanger: Natural Gas/Non-Hydrocarbon Liquid</v>
      </c>
      <c r="C305" s="54" t="str">
        <f ca="1">'Translation Table'!H2025</f>
        <v>Heat Exchanger: Natural Gas/Non-Hydrocarbon Liquid</v>
      </c>
      <c r="D305" s="219">
        <v>0</v>
      </c>
      <c r="E305" s="219">
        <v>0</v>
      </c>
      <c r="F305" s="219"/>
      <c r="G305" s="219"/>
      <c r="H305" s="219">
        <v>0</v>
      </c>
      <c r="I305" s="219"/>
      <c r="J305" s="219"/>
      <c r="K305" s="219">
        <f t="shared" si="5"/>
        <v>4</v>
      </c>
      <c r="L305" s="219">
        <v>3</v>
      </c>
      <c r="M305" s="219">
        <v>1</v>
      </c>
      <c r="N305" s="219">
        <v>10</v>
      </c>
      <c r="O305" s="219">
        <v>0</v>
      </c>
      <c r="P305" s="219"/>
      <c r="Q305" s="219"/>
      <c r="R305" s="219"/>
      <c r="S305" s="219"/>
      <c r="T305" s="219"/>
      <c r="U305" s="219"/>
      <c r="V305" s="219">
        <v>0</v>
      </c>
      <c r="W305" s="219">
        <v>0</v>
      </c>
      <c r="X305" s="219">
        <v>0</v>
      </c>
      <c r="Y305" s="219"/>
      <c r="Z305" s="219">
        <v>0</v>
      </c>
      <c r="AA305" s="220" t="s">
        <v>2474</v>
      </c>
    </row>
    <row r="306" spans="1:29" ht="16.5" customHeight="1" x14ac:dyDescent="0.3">
      <c r="A306" s="49"/>
      <c r="B306" s="130" t="str">
        <f ca="1">'Translation Table'!H2026</f>
        <v>Heat Exchanger: Natural Gas/Hydrocarbon Liquid</v>
      </c>
      <c r="C306" s="54" t="str">
        <f ca="1">'Translation Table'!H2026</f>
        <v>Heat Exchanger: Natural Gas/Hydrocarbon Liquid</v>
      </c>
      <c r="D306" s="219">
        <v>0</v>
      </c>
      <c r="E306" s="219">
        <v>0</v>
      </c>
      <c r="F306" s="219"/>
      <c r="G306" s="219"/>
      <c r="H306" s="219">
        <v>0</v>
      </c>
      <c r="I306" s="219"/>
      <c r="J306" s="219"/>
      <c r="K306" s="219">
        <f t="shared" si="5"/>
        <v>4</v>
      </c>
      <c r="L306" s="219">
        <v>3</v>
      </c>
      <c r="M306" s="219">
        <v>1</v>
      </c>
      <c r="N306" s="219">
        <v>10</v>
      </c>
      <c r="O306" s="219">
        <v>0</v>
      </c>
      <c r="P306" s="219"/>
      <c r="Q306" s="219"/>
      <c r="R306" s="219"/>
      <c r="S306" s="219"/>
      <c r="T306" s="219"/>
      <c r="U306" s="219"/>
      <c r="V306" s="219">
        <v>0</v>
      </c>
      <c r="W306" s="219">
        <v>5</v>
      </c>
      <c r="X306" s="219">
        <v>10</v>
      </c>
      <c r="Y306" s="219"/>
      <c r="Z306" s="219">
        <v>0</v>
      </c>
      <c r="AA306" s="220" t="s">
        <v>2474</v>
      </c>
    </row>
    <row r="307" spans="1:29" ht="16.5" customHeight="1" x14ac:dyDescent="0.3">
      <c r="A307" s="49"/>
      <c r="B307" s="54" t="str">
        <f ca="1">'Translation Table'!H2027</f>
        <v>Heat Exchanger: Steam/Hydrocarbon Liquid</v>
      </c>
      <c r="C307" s="54" t="str">
        <f ca="1">'Translation Table'!H2027</f>
        <v>Heat Exchanger: Steam/Hydrocarbon Liquid</v>
      </c>
      <c r="D307" s="219">
        <v>0</v>
      </c>
      <c r="E307" s="219">
        <v>0</v>
      </c>
      <c r="F307" s="219"/>
      <c r="G307" s="219"/>
      <c r="H307" s="219">
        <v>0</v>
      </c>
      <c r="I307" s="219"/>
      <c r="J307" s="219"/>
      <c r="K307" s="219">
        <f t="shared" si="5"/>
        <v>0</v>
      </c>
      <c r="L307" s="219">
        <v>0</v>
      </c>
      <c r="M307" s="219">
        <v>0</v>
      </c>
      <c r="N307" s="219">
        <v>0</v>
      </c>
      <c r="O307" s="219">
        <v>0</v>
      </c>
      <c r="P307" s="219"/>
      <c r="Q307" s="219"/>
      <c r="R307" s="219"/>
      <c r="S307" s="219"/>
      <c r="T307" s="219"/>
      <c r="U307" s="219"/>
      <c r="V307" s="219">
        <v>0</v>
      </c>
      <c r="W307" s="219">
        <v>5</v>
      </c>
      <c r="X307" s="219">
        <v>10</v>
      </c>
      <c r="Y307" s="219"/>
      <c r="Z307" s="219">
        <v>0</v>
      </c>
      <c r="AA307" s="220" t="s">
        <v>2474</v>
      </c>
    </row>
    <row r="308" spans="1:29" ht="16.5" customHeight="1" x14ac:dyDescent="0.3">
      <c r="A308" s="49"/>
      <c r="B308" s="130" t="str">
        <f ca="1">'Translation Table'!H2028</f>
        <v>Heat Exchanger: Hydrocarbon Liquid/Hydrocarbon Liquid</v>
      </c>
      <c r="C308" s="54" t="str">
        <f ca="1">'Translation Table'!H2028</f>
        <v>Heat Exchanger: Hydrocarbon Liquid/Hydrocarbon Liquid</v>
      </c>
      <c r="D308" s="219">
        <v>0</v>
      </c>
      <c r="E308" s="219">
        <v>0</v>
      </c>
      <c r="F308" s="219"/>
      <c r="G308" s="219"/>
      <c r="H308" s="219">
        <v>0</v>
      </c>
      <c r="I308" s="219"/>
      <c r="J308" s="219"/>
      <c r="K308" s="219">
        <f t="shared" si="5"/>
        <v>0</v>
      </c>
      <c r="L308" s="219">
        <v>0</v>
      </c>
      <c r="M308" s="219">
        <v>0</v>
      </c>
      <c r="N308" s="219">
        <v>0</v>
      </c>
      <c r="O308" s="219">
        <v>0</v>
      </c>
      <c r="P308" s="219"/>
      <c r="Q308" s="219"/>
      <c r="R308" s="219"/>
      <c r="S308" s="219"/>
      <c r="T308" s="219"/>
      <c r="U308" s="219"/>
      <c r="V308" s="219">
        <v>0</v>
      </c>
      <c r="W308" s="219">
        <v>10</v>
      </c>
      <c r="X308" s="219">
        <v>20</v>
      </c>
      <c r="Y308" s="219"/>
      <c r="Z308" s="219">
        <v>0</v>
      </c>
      <c r="AA308" s="220" t="s">
        <v>2474</v>
      </c>
    </row>
    <row r="309" spans="1:29" ht="16.5" customHeight="1" x14ac:dyDescent="0.3">
      <c r="A309" s="49"/>
      <c r="B309" s="54" t="str">
        <f ca="1">'Translation Table'!H2029</f>
        <v>Heater/Boiler/Reboiler: Generic (Burner Assemblies: 1)</v>
      </c>
      <c r="C309" s="54" t="str">
        <f ca="1">'Translation Table'!H2029</f>
        <v>Heater/Boiler/Reboiler: Generic (Burner Assemblies: 1)</v>
      </c>
      <c r="D309" s="219">
        <v>2.29</v>
      </c>
      <c r="E309" s="221">
        <v>0.43</v>
      </c>
      <c r="F309" s="221"/>
      <c r="G309" s="221"/>
      <c r="H309" s="221">
        <v>0</v>
      </c>
      <c r="I309" s="221"/>
      <c r="J309" s="221"/>
      <c r="K309" s="219">
        <f t="shared" si="5"/>
        <v>31.21</v>
      </c>
      <c r="L309" s="219">
        <v>29.71</v>
      </c>
      <c r="M309" s="219">
        <v>1.5</v>
      </c>
      <c r="N309" s="219">
        <v>222.61</v>
      </c>
      <c r="O309" s="219">
        <v>5.76</v>
      </c>
      <c r="P309" s="221"/>
      <c r="Q309" s="221"/>
      <c r="R309" s="221"/>
      <c r="S309" s="221"/>
      <c r="T309" s="221"/>
      <c r="U309" s="221"/>
      <c r="V309" s="221">
        <v>0</v>
      </c>
      <c r="W309" s="220">
        <v>0</v>
      </c>
      <c r="X309" s="220">
        <v>0</v>
      </c>
      <c r="Y309" s="220"/>
      <c r="Z309" s="221">
        <v>1</v>
      </c>
      <c r="AA309" s="220" t="s">
        <v>2474</v>
      </c>
      <c r="AC309" s="46">
        <v>0</v>
      </c>
    </row>
    <row r="310" spans="1:29" ht="16.5" customHeight="1" x14ac:dyDescent="0.3">
      <c r="A310" s="49"/>
      <c r="B310" s="130" t="str">
        <f ca="1">'Translation Table'!H2030</f>
        <v>Heater/Boiler/Reboiler: Generic (Burner Assemblies: 2)</v>
      </c>
      <c r="C310" s="54" t="str">
        <f ca="1">'Translation Table'!H2030</f>
        <v>Heater/Boiler/Reboiler: Generic (Burner Assemblies: 2)</v>
      </c>
      <c r="D310" s="219">
        <v>7.59</v>
      </c>
      <c r="E310" s="221">
        <v>0.43</v>
      </c>
      <c r="F310" s="221"/>
      <c r="G310" s="221"/>
      <c r="H310" s="221">
        <v>0</v>
      </c>
      <c r="I310" s="221"/>
      <c r="J310" s="221"/>
      <c r="K310" s="219">
        <f t="shared" si="5"/>
        <v>44.510000000000005</v>
      </c>
      <c r="L310" s="219">
        <v>41.31</v>
      </c>
      <c r="M310" s="219">
        <v>3.2</v>
      </c>
      <c r="N310" s="219">
        <v>252.51</v>
      </c>
      <c r="O310" s="219">
        <v>7.59</v>
      </c>
      <c r="P310" s="221"/>
      <c r="Q310" s="221"/>
      <c r="R310" s="221"/>
      <c r="S310" s="221"/>
      <c r="T310" s="221"/>
      <c r="U310" s="221"/>
      <c r="V310" s="221">
        <v>0</v>
      </c>
      <c r="W310" s="220">
        <v>0</v>
      </c>
      <c r="X310" s="220">
        <v>0</v>
      </c>
      <c r="Y310" s="220"/>
      <c r="Z310" s="221">
        <v>1</v>
      </c>
      <c r="AA310" s="220" t="s">
        <v>2474</v>
      </c>
      <c r="AC310" s="46">
        <v>0</v>
      </c>
    </row>
    <row r="311" spans="1:29" ht="16.5" customHeight="1" x14ac:dyDescent="0.3">
      <c r="A311" s="49"/>
      <c r="B311" s="54" t="str">
        <f ca="1">'Translation Table'!H2031</f>
        <v>Heater/Boiler/Reboiler: Generic (Burner Assemblies: 3)</v>
      </c>
      <c r="C311" s="54" t="str">
        <f ca="1">'Translation Table'!H2031</f>
        <v>Heater/Boiler/Reboiler: Generic (Burner Assemblies: 3)</v>
      </c>
      <c r="D311" s="219">
        <v>12.89</v>
      </c>
      <c r="E311" s="221">
        <v>0.43</v>
      </c>
      <c r="F311" s="221"/>
      <c r="G311" s="221"/>
      <c r="H311" s="221">
        <v>0</v>
      </c>
      <c r="I311" s="221"/>
      <c r="J311" s="221"/>
      <c r="K311" s="219">
        <f t="shared" si="5"/>
        <v>57.809999999999995</v>
      </c>
      <c r="L311" s="219">
        <v>52.91</v>
      </c>
      <c r="M311" s="219">
        <v>4.9000000000000004</v>
      </c>
      <c r="N311" s="219">
        <v>282.41000000000003</v>
      </c>
      <c r="O311" s="219">
        <v>9.42</v>
      </c>
      <c r="P311" s="221"/>
      <c r="Q311" s="221"/>
      <c r="R311" s="221"/>
      <c r="S311" s="221"/>
      <c r="T311" s="221"/>
      <c r="U311" s="221"/>
      <c r="V311" s="221">
        <v>0</v>
      </c>
      <c r="W311" s="220">
        <v>0</v>
      </c>
      <c r="X311" s="220">
        <v>0</v>
      </c>
      <c r="Y311" s="220"/>
      <c r="Z311" s="221">
        <v>1</v>
      </c>
      <c r="AA311" s="220" t="s">
        <v>2474</v>
      </c>
      <c r="AC311" s="46">
        <v>0</v>
      </c>
    </row>
    <row r="312" spans="1:29" ht="16.5" customHeight="1" x14ac:dyDescent="0.3">
      <c r="A312" s="49"/>
      <c r="B312" s="130" t="str">
        <f ca="1">'Translation Table'!H2032</f>
        <v>Heater/Boiler/Reboiler: Line (Burner Assemblies: 1)</v>
      </c>
      <c r="C312" s="54" t="str">
        <f ca="1">'Translation Table'!H2032</f>
        <v>Heater/Boiler/Reboiler: Line (Burner Assemblies: 1)</v>
      </c>
      <c r="D312" s="219">
        <v>2.29</v>
      </c>
      <c r="E312" s="221">
        <v>0.43</v>
      </c>
      <c r="F312" s="221"/>
      <c r="G312" s="221"/>
      <c r="H312" s="221">
        <v>0</v>
      </c>
      <c r="I312" s="221"/>
      <c r="J312" s="221"/>
      <c r="K312" s="219">
        <f t="shared" si="5"/>
        <v>31.21</v>
      </c>
      <c r="L312" s="219">
        <v>29.71</v>
      </c>
      <c r="M312" s="219">
        <v>1.5</v>
      </c>
      <c r="N312" s="219">
        <v>222.61</v>
      </c>
      <c r="O312" s="219">
        <v>5.76</v>
      </c>
      <c r="P312" s="221"/>
      <c r="Q312" s="221"/>
      <c r="R312" s="221"/>
      <c r="S312" s="221"/>
      <c r="T312" s="221"/>
      <c r="U312" s="221"/>
      <c r="V312" s="221">
        <v>0</v>
      </c>
      <c r="W312" s="220">
        <v>0</v>
      </c>
      <c r="X312" s="220">
        <v>0</v>
      </c>
      <c r="Y312" s="220"/>
      <c r="Z312" s="221">
        <v>1</v>
      </c>
      <c r="AA312" s="220" t="s">
        <v>2474</v>
      </c>
    </row>
    <row r="313" spans="1:29" ht="16.5" customHeight="1" x14ac:dyDescent="0.3">
      <c r="A313" s="49"/>
      <c r="B313" s="54" t="str">
        <f ca="1">'Translation Table'!H2033</f>
        <v>Heater/Boiler/Reboiler: Line (Burner Assemblies: 2)</v>
      </c>
      <c r="C313" s="54" t="str">
        <f ca="1">'Translation Table'!H2033</f>
        <v>Heater/Boiler/Reboiler: Line (Burner Assemblies: 2)</v>
      </c>
      <c r="D313" s="219">
        <v>7.59</v>
      </c>
      <c r="E313" s="221">
        <v>0.43</v>
      </c>
      <c r="F313" s="221"/>
      <c r="G313" s="221"/>
      <c r="H313" s="221">
        <v>0</v>
      </c>
      <c r="I313" s="221"/>
      <c r="J313" s="221"/>
      <c r="K313" s="219">
        <f t="shared" si="5"/>
        <v>44.510000000000005</v>
      </c>
      <c r="L313" s="219">
        <v>41.31</v>
      </c>
      <c r="M313" s="219">
        <v>3.2</v>
      </c>
      <c r="N313" s="219">
        <v>252.51</v>
      </c>
      <c r="O313" s="219">
        <v>7.59</v>
      </c>
      <c r="P313" s="221"/>
      <c r="Q313" s="221"/>
      <c r="R313" s="221"/>
      <c r="S313" s="221"/>
      <c r="T313" s="221"/>
      <c r="U313" s="221"/>
      <c r="V313" s="221">
        <v>0</v>
      </c>
      <c r="W313" s="220">
        <v>0</v>
      </c>
      <c r="X313" s="220">
        <v>0</v>
      </c>
      <c r="Y313" s="220"/>
      <c r="Z313" s="221">
        <v>1</v>
      </c>
      <c r="AA313" s="220" t="s">
        <v>2474</v>
      </c>
    </row>
    <row r="314" spans="1:29" ht="16.5" customHeight="1" x14ac:dyDescent="0.3">
      <c r="A314" s="49"/>
      <c r="B314" s="130" t="str">
        <f ca="1">'Translation Table'!H2034</f>
        <v>Heater/Boiler/Reboiler: Line (Burner Assemblies: 3)</v>
      </c>
      <c r="C314" s="54" t="str">
        <f ca="1">'Translation Table'!H2034</f>
        <v>Heater/Boiler/Reboiler: Line (Burner Assemblies: 3)</v>
      </c>
      <c r="D314" s="219">
        <v>12.89</v>
      </c>
      <c r="E314" s="221">
        <v>0.43</v>
      </c>
      <c r="F314" s="221"/>
      <c r="G314" s="221"/>
      <c r="H314" s="221">
        <v>0</v>
      </c>
      <c r="I314" s="221"/>
      <c r="J314" s="221"/>
      <c r="K314" s="219">
        <f t="shared" si="5"/>
        <v>57.809999999999995</v>
      </c>
      <c r="L314" s="219">
        <v>52.91</v>
      </c>
      <c r="M314" s="219">
        <v>4.9000000000000004</v>
      </c>
      <c r="N314" s="219">
        <v>282.41000000000003</v>
      </c>
      <c r="O314" s="219">
        <v>9.42</v>
      </c>
      <c r="P314" s="221"/>
      <c r="Q314" s="221"/>
      <c r="R314" s="221"/>
      <c r="S314" s="221"/>
      <c r="T314" s="221"/>
      <c r="U314" s="221"/>
      <c r="V314" s="221">
        <v>0</v>
      </c>
      <c r="W314" s="220">
        <v>0</v>
      </c>
      <c r="X314" s="220">
        <v>0</v>
      </c>
      <c r="Y314" s="220"/>
      <c r="Z314" s="221">
        <v>1</v>
      </c>
      <c r="AA314" s="220" t="s">
        <v>2474</v>
      </c>
    </row>
    <row r="315" spans="1:29" ht="16.5" customHeight="1" x14ac:dyDescent="0.3">
      <c r="A315" s="49"/>
      <c r="B315" s="54" t="str">
        <f ca="1">'Translation Table'!H2035</f>
        <v>Heater/Boiler/Reboiler: Treater (Burner Assemblies: 1)</v>
      </c>
      <c r="C315" s="54" t="str">
        <f ca="1">'Translation Table'!H2035</f>
        <v>Heater/Boiler/Reboiler: Treater (Burner Assemblies: 1)</v>
      </c>
      <c r="D315" s="219">
        <v>2.29</v>
      </c>
      <c r="E315" s="221">
        <v>0.43</v>
      </c>
      <c r="F315" s="221"/>
      <c r="G315" s="221"/>
      <c r="H315" s="221">
        <v>0</v>
      </c>
      <c r="I315" s="221"/>
      <c r="J315" s="221"/>
      <c r="K315" s="219">
        <f t="shared" si="5"/>
        <v>31.21</v>
      </c>
      <c r="L315" s="219">
        <v>29.71</v>
      </c>
      <c r="M315" s="219">
        <v>1.5</v>
      </c>
      <c r="N315" s="219">
        <v>222.61</v>
      </c>
      <c r="O315" s="219">
        <v>5.76</v>
      </c>
      <c r="P315" s="221"/>
      <c r="Q315" s="221"/>
      <c r="R315" s="221"/>
      <c r="S315" s="221"/>
      <c r="T315" s="221"/>
      <c r="U315" s="221"/>
      <c r="V315" s="221">
        <v>0</v>
      </c>
      <c r="W315" s="220">
        <v>0</v>
      </c>
      <c r="X315" s="220">
        <v>0</v>
      </c>
      <c r="Y315" s="220"/>
      <c r="Z315" s="221">
        <v>2</v>
      </c>
      <c r="AA315" s="220" t="s">
        <v>2474</v>
      </c>
      <c r="AC315" s="46">
        <v>0</v>
      </c>
    </row>
    <row r="316" spans="1:29" ht="16.5" customHeight="1" x14ac:dyDescent="0.3">
      <c r="A316" s="49"/>
      <c r="B316" s="130" t="str">
        <f ca="1">'Translation Table'!H2036</f>
        <v>Heater/Boiler/Reboiler: Treater (Burner Assemblies: 2)</v>
      </c>
      <c r="C316" s="54" t="str">
        <f ca="1">'Translation Table'!H2036</f>
        <v>Heater/Boiler/Reboiler: Treater (Burner Assemblies: 2)</v>
      </c>
      <c r="D316" s="219">
        <v>7.59</v>
      </c>
      <c r="E316" s="221">
        <v>0.43</v>
      </c>
      <c r="F316" s="221"/>
      <c r="G316" s="221"/>
      <c r="H316" s="221">
        <v>0</v>
      </c>
      <c r="I316" s="221"/>
      <c r="J316" s="221"/>
      <c r="K316" s="219">
        <f t="shared" si="5"/>
        <v>44.510000000000005</v>
      </c>
      <c r="L316" s="219">
        <v>41.31</v>
      </c>
      <c r="M316" s="219">
        <v>3.2</v>
      </c>
      <c r="N316" s="219">
        <v>252.51</v>
      </c>
      <c r="O316" s="219">
        <v>7.59</v>
      </c>
      <c r="P316" s="221"/>
      <c r="Q316" s="221"/>
      <c r="R316" s="221"/>
      <c r="S316" s="221"/>
      <c r="T316" s="221"/>
      <c r="U316" s="221"/>
      <c r="V316" s="221">
        <v>0</v>
      </c>
      <c r="W316" s="220">
        <v>0</v>
      </c>
      <c r="X316" s="220">
        <v>0</v>
      </c>
      <c r="Y316" s="220"/>
      <c r="Z316" s="221">
        <v>2</v>
      </c>
      <c r="AA316" s="220" t="s">
        <v>2474</v>
      </c>
      <c r="AC316" s="46">
        <v>0</v>
      </c>
    </row>
    <row r="317" spans="1:29" ht="16.5" customHeight="1" x14ac:dyDescent="0.3">
      <c r="A317" s="49"/>
      <c r="B317" s="54" t="str">
        <f ca="1">'Translation Table'!H2037</f>
        <v>Heater/Boiler/Reboiler: Treater (Burner Assemblies: 3)</v>
      </c>
      <c r="C317" s="54" t="str">
        <f ca="1">'Translation Table'!H2037</f>
        <v>Heater/Boiler/Reboiler: Treater (Burner Assemblies: 3)</v>
      </c>
      <c r="D317" s="219">
        <v>12.89</v>
      </c>
      <c r="E317" s="221">
        <v>0.43</v>
      </c>
      <c r="F317" s="221"/>
      <c r="G317" s="221"/>
      <c r="H317" s="221">
        <v>0</v>
      </c>
      <c r="I317" s="221"/>
      <c r="J317" s="221"/>
      <c r="K317" s="219">
        <f t="shared" si="5"/>
        <v>57.809999999999995</v>
      </c>
      <c r="L317" s="219">
        <v>52.91</v>
      </c>
      <c r="M317" s="219">
        <v>4.9000000000000004</v>
      </c>
      <c r="N317" s="219">
        <v>282.41000000000003</v>
      </c>
      <c r="O317" s="219">
        <v>9.42</v>
      </c>
      <c r="P317" s="221"/>
      <c r="Q317" s="221"/>
      <c r="R317" s="221"/>
      <c r="S317" s="221"/>
      <c r="T317" s="221"/>
      <c r="U317" s="221"/>
      <c r="V317" s="221">
        <v>0</v>
      </c>
      <c r="W317" s="220">
        <v>0</v>
      </c>
      <c r="X317" s="220">
        <v>0</v>
      </c>
      <c r="Y317" s="220"/>
      <c r="Z317" s="221">
        <v>2</v>
      </c>
      <c r="AA317" s="220" t="s">
        <v>2474</v>
      </c>
      <c r="AC317" s="46">
        <v>0</v>
      </c>
    </row>
    <row r="318" spans="1:29" ht="16.5" customHeight="1" x14ac:dyDescent="0.3">
      <c r="A318" s="49"/>
      <c r="B318" s="130" t="str">
        <f ca="1">'Translation Table'!H2038</f>
        <v>Hydrocarbon Dewpoint Control: Joule-Thomson Unit (Excluding Compressor)</v>
      </c>
      <c r="C318" s="54" t="str">
        <f ca="1">'Translation Table'!H2038</f>
        <v>Hydrocarbon Dewpoint Control: Joule-Thomson Unit (Excluding Compressor)</v>
      </c>
      <c r="D318" s="219">
        <v>0</v>
      </c>
      <c r="E318" s="221">
        <v>0</v>
      </c>
      <c r="F318" s="221"/>
      <c r="G318" s="221"/>
      <c r="H318" s="221">
        <v>0</v>
      </c>
      <c r="I318" s="221"/>
      <c r="J318" s="221"/>
      <c r="K318" s="219">
        <f t="shared" si="5"/>
        <v>19</v>
      </c>
      <c r="L318" s="219">
        <v>19</v>
      </c>
      <c r="M318" s="219"/>
      <c r="N318" s="219">
        <v>79</v>
      </c>
      <c r="O318" s="219">
        <v>2</v>
      </c>
      <c r="P318" s="221"/>
      <c r="Q318" s="221"/>
      <c r="R318" s="221"/>
      <c r="S318" s="221"/>
      <c r="T318" s="221"/>
      <c r="U318" s="221"/>
      <c r="V318" s="221">
        <v>2</v>
      </c>
      <c r="W318" s="220">
        <v>11</v>
      </c>
      <c r="X318" s="220">
        <v>41</v>
      </c>
      <c r="Y318" s="220"/>
      <c r="Z318" s="221">
        <v>0</v>
      </c>
      <c r="AA318" s="220" t="s">
        <v>517</v>
      </c>
      <c r="AC318" s="46">
        <v>0</v>
      </c>
    </row>
    <row r="319" spans="1:29" ht="16.5" customHeight="1" x14ac:dyDescent="0.3">
      <c r="A319" s="49"/>
      <c r="B319" s="54" t="str">
        <f ca="1">'Translation Table'!H2039</f>
        <v>Hydrocarbon Dewpoint Control: Propane Refrigeration</v>
      </c>
      <c r="C319" s="54" t="str">
        <f ca="1">'Translation Table'!H2039</f>
        <v>Hydrocarbon Dewpoint Control: Propane Refrigeration</v>
      </c>
      <c r="D319" s="219">
        <v>2</v>
      </c>
      <c r="E319" s="221">
        <v>0</v>
      </c>
      <c r="F319" s="221"/>
      <c r="G319" s="221"/>
      <c r="H319" s="221">
        <v>0</v>
      </c>
      <c r="I319" s="221"/>
      <c r="J319" s="221"/>
      <c r="K319" s="219">
        <f t="shared" si="5"/>
        <v>65</v>
      </c>
      <c r="L319" s="219">
        <v>65</v>
      </c>
      <c r="M319" s="219"/>
      <c r="N319" s="219">
        <v>170</v>
      </c>
      <c r="O319" s="219">
        <v>2</v>
      </c>
      <c r="P319" s="221"/>
      <c r="Q319" s="221"/>
      <c r="R319" s="221"/>
      <c r="S319" s="221"/>
      <c r="T319" s="221"/>
      <c r="U319" s="221"/>
      <c r="V319" s="221">
        <v>2</v>
      </c>
      <c r="W319" s="220">
        <v>13</v>
      </c>
      <c r="X319" s="220">
        <v>31</v>
      </c>
      <c r="Y319" s="220"/>
      <c r="Z319" s="221">
        <v>4</v>
      </c>
      <c r="AA319" s="220" t="s">
        <v>517</v>
      </c>
      <c r="AC319" s="46">
        <v>0</v>
      </c>
    </row>
    <row r="320" spans="1:29" ht="16.5" customHeight="1" x14ac:dyDescent="0.3">
      <c r="A320" s="49"/>
      <c r="B320" s="130" t="str">
        <f ca="1">'Translation Table'!H2040</f>
        <v>Inlet Header : Heavy Oil Battery</v>
      </c>
      <c r="C320" s="54" t="str">
        <f ca="1">'Translation Table'!H2040</f>
        <v>Inlet Header : Heavy Oil Battery</v>
      </c>
      <c r="D320" s="219">
        <v>3</v>
      </c>
      <c r="E320" s="221">
        <v>4</v>
      </c>
      <c r="F320" s="221"/>
      <c r="G320" s="221"/>
      <c r="H320" s="221">
        <v>0</v>
      </c>
      <c r="I320" s="221"/>
      <c r="J320" s="221"/>
      <c r="K320" s="219">
        <f t="shared" si="5"/>
        <v>17</v>
      </c>
      <c r="L320" s="219">
        <v>17</v>
      </c>
      <c r="M320" s="219"/>
      <c r="N320" s="219">
        <v>108</v>
      </c>
      <c r="O320" s="219">
        <v>0</v>
      </c>
      <c r="P320" s="221"/>
      <c r="Q320" s="221"/>
      <c r="R320" s="221"/>
      <c r="S320" s="221"/>
      <c r="T320" s="221"/>
      <c r="U320" s="221"/>
      <c r="V320" s="221">
        <v>0</v>
      </c>
      <c r="W320" s="220">
        <v>0</v>
      </c>
      <c r="X320" s="220">
        <v>0</v>
      </c>
      <c r="Y320" s="220"/>
      <c r="Z320" s="221">
        <v>0</v>
      </c>
      <c r="AA320" s="220" t="s">
        <v>2082</v>
      </c>
      <c r="AC320" s="46">
        <v>0</v>
      </c>
    </row>
    <row r="321" spans="1:29" ht="16.5" customHeight="1" x14ac:dyDescent="0.3">
      <c r="A321" s="49"/>
      <c r="B321" s="54" t="str">
        <f ca="1">'Translation Table'!H2041</f>
        <v>Inlet Header: Conventional Oil Battery</v>
      </c>
      <c r="C321" s="54" t="str">
        <f ca="1">'Translation Table'!H2041</f>
        <v>Inlet Header: Conventional Oil Battery</v>
      </c>
      <c r="D321" s="219">
        <v>0</v>
      </c>
      <c r="E321" s="221">
        <v>4</v>
      </c>
      <c r="F321" s="221"/>
      <c r="G321" s="221"/>
      <c r="H321" s="221">
        <v>0</v>
      </c>
      <c r="I321" s="221"/>
      <c r="J321" s="221"/>
      <c r="K321" s="219">
        <f t="shared" si="5"/>
        <v>109</v>
      </c>
      <c r="L321" s="219">
        <v>109</v>
      </c>
      <c r="M321" s="219"/>
      <c r="N321" s="219">
        <v>389</v>
      </c>
      <c r="O321" s="219">
        <v>0</v>
      </c>
      <c r="P321" s="221"/>
      <c r="Q321" s="221"/>
      <c r="R321" s="221"/>
      <c r="S321" s="221"/>
      <c r="T321" s="221"/>
      <c r="U321" s="221"/>
      <c r="V321" s="221">
        <v>0</v>
      </c>
      <c r="W321" s="220">
        <v>0</v>
      </c>
      <c r="X321" s="220">
        <v>0</v>
      </c>
      <c r="Y321" s="220"/>
      <c r="Z321" s="221">
        <v>0</v>
      </c>
      <c r="AA321" s="220" t="s">
        <v>2082</v>
      </c>
      <c r="AC321" s="46">
        <v>0</v>
      </c>
    </row>
    <row r="322" spans="1:29" ht="16.5" customHeight="1" x14ac:dyDescent="0.3">
      <c r="A322" s="49"/>
      <c r="B322" s="130" t="str">
        <f ca="1">'Translation Table'!H2042</f>
        <v>Inlet/Outlet Header: Gas Facilities (Fittings Per Pipeline)</v>
      </c>
      <c r="C322" s="54" t="str">
        <f ca="1">'Translation Table'!H2042</f>
        <v>Inlet/Outlet Header: Gas Facilities (Fittings Per Pipeline)</v>
      </c>
      <c r="D322" s="219">
        <v>0</v>
      </c>
      <c r="E322" s="221">
        <v>0</v>
      </c>
      <c r="F322" s="221"/>
      <c r="G322" s="221"/>
      <c r="H322" s="221">
        <v>0</v>
      </c>
      <c r="I322" s="221"/>
      <c r="J322" s="221"/>
      <c r="K322" s="219">
        <f t="shared" si="5"/>
        <v>7</v>
      </c>
      <c r="L322" s="219">
        <v>6</v>
      </c>
      <c r="M322" s="219">
        <v>1</v>
      </c>
      <c r="N322" s="219">
        <v>16</v>
      </c>
      <c r="O322" s="219">
        <v>0</v>
      </c>
      <c r="P322" s="221"/>
      <c r="Q322" s="221"/>
      <c r="R322" s="221"/>
      <c r="S322" s="221"/>
      <c r="T322" s="221"/>
      <c r="U322" s="221"/>
      <c r="V322" s="221">
        <v>0</v>
      </c>
      <c r="W322" s="220">
        <v>0</v>
      </c>
      <c r="X322" s="220">
        <v>0</v>
      </c>
      <c r="Y322" s="220"/>
      <c r="Z322" s="221">
        <v>0</v>
      </c>
      <c r="AA322" s="220" t="s">
        <v>2474</v>
      </c>
    </row>
    <row r="323" spans="1:29" ht="16.5" customHeight="1" x14ac:dyDescent="0.3">
      <c r="A323" s="49"/>
      <c r="B323" s="54" t="str">
        <f ca="1">'Translation Table'!H2043</f>
        <v>Inlet/Outlet Header: Oil Facilities (Fittings Per Pipeline)</v>
      </c>
      <c r="C323" s="54" t="str">
        <f ca="1">'Translation Table'!H2043</f>
        <v>Inlet/Outlet Header: Oil Facilities (Fittings Per Pipeline)</v>
      </c>
      <c r="D323" s="219">
        <v>0</v>
      </c>
      <c r="E323" s="221">
        <v>0</v>
      </c>
      <c r="F323" s="221"/>
      <c r="G323" s="221"/>
      <c r="H323" s="221">
        <v>0</v>
      </c>
      <c r="I323" s="221"/>
      <c r="J323" s="221"/>
      <c r="K323" s="219">
        <f t="shared" si="5"/>
        <v>0</v>
      </c>
      <c r="L323" s="219"/>
      <c r="M323" s="219"/>
      <c r="N323" s="219"/>
      <c r="O323" s="219"/>
      <c r="P323" s="221"/>
      <c r="Q323" s="221"/>
      <c r="R323" s="221"/>
      <c r="S323" s="221"/>
      <c r="T323" s="221"/>
      <c r="U323" s="221"/>
      <c r="V323" s="221">
        <v>0</v>
      </c>
      <c r="W323" s="220">
        <v>7</v>
      </c>
      <c r="X323" s="220">
        <v>16</v>
      </c>
      <c r="Y323" s="220"/>
      <c r="Z323" s="221">
        <v>0</v>
      </c>
      <c r="AA323" s="220" t="s">
        <v>2474</v>
      </c>
    </row>
    <row r="324" spans="1:29" ht="16.5" customHeight="1" x14ac:dyDescent="0.3">
      <c r="A324" s="49"/>
      <c r="B324" s="130" t="str">
        <f ca="1">'Translation Table'!H2044</f>
        <v>LPG Extraction: Deepcut (C2 to C4)</v>
      </c>
      <c r="C324" s="54" t="str">
        <f ca="1">'Translation Table'!H2044</f>
        <v>LPG Extraction: Deepcut (C2 to C4)</v>
      </c>
      <c r="D324" s="219">
        <v>10</v>
      </c>
      <c r="E324" s="221">
        <v>0</v>
      </c>
      <c r="F324" s="221"/>
      <c r="G324" s="221"/>
      <c r="H324" s="221">
        <v>0</v>
      </c>
      <c r="I324" s="221"/>
      <c r="J324" s="221"/>
      <c r="K324" s="219">
        <f t="shared" si="5"/>
        <v>131</v>
      </c>
      <c r="L324" s="219">
        <v>131</v>
      </c>
      <c r="M324" s="219"/>
      <c r="N324" s="219">
        <v>241</v>
      </c>
      <c r="O324" s="219">
        <v>4</v>
      </c>
      <c r="P324" s="221"/>
      <c r="Q324" s="221">
        <v>2</v>
      </c>
      <c r="R324" s="221"/>
      <c r="S324" s="221"/>
      <c r="T324" s="221"/>
      <c r="U324" s="221"/>
      <c r="V324" s="221">
        <v>14</v>
      </c>
      <c r="W324" s="220">
        <v>121</v>
      </c>
      <c r="X324" s="220">
        <v>386</v>
      </c>
      <c r="Y324" s="220">
        <v>2</v>
      </c>
      <c r="Z324" s="221">
        <v>6</v>
      </c>
      <c r="AA324" s="220" t="s">
        <v>517</v>
      </c>
      <c r="AC324" s="46">
        <v>0</v>
      </c>
    </row>
    <row r="325" spans="1:29" ht="16.5" customHeight="1" x14ac:dyDescent="0.3">
      <c r="A325" s="49"/>
      <c r="B325" s="54" t="str">
        <f ca="1">'Translation Table'!H2045</f>
        <v>LPG Extraction: Shallow Cut (C3 to C4)</v>
      </c>
      <c r="C325" s="54" t="str">
        <f ca="1">'Translation Table'!H2045</f>
        <v>LPG Extraction: Shallow Cut (C3 to C4)</v>
      </c>
      <c r="D325" s="219">
        <v>6</v>
      </c>
      <c r="E325" s="221">
        <v>0</v>
      </c>
      <c r="F325" s="221"/>
      <c r="G325" s="221"/>
      <c r="H325" s="221">
        <v>0</v>
      </c>
      <c r="I325" s="221"/>
      <c r="J325" s="221"/>
      <c r="K325" s="219">
        <f t="shared" si="5"/>
        <v>48</v>
      </c>
      <c r="L325" s="219">
        <v>48</v>
      </c>
      <c r="M325" s="219"/>
      <c r="N325" s="219">
        <v>123</v>
      </c>
      <c r="O325" s="219">
        <v>4</v>
      </c>
      <c r="P325" s="221"/>
      <c r="Q325" s="221"/>
      <c r="R325" s="221"/>
      <c r="S325" s="221"/>
      <c r="T325" s="221"/>
      <c r="U325" s="221"/>
      <c r="V325" s="221">
        <v>6</v>
      </c>
      <c r="W325" s="220">
        <v>2</v>
      </c>
      <c r="X325" s="220">
        <v>9</v>
      </c>
      <c r="Y325" s="220"/>
      <c r="Z325" s="221">
        <v>8</v>
      </c>
      <c r="AA325" s="220" t="s">
        <v>517</v>
      </c>
      <c r="AC325" s="46">
        <v>0</v>
      </c>
    </row>
    <row r="326" spans="1:29" ht="16.5" customHeight="1" x14ac:dyDescent="0.3">
      <c r="A326" s="49"/>
      <c r="B326" s="130" t="str">
        <f ca="1">'Translation Table'!H2046</f>
        <v>NGL – Natural Gas Liquefaction</v>
      </c>
      <c r="C326" s="54" t="str">
        <f ca="1">'Translation Table'!H2046</f>
        <v>NGL – Natural Gas Liquefaction</v>
      </c>
      <c r="D326" s="219">
        <v>10</v>
      </c>
      <c r="E326" s="221">
        <v>0</v>
      </c>
      <c r="F326" s="221"/>
      <c r="G326" s="221"/>
      <c r="H326" s="221">
        <v>0</v>
      </c>
      <c r="I326" s="221"/>
      <c r="J326" s="221"/>
      <c r="K326" s="219">
        <f t="shared" si="5"/>
        <v>131</v>
      </c>
      <c r="L326" s="219">
        <v>131</v>
      </c>
      <c r="M326" s="219"/>
      <c r="N326" s="219">
        <v>192</v>
      </c>
      <c r="O326" s="219">
        <v>6</v>
      </c>
      <c r="P326" s="221"/>
      <c r="Q326" s="221"/>
      <c r="R326" s="221"/>
      <c r="S326" s="221"/>
      <c r="T326" s="221"/>
      <c r="U326" s="221"/>
      <c r="V326" s="221">
        <v>10</v>
      </c>
      <c r="W326" s="220">
        <v>121</v>
      </c>
      <c r="X326" s="220">
        <v>386</v>
      </c>
      <c r="Y326" s="220"/>
      <c r="Z326" s="221">
        <v>8</v>
      </c>
      <c r="AA326" s="220" t="s">
        <v>517</v>
      </c>
      <c r="AC326" s="46">
        <v>0</v>
      </c>
    </row>
    <row r="327" spans="1:29" ht="16.5" customHeight="1" x14ac:dyDescent="0.3">
      <c r="A327" s="49"/>
      <c r="B327" s="54" t="str">
        <f ca="1">'Translation Table'!H2047</f>
        <v>PIG Receiver or Sender</v>
      </c>
      <c r="C327" s="54" t="str">
        <f ca="1">'Translation Table'!H2047</f>
        <v>PIG Receiver or Sender</v>
      </c>
      <c r="D327" s="219">
        <v>0</v>
      </c>
      <c r="E327" s="221">
        <v>0</v>
      </c>
      <c r="F327" s="221"/>
      <c r="G327" s="221"/>
      <c r="H327" s="221">
        <v>0</v>
      </c>
      <c r="I327" s="221"/>
      <c r="J327" s="221"/>
      <c r="K327" s="219">
        <f t="shared" ref="K327:K390" si="6">L327+M327</f>
        <v>3</v>
      </c>
      <c r="L327" s="219">
        <v>3</v>
      </c>
      <c r="M327" s="219"/>
      <c r="N327" s="219">
        <v>241</v>
      </c>
      <c r="O327" s="219">
        <v>0</v>
      </c>
      <c r="P327" s="221"/>
      <c r="Q327" s="221"/>
      <c r="R327" s="221"/>
      <c r="S327" s="221"/>
      <c r="T327" s="221"/>
      <c r="U327" s="221"/>
      <c r="V327" s="221">
        <v>0</v>
      </c>
      <c r="W327" s="220"/>
      <c r="X327" s="220"/>
      <c r="Y327" s="220"/>
      <c r="Z327" s="221">
        <v>1</v>
      </c>
      <c r="AA327" s="220" t="s">
        <v>517</v>
      </c>
      <c r="AC327" s="46">
        <v>0</v>
      </c>
    </row>
    <row r="328" spans="1:29" ht="16.5" customHeight="1" x14ac:dyDescent="0.3">
      <c r="A328" s="49"/>
      <c r="B328" s="130" t="str">
        <f ca="1">'Translation Table'!H2048</f>
        <v>Power Generator: Natural Gas Fuelled (Driver: Gas Turbine)</v>
      </c>
      <c r="C328" s="54" t="str">
        <f ca="1">'Translation Table'!H2048</f>
        <v>Power Generator: Natural Gas Fuelled (Driver: Gas Turbine)</v>
      </c>
      <c r="D328" s="219">
        <v>1.62</v>
      </c>
      <c r="E328" s="221">
        <v>1.93</v>
      </c>
      <c r="F328" s="221"/>
      <c r="G328" s="221"/>
      <c r="H328" s="221">
        <v>0</v>
      </c>
      <c r="I328" s="221"/>
      <c r="J328" s="221"/>
      <c r="K328" s="219">
        <f t="shared" si="6"/>
        <v>39.86</v>
      </c>
      <c r="L328" s="219">
        <v>32.94</v>
      </c>
      <c r="M328" s="219">
        <v>6.92</v>
      </c>
      <c r="N328" s="219">
        <v>203.8</v>
      </c>
      <c r="O328" s="219">
        <v>4.33</v>
      </c>
      <c r="P328" s="221"/>
      <c r="Q328" s="221"/>
      <c r="R328" s="221"/>
      <c r="S328" s="221"/>
      <c r="T328" s="221"/>
      <c r="U328" s="221"/>
      <c r="V328" s="221">
        <v>2</v>
      </c>
      <c r="W328" s="220">
        <v>0</v>
      </c>
      <c r="X328" s="220">
        <v>0</v>
      </c>
      <c r="Y328" s="220">
        <v>0</v>
      </c>
      <c r="Z328" s="221">
        <v>1</v>
      </c>
      <c r="AA328" s="220" t="s">
        <v>2474</v>
      </c>
      <c r="AC328" s="46">
        <v>0</v>
      </c>
    </row>
    <row r="329" spans="1:29" ht="16.5" customHeight="1" x14ac:dyDescent="0.3">
      <c r="A329" s="49"/>
      <c r="B329" s="54" t="str">
        <f ca="1">'Translation Table'!H2049</f>
        <v>Power Generator: Natural Gas Fuelled (Driver: Recip. Engine)</v>
      </c>
      <c r="C329" s="54" t="str">
        <f ca="1">'Translation Table'!H2049</f>
        <v>Power Generator: Natural Gas Fuelled (Driver: Recip. Engine)</v>
      </c>
      <c r="D329" s="219">
        <v>3.29</v>
      </c>
      <c r="E329" s="221">
        <v>1.76</v>
      </c>
      <c r="F329" s="221"/>
      <c r="G329" s="221"/>
      <c r="H329" s="221">
        <v>0</v>
      </c>
      <c r="I329" s="221"/>
      <c r="J329" s="221"/>
      <c r="K329" s="219">
        <f t="shared" si="6"/>
        <v>26.189999999999998</v>
      </c>
      <c r="L329" s="219">
        <v>20.86</v>
      </c>
      <c r="M329" s="219">
        <v>5.33</v>
      </c>
      <c r="N329" s="219">
        <v>157.71</v>
      </c>
      <c r="O329" s="219">
        <v>1.5</v>
      </c>
      <c r="P329" s="221"/>
      <c r="Q329" s="221"/>
      <c r="R329" s="221"/>
      <c r="S329" s="221"/>
      <c r="T329" s="221"/>
      <c r="U329" s="221"/>
      <c r="V329" s="221">
        <v>2</v>
      </c>
      <c r="W329" s="220">
        <v>0</v>
      </c>
      <c r="X329" s="220">
        <v>0</v>
      </c>
      <c r="Y329" s="220">
        <v>0</v>
      </c>
      <c r="Z329" s="221">
        <v>1</v>
      </c>
      <c r="AA329" s="220" t="s">
        <v>2474</v>
      </c>
      <c r="AC329" s="46">
        <v>0</v>
      </c>
    </row>
    <row r="330" spans="1:29" ht="16.5" customHeight="1" x14ac:dyDescent="0.3">
      <c r="A330" s="49"/>
      <c r="B330" s="130" t="str">
        <f ca="1">'Translation Table'!H2050</f>
        <v>Pump: Hydrocarbon Service (Driver: Motor)</v>
      </c>
      <c r="C330" s="54" t="str">
        <f ca="1">'Translation Table'!H2050</f>
        <v>Pump: Hydrocarbon Service (Driver: Motor)</v>
      </c>
      <c r="D330" s="219">
        <v>0</v>
      </c>
      <c r="E330" s="219">
        <v>0</v>
      </c>
      <c r="F330" s="219"/>
      <c r="G330" s="219"/>
      <c r="H330" s="219">
        <v>0</v>
      </c>
      <c r="I330" s="219"/>
      <c r="J330" s="219"/>
      <c r="K330" s="219">
        <f t="shared" si="6"/>
        <v>0</v>
      </c>
      <c r="L330" s="219">
        <v>0</v>
      </c>
      <c r="M330" s="219">
        <v>0</v>
      </c>
      <c r="N330" s="219">
        <v>0</v>
      </c>
      <c r="O330" s="219">
        <v>0</v>
      </c>
      <c r="P330" s="219"/>
      <c r="Q330" s="219"/>
      <c r="R330" s="219"/>
      <c r="S330" s="219"/>
      <c r="T330" s="219"/>
      <c r="U330" s="219"/>
      <c r="V330" s="219">
        <v>0</v>
      </c>
      <c r="W330" s="219">
        <v>4</v>
      </c>
      <c r="X330" s="219">
        <v>10</v>
      </c>
      <c r="Y330" s="219">
        <v>1</v>
      </c>
      <c r="Z330" s="219">
        <v>0</v>
      </c>
      <c r="AA330" s="220" t="s">
        <v>2474</v>
      </c>
    </row>
    <row r="331" spans="1:29" ht="16.5" customHeight="1" x14ac:dyDescent="0.3">
      <c r="A331" s="49"/>
      <c r="B331" s="54" t="str">
        <f ca="1">'Translation Table'!H2051</f>
        <v>Pump: Hydrocarbon Service (Driver: Recip Engine) (Fuel: Gaseous)</v>
      </c>
      <c r="C331" s="54" t="str">
        <f ca="1">'Translation Table'!H2051</f>
        <v>Pump: Hydrocarbon Service (Driver: Recip Engine) (Fuel: Gaseous)</v>
      </c>
      <c r="D331" s="219">
        <v>3.29</v>
      </c>
      <c r="E331" s="221">
        <v>1.76</v>
      </c>
      <c r="F331" s="221"/>
      <c r="G331" s="221"/>
      <c r="H331" s="221">
        <v>0</v>
      </c>
      <c r="I331" s="221"/>
      <c r="J331" s="221"/>
      <c r="K331" s="219">
        <f t="shared" si="6"/>
        <v>26.189999999999998</v>
      </c>
      <c r="L331" s="219">
        <v>20.86</v>
      </c>
      <c r="M331" s="219">
        <v>5.33</v>
      </c>
      <c r="N331" s="219">
        <v>157.71</v>
      </c>
      <c r="O331" s="219">
        <v>1.5</v>
      </c>
      <c r="P331" s="221"/>
      <c r="Q331" s="219"/>
      <c r="R331" s="219"/>
      <c r="S331" s="219"/>
      <c r="T331" s="221"/>
      <c r="U331" s="221"/>
      <c r="V331" s="221">
        <v>2</v>
      </c>
      <c r="W331" s="219">
        <v>4</v>
      </c>
      <c r="X331" s="219">
        <v>10</v>
      </c>
      <c r="Y331" s="219">
        <v>1</v>
      </c>
      <c r="Z331" s="221">
        <v>0</v>
      </c>
      <c r="AA331" s="220" t="s">
        <v>2474</v>
      </c>
      <c r="AC331" s="46">
        <v>0</v>
      </c>
    </row>
    <row r="332" spans="1:29" ht="16.5" customHeight="1" x14ac:dyDescent="0.3">
      <c r="A332" s="49"/>
      <c r="B332" s="130" t="str">
        <f ca="1">'Translation Table'!H2052</f>
        <v>Pump: Hydrocarbon Service (Driver: Recip Engine) (Fuel: Liquid)</v>
      </c>
      <c r="C332" s="54" t="str">
        <f ca="1">'Translation Table'!H2052</f>
        <v>Pump: Hydrocarbon Service (Driver: Recip Engine) (Fuel: Liquid)</v>
      </c>
      <c r="D332" s="219">
        <v>0</v>
      </c>
      <c r="E332" s="221">
        <v>0</v>
      </c>
      <c r="F332" s="221"/>
      <c r="G332" s="221"/>
      <c r="H332" s="221">
        <v>0</v>
      </c>
      <c r="I332" s="221"/>
      <c r="J332" s="221"/>
      <c r="K332" s="219">
        <f t="shared" si="6"/>
        <v>0</v>
      </c>
      <c r="L332" s="219">
        <v>0</v>
      </c>
      <c r="M332" s="219">
        <v>0</v>
      </c>
      <c r="N332" s="219">
        <v>0</v>
      </c>
      <c r="O332" s="219">
        <v>0</v>
      </c>
      <c r="P332" s="221"/>
      <c r="Q332" s="219"/>
      <c r="R332" s="219"/>
      <c r="S332" s="219"/>
      <c r="T332" s="221"/>
      <c r="U332" s="221"/>
      <c r="V332" s="221">
        <v>1</v>
      </c>
      <c r="W332" s="219">
        <v>4</v>
      </c>
      <c r="X332" s="219">
        <v>10</v>
      </c>
      <c r="Y332" s="219">
        <v>1</v>
      </c>
      <c r="Z332" s="221">
        <v>0</v>
      </c>
      <c r="AA332" s="220" t="s">
        <v>2474</v>
      </c>
    </row>
    <row r="333" spans="1:29" ht="16.5" customHeight="1" x14ac:dyDescent="0.3">
      <c r="A333" s="49"/>
      <c r="B333" s="54" t="str">
        <f ca="1">'Translation Table'!H2053</f>
        <v>Pump: Non-Hydrocarbon Service (Driver: Recip Engine) (Fuel: Gaseous)</v>
      </c>
      <c r="C333" s="54" t="str">
        <f ca="1">'Translation Table'!H2053</f>
        <v>Pump: Non-Hydrocarbon Service (Driver: Recip Engine) (Fuel: Gaseous)</v>
      </c>
      <c r="D333" s="219">
        <v>3.29</v>
      </c>
      <c r="E333" s="221">
        <v>1.76</v>
      </c>
      <c r="F333" s="221"/>
      <c r="G333" s="221"/>
      <c r="H333" s="221">
        <v>0</v>
      </c>
      <c r="I333" s="221"/>
      <c r="J333" s="221"/>
      <c r="K333" s="219">
        <f t="shared" si="6"/>
        <v>26.189999999999998</v>
      </c>
      <c r="L333" s="219">
        <v>20.86</v>
      </c>
      <c r="M333" s="219">
        <v>5.33</v>
      </c>
      <c r="N333" s="219">
        <v>157.71</v>
      </c>
      <c r="O333" s="219">
        <v>1.5</v>
      </c>
      <c r="P333" s="221"/>
      <c r="Q333" s="219"/>
      <c r="R333" s="219"/>
      <c r="S333" s="219"/>
      <c r="T333" s="221"/>
      <c r="U333" s="221"/>
      <c r="V333" s="221">
        <v>2</v>
      </c>
      <c r="W333" s="220">
        <v>0</v>
      </c>
      <c r="X333" s="220">
        <v>0</v>
      </c>
      <c r="Y333" s="220">
        <v>0</v>
      </c>
      <c r="Z333" s="221">
        <v>0</v>
      </c>
      <c r="AA333" s="220" t="s">
        <v>2474</v>
      </c>
    </row>
    <row r="334" spans="1:29" ht="16.5" customHeight="1" x14ac:dyDescent="0.3">
      <c r="A334" s="49"/>
      <c r="B334" s="130" t="str">
        <f ca="1">'Translation Table'!H2054</f>
        <v>Pump: Non-Hydrocarbon Service (Driver: Recip Engine) (Fuel: Gaseous)</v>
      </c>
      <c r="C334" s="54" t="str">
        <f ca="1">'Translation Table'!H2054</f>
        <v>Pump: Non-Hydrocarbon Service (Driver: Recip Engine) (Fuel: Gaseous)</v>
      </c>
      <c r="D334" s="219">
        <v>3.29</v>
      </c>
      <c r="E334" s="221">
        <v>1.76</v>
      </c>
      <c r="F334" s="221"/>
      <c r="G334" s="221"/>
      <c r="H334" s="221">
        <v>0</v>
      </c>
      <c r="I334" s="221"/>
      <c r="J334" s="221"/>
      <c r="K334" s="219">
        <f t="shared" si="6"/>
        <v>26.189999999999998</v>
      </c>
      <c r="L334" s="219">
        <v>20.86</v>
      </c>
      <c r="M334" s="219">
        <v>5.33</v>
      </c>
      <c r="N334" s="219">
        <v>157.71</v>
      </c>
      <c r="O334" s="219">
        <v>1.5</v>
      </c>
      <c r="P334" s="221"/>
      <c r="Q334" s="219"/>
      <c r="R334" s="219"/>
      <c r="S334" s="219"/>
      <c r="T334" s="221"/>
      <c r="U334" s="221"/>
      <c r="V334" s="221">
        <v>2</v>
      </c>
      <c r="W334" s="220">
        <v>0</v>
      </c>
      <c r="X334" s="220">
        <v>0</v>
      </c>
      <c r="Y334" s="220">
        <v>0</v>
      </c>
      <c r="Z334" s="221">
        <v>0</v>
      </c>
      <c r="AA334" s="220" t="s">
        <v>2474</v>
      </c>
    </row>
    <row r="335" spans="1:29" ht="16.5" customHeight="1" x14ac:dyDescent="0.3">
      <c r="A335" s="49"/>
      <c r="B335" s="54" t="str">
        <f ca="1">'Translation Table'!H2055</f>
        <v>Refrigeration (Propane)</v>
      </c>
      <c r="C335" s="54" t="str">
        <f ca="1">'Translation Table'!H2055</f>
        <v>Refrigeration (Propane)</v>
      </c>
      <c r="D335" s="219">
        <v>2</v>
      </c>
      <c r="E335" s="221">
        <v>0</v>
      </c>
      <c r="F335" s="221"/>
      <c r="G335" s="221"/>
      <c r="H335" s="221">
        <v>0</v>
      </c>
      <c r="I335" s="221"/>
      <c r="J335" s="221"/>
      <c r="K335" s="219">
        <f t="shared" si="6"/>
        <v>65</v>
      </c>
      <c r="L335" s="219">
        <v>65</v>
      </c>
      <c r="M335" s="219"/>
      <c r="N335" s="219">
        <v>170</v>
      </c>
      <c r="O335" s="219">
        <v>2</v>
      </c>
      <c r="P335" s="221"/>
      <c r="Q335" s="221"/>
      <c r="R335" s="221"/>
      <c r="S335" s="221"/>
      <c r="T335" s="221"/>
      <c r="U335" s="221"/>
      <c r="V335" s="221">
        <v>6</v>
      </c>
      <c r="W335" s="220">
        <v>13</v>
      </c>
      <c r="X335" s="220">
        <v>31</v>
      </c>
      <c r="Y335" s="220"/>
      <c r="Z335" s="221">
        <v>4</v>
      </c>
      <c r="AA335" s="220" t="s">
        <v>517</v>
      </c>
      <c r="AC335" s="46">
        <v>0</v>
      </c>
    </row>
    <row r="336" spans="1:29" ht="16.5" customHeight="1" x14ac:dyDescent="0.3">
      <c r="A336" s="49"/>
      <c r="B336" s="130" t="str">
        <f ca="1">'Translation Table'!H2056</f>
        <v>Separator: Filter Separator</v>
      </c>
      <c r="C336" s="54" t="str">
        <f ca="1">'Translation Table'!H2056</f>
        <v>Separator: Filter Separator</v>
      </c>
      <c r="D336" s="219">
        <v>0.5</v>
      </c>
      <c r="E336" s="221">
        <v>1.5</v>
      </c>
      <c r="F336" s="221"/>
      <c r="G336" s="221"/>
      <c r="H336" s="221">
        <v>0</v>
      </c>
      <c r="I336" s="221"/>
      <c r="J336" s="221"/>
      <c r="K336" s="219">
        <f t="shared" si="6"/>
        <v>14</v>
      </c>
      <c r="L336" s="219">
        <v>13</v>
      </c>
      <c r="M336" s="219">
        <v>1</v>
      </c>
      <c r="N336" s="219">
        <v>64</v>
      </c>
      <c r="O336" s="219">
        <v>0.5</v>
      </c>
      <c r="P336" s="221"/>
      <c r="Q336" s="221"/>
      <c r="R336" s="221"/>
      <c r="S336" s="221"/>
      <c r="T336" s="221"/>
      <c r="U336" s="221"/>
      <c r="V336" s="221">
        <v>2</v>
      </c>
      <c r="W336" s="220">
        <v>6</v>
      </c>
      <c r="X336" s="220">
        <v>19.5</v>
      </c>
      <c r="Y336" s="220">
        <v>0</v>
      </c>
      <c r="Z336" s="221">
        <v>1</v>
      </c>
      <c r="AA336" s="220" t="s">
        <v>2474</v>
      </c>
      <c r="AC336" s="46">
        <v>0</v>
      </c>
    </row>
    <row r="337" spans="1:29" ht="16.5" customHeight="1" x14ac:dyDescent="0.3">
      <c r="A337" s="49"/>
      <c r="B337" s="54" t="str">
        <f ca="1">'Translation Table'!H2057</f>
        <v>Separator: Horizontal (Phases: 2)</v>
      </c>
      <c r="C337" s="54" t="str">
        <f ca="1">'Translation Table'!H2057</f>
        <v>Separator: Horizontal (Phases: 2)</v>
      </c>
      <c r="D337" s="219">
        <v>1</v>
      </c>
      <c r="E337" s="221">
        <v>0</v>
      </c>
      <c r="F337" s="221"/>
      <c r="G337" s="221"/>
      <c r="H337" s="221">
        <v>0</v>
      </c>
      <c r="I337" s="221"/>
      <c r="J337" s="221"/>
      <c r="K337" s="219">
        <f t="shared" si="6"/>
        <v>12</v>
      </c>
      <c r="L337" s="219">
        <v>12</v>
      </c>
      <c r="M337" s="219">
        <v>0</v>
      </c>
      <c r="N337" s="219">
        <v>40</v>
      </c>
      <c r="O337" s="219">
        <v>2</v>
      </c>
      <c r="P337" s="221"/>
      <c r="Q337" s="221"/>
      <c r="R337" s="221"/>
      <c r="S337" s="221"/>
      <c r="T337" s="221"/>
      <c r="U337" s="221"/>
      <c r="V337" s="221">
        <v>2</v>
      </c>
      <c r="W337" s="220">
        <v>17</v>
      </c>
      <c r="X337" s="220">
        <v>58</v>
      </c>
      <c r="Y337" s="220"/>
      <c r="Z337" s="221">
        <v>1</v>
      </c>
      <c r="AA337" s="220" t="s">
        <v>517</v>
      </c>
      <c r="AC337" s="46">
        <v>0</v>
      </c>
    </row>
    <row r="338" spans="1:29" ht="16.5" customHeight="1" x14ac:dyDescent="0.3">
      <c r="A338" s="49"/>
      <c r="B338" s="130" t="str">
        <f ca="1">'Translation Table'!H2058</f>
        <v>Separator: Horizontal (Phases: 3)</v>
      </c>
      <c r="C338" s="54" t="str">
        <f ca="1">'Translation Table'!H2058</f>
        <v>Separator: Horizontal (Phases: 3)</v>
      </c>
      <c r="D338" s="219">
        <v>1</v>
      </c>
      <c r="E338" s="221">
        <v>0</v>
      </c>
      <c r="F338" s="221"/>
      <c r="G338" s="221"/>
      <c r="H338" s="221">
        <v>0</v>
      </c>
      <c r="I338" s="221"/>
      <c r="J338" s="221"/>
      <c r="K338" s="219">
        <f t="shared" si="6"/>
        <v>12</v>
      </c>
      <c r="L338" s="219">
        <v>12</v>
      </c>
      <c r="M338" s="219">
        <v>0</v>
      </c>
      <c r="N338" s="219">
        <v>40</v>
      </c>
      <c r="O338" s="219">
        <v>2</v>
      </c>
      <c r="P338" s="221"/>
      <c r="Q338" s="221"/>
      <c r="R338" s="221"/>
      <c r="S338" s="221"/>
      <c r="T338" s="221"/>
      <c r="U338" s="221"/>
      <c r="V338" s="221">
        <v>2</v>
      </c>
      <c r="W338" s="220">
        <v>17</v>
      </c>
      <c r="X338" s="220">
        <v>58</v>
      </c>
      <c r="Y338" s="220"/>
      <c r="Z338" s="221">
        <v>1</v>
      </c>
      <c r="AA338" s="220" t="s">
        <v>2474</v>
      </c>
      <c r="AC338" s="46">
        <v>0</v>
      </c>
    </row>
    <row r="339" spans="1:29" ht="16.5" customHeight="1" x14ac:dyDescent="0.3">
      <c r="A339" s="49"/>
      <c r="B339" s="54" t="str">
        <f ca="1">'Translation Table'!H2059</f>
        <v>Separator: Vertical (Phases: 2)</v>
      </c>
      <c r="C339" s="54" t="str">
        <f ca="1">'Translation Table'!H2059</f>
        <v>Separator: Vertical (Phases: 2)</v>
      </c>
      <c r="D339" s="219">
        <v>1</v>
      </c>
      <c r="E339" s="221">
        <v>0</v>
      </c>
      <c r="F339" s="221"/>
      <c r="G339" s="221"/>
      <c r="H339" s="221">
        <v>0</v>
      </c>
      <c r="I339" s="221"/>
      <c r="J339" s="221"/>
      <c r="K339" s="219">
        <f t="shared" si="6"/>
        <v>12</v>
      </c>
      <c r="L339" s="219">
        <v>12</v>
      </c>
      <c r="M339" s="219">
        <v>0</v>
      </c>
      <c r="N339" s="219">
        <v>40</v>
      </c>
      <c r="O339" s="219">
        <v>2</v>
      </c>
      <c r="P339" s="221"/>
      <c r="Q339" s="221"/>
      <c r="R339" s="221"/>
      <c r="S339" s="221"/>
      <c r="T339" s="221"/>
      <c r="U339" s="221"/>
      <c r="V339" s="221">
        <v>2</v>
      </c>
      <c r="W339" s="220">
        <v>17</v>
      </c>
      <c r="X339" s="220">
        <v>58</v>
      </c>
      <c r="Y339" s="220"/>
      <c r="Z339" s="221">
        <v>1</v>
      </c>
      <c r="AA339" s="220" t="s">
        <v>517</v>
      </c>
      <c r="AC339" s="46">
        <v>0</v>
      </c>
    </row>
    <row r="340" spans="1:29" ht="16.5" customHeight="1" x14ac:dyDescent="0.3">
      <c r="A340" s="49"/>
      <c r="B340" s="130" t="str">
        <f ca="1">'Translation Table'!H2060</f>
        <v>Separator: Vertical (Phases: 3)</v>
      </c>
      <c r="C340" s="54" t="str">
        <f ca="1">'Translation Table'!H2060</f>
        <v>Separator: Vertical (Phases: 3)</v>
      </c>
      <c r="D340" s="219">
        <v>1</v>
      </c>
      <c r="E340" s="221">
        <v>0</v>
      </c>
      <c r="F340" s="221"/>
      <c r="G340" s="221"/>
      <c r="H340" s="221">
        <v>0</v>
      </c>
      <c r="I340" s="221"/>
      <c r="J340" s="221"/>
      <c r="K340" s="219">
        <f t="shared" si="6"/>
        <v>12</v>
      </c>
      <c r="L340" s="219">
        <v>12</v>
      </c>
      <c r="M340" s="219">
        <v>0</v>
      </c>
      <c r="N340" s="219">
        <v>40</v>
      </c>
      <c r="O340" s="219">
        <v>2</v>
      </c>
      <c r="P340" s="221"/>
      <c r="Q340" s="221"/>
      <c r="R340" s="221"/>
      <c r="S340" s="221"/>
      <c r="T340" s="221"/>
      <c r="U340" s="221"/>
      <c r="V340" s="221">
        <v>2</v>
      </c>
      <c r="W340" s="220">
        <v>17</v>
      </c>
      <c r="X340" s="220">
        <v>58</v>
      </c>
      <c r="Y340" s="220"/>
      <c r="Z340" s="221">
        <v>1</v>
      </c>
      <c r="AA340" s="220" t="s">
        <v>2474</v>
      </c>
    </row>
    <row r="341" spans="1:29" ht="16.5" customHeight="1" x14ac:dyDescent="0.3">
      <c r="A341" s="49"/>
      <c r="B341" s="54" t="str">
        <f ca="1">'Translation Table'!H2061</f>
        <v>Stabilizer: with Reflux Loop</v>
      </c>
      <c r="C341" s="54" t="str">
        <f ca="1">'Translation Table'!H2061</f>
        <v>Stabilizer: with Reflux Loop</v>
      </c>
      <c r="D341" s="219">
        <v>3</v>
      </c>
      <c r="E341" s="221">
        <v>0</v>
      </c>
      <c r="F341" s="221"/>
      <c r="G341" s="221"/>
      <c r="H341" s="221">
        <v>0</v>
      </c>
      <c r="I341" s="221"/>
      <c r="J341" s="221"/>
      <c r="K341" s="219">
        <f t="shared" si="6"/>
        <v>20</v>
      </c>
      <c r="L341" s="219">
        <v>20</v>
      </c>
      <c r="M341" s="219"/>
      <c r="N341" s="219">
        <v>80</v>
      </c>
      <c r="O341" s="219">
        <v>2</v>
      </c>
      <c r="P341" s="221"/>
      <c r="Q341" s="221"/>
      <c r="R341" s="221"/>
      <c r="S341" s="221"/>
      <c r="T341" s="221"/>
      <c r="U341" s="221"/>
      <c r="V341" s="221">
        <v>4</v>
      </c>
      <c r="W341" s="220">
        <v>77</v>
      </c>
      <c r="X341" s="220">
        <v>247</v>
      </c>
      <c r="Y341" s="220"/>
      <c r="Z341" s="221">
        <v>1</v>
      </c>
      <c r="AA341" s="220" t="s">
        <v>517</v>
      </c>
    </row>
    <row r="342" spans="1:29" ht="16.5" customHeight="1" x14ac:dyDescent="0.3">
      <c r="A342" s="49"/>
      <c r="B342" s="130" t="str">
        <f ca="1">'Translation Table'!H2062</f>
        <v>Stabilizer: without Reflux Loop</v>
      </c>
      <c r="C342" s="54" t="str">
        <f ca="1">'Translation Table'!H2062</f>
        <v>Stabilizer: without Reflux Loop</v>
      </c>
      <c r="D342" s="219">
        <v>2</v>
      </c>
      <c r="E342" s="221">
        <v>0</v>
      </c>
      <c r="F342" s="221"/>
      <c r="G342" s="221"/>
      <c r="H342" s="221">
        <v>0</v>
      </c>
      <c r="I342" s="221"/>
      <c r="J342" s="221"/>
      <c r="K342" s="219">
        <f t="shared" si="6"/>
        <v>17</v>
      </c>
      <c r="L342" s="219">
        <v>17</v>
      </c>
      <c r="M342" s="219"/>
      <c r="N342" s="219">
        <v>74</v>
      </c>
      <c r="O342" s="219">
        <v>2</v>
      </c>
      <c r="P342" s="221"/>
      <c r="Q342" s="221"/>
      <c r="R342" s="221"/>
      <c r="S342" s="221"/>
      <c r="T342" s="221"/>
      <c r="U342" s="221"/>
      <c r="V342" s="221">
        <v>3</v>
      </c>
      <c r="W342" s="220">
        <v>74</v>
      </c>
      <c r="X342" s="220">
        <v>241</v>
      </c>
      <c r="Y342" s="220"/>
      <c r="Z342" s="221">
        <v>1</v>
      </c>
      <c r="AA342" s="220" t="s">
        <v>2474</v>
      </c>
    </row>
    <row r="343" spans="1:29" ht="16.5" customHeight="1" x14ac:dyDescent="0.3">
      <c r="A343" s="49"/>
      <c r="B343" s="54" t="str">
        <f ca="1">'Translation Table'!H2063</f>
        <v>Storage Tank (Produced Oil, with Vapor Control)</v>
      </c>
      <c r="C343" s="54" t="str">
        <f ca="1">'Translation Table'!H2063</f>
        <v>Storage Tank (Produced Oil, with Vapor Control)</v>
      </c>
      <c r="D343" s="219">
        <v>1</v>
      </c>
      <c r="E343" s="221">
        <v>0</v>
      </c>
      <c r="F343" s="221"/>
      <c r="G343" s="221"/>
      <c r="H343" s="221">
        <v>0</v>
      </c>
      <c r="I343" s="221"/>
      <c r="J343" s="221"/>
      <c r="K343" s="219">
        <f t="shared" si="6"/>
        <v>1</v>
      </c>
      <c r="L343" s="219">
        <v>1</v>
      </c>
      <c r="M343" s="219"/>
      <c r="N343" s="219">
        <v>2</v>
      </c>
      <c r="O343" s="219">
        <v>1</v>
      </c>
      <c r="P343" s="221"/>
      <c r="Q343" s="221"/>
      <c r="R343" s="221"/>
      <c r="S343" s="221"/>
      <c r="T343" s="221"/>
      <c r="U343" s="221"/>
      <c r="V343" s="221">
        <v>0</v>
      </c>
      <c r="W343" s="220">
        <v>10</v>
      </c>
      <c r="X343" s="220">
        <v>24</v>
      </c>
      <c r="Y343" s="220"/>
      <c r="Z343" s="221">
        <v>0</v>
      </c>
      <c r="AA343" s="220" t="s">
        <v>517</v>
      </c>
    </row>
    <row r="344" spans="1:29" ht="16.5" customHeight="1" x14ac:dyDescent="0.3">
      <c r="A344" s="49"/>
      <c r="B344" s="130" t="str">
        <f ca="1">'Translation Table'!H2064</f>
        <v>Storage Tank (Produced Oil, without Vapor Control)</v>
      </c>
      <c r="C344" s="54" t="str">
        <f ca="1">'Translation Table'!H2064</f>
        <v>Storage Tank (Produced Oil, without Vapor Control)</v>
      </c>
      <c r="D344" s="219">
        <v>0</v>
      </c>
      <c r="E344" s="221">
        <v>0</v>
      </c>
      <c r="F344" s="221"/>
      <c r="G344" s="221"/>
      <c r="H344" s="221">
        <v>0</v>
      </c>
      <c r="I344" s="221"/>
      <c r="J344" s="221"/>
      <c r="K344" s="219">
        <f t="shared" si="6"/>
        <v>0</v>
      </c>
      <c r="L344" s="219">
        <v>0</v>
      </c>
      <c r="M344" s="219"/>
      <c r="N344" s="219">
        <v>0</v>
      </c>
      <c r="O344" s="219">
        <v>0</v>
      </c>
      <c r="P344" s="221"/>
      <c r="Q344" s="221"/>
      <c r="R344" s="221"/>
      <c r="S344" s="221"/>
      <c r="T344" s="221"/>
      <c r="U344" s="221"/>
      <c r="V344" s="221">
        <v>0</v>
      </c>
      <c r="W344" s="220">
        <v>10</v>
      </c>
      <c r="X344" s="220">
        <v>24</v>
      </c>
      <c r="Y344" s="220"/>
      <c r="Z344" s="221">
        <v>0</v>
      </c>
      <c r="AA344" s="220" t="s">
        <v>517</v>
      </c>
    </row>
    <row r="345" spans="1:29" ht="16.5" customHeight="1" x14ac:dyDescent="0.3">
      <c r="A345" s="49"/>
      <c r="B345" s="54" t="str">
        <f ca="1">'Translation Table'!H2065</f>
        <v>Storage Tank (Produced Water, with Vapor Control)</v>
      </c>
      <c r="C345" s="54" t="str">
        <f ca="1">'Translation Table'!H2065</f>
        <v>Storage Tank (Produced Water, with Vapor Control)</v>
      </c>
      <c r="D345" s="219">
        <v>1</v>
      </c>
      <c r="E345" s="221">
        <v>0</v>
      </c>
      <c r="F345" s="221"/>
      <c r="G345" s="221"/>
      <c r="H345" s="221">
        <v>0</v>
      </c>
      <c r="I345" s="221"/>
      <c r="J345" s="221"/>
      <c r="K345" s="219">
        <f t="shared" si="6"/>
        <v>1</v>
      </c>
      <c r="L345" s="219">
        <v>1</v>
      </c>
      <c r="M345" s="219"/>
      <c r="N345" s="219">
        <v>2</v>
      </c>
      <c r="O345" s="219">
        <v>1</v>
      </c>
      <c r="P345" s="221"/>
      <c r="Q345" s="221"/>
      <c r="R345" s="221"/>
      <c r="S345" s="221"/>
      <c r="T345" s="221"/>
      <c r="U345" s="221"/>
      <c r="V345" s="221">
        <v>0</v>
      </c>
      <c r="W345" s="220">
        <v>10</v>
      </c>
      <c r="X345" s="220">
        <v>24</v>
      </c>
      <c r="Y345" s="220"/>
      <c r="Z345" s="221">
        <v>0</v>
      </c>
      <c r="AA345" s="220" t="s">
        <v>517</v>
      </c>
    </row>
    <row r="346" spans="1:29" ht="16.5" customHeight="1" x14ac:dyDescent="0.3">
      <c r="A346" s="49"/>
      <c r="B346" s="130" t="str">
        <f ca="1">'Translation Table'!H2066</f>
        <v>Storage Tank (Produced Water, without Vapor Control)</v>
      </c>
      <c r="C346" s="54" t="str">
        <f ca="1">'Translation Table'!H2066</f>
        <v>Storage Tank (Produced Water, without Vapor Control)</v>
      </c>
      <c r="D346" s="219">
        <v>0</v>
      </c>
      <c r="E346" s="221">
        <v>0</v>
      </c>
      <c r="F346" s="221"/>
      <c r="G346" s="221"/>
      <c r="H346" s="221">
        <v>0</v>
      </c>
      <c r="I346" s="221"/>
      <c r="J346" s="221"/>
      <c r="K346" s="219">
        <f t="shared" si="6"/>
        <v>0</v>
      </c>
      <c r="L346" s="219">
        <v>0</v>
      </c>
      <c r="M346" s="219"/>
      <c r="N346" s="219">
        <v>0</v>
      </c>
      <c r="O346" s="219">
        <v>0</v>
      </c>
      <c r="P346" s="221"/>
      <c r="Q346" s="221"/>
      <c r="R346" s="221"/>
      <c r="S346" s="221"/>
      <c r="T346" s="221"/>
      <c r="U346" s="221"/>
      <c r="V346" s="221">
        <v>0</v>
      </c>
      <c r="W346" s="220">
        <v>10</v>
      </c>
      <c r="X346" s="220">
        <v>24</v>
      </c>
      <c r="Y346" s="220"/>
      <c r="Z346" s="221">
        <v>0</v>
      </c>
      <c r="AA346" s="220" t="s">
        <v>517</v>
      </c>
    </row>
    <row r="347" spans="1:29" ht="16.5" customHeight="1" x14ac:dyDescent="0.3">
      <c r="A347" s="49"/>
      <c r="B347" s="54" t="str">
        <f ca="1">'Translation Table'!H2067</f>
        <v>Storage Tank: Chemicals with Natural Gas Blanketing)</v>
      </c>
      <c r="C347" s="54" t="str">
        <f ca="1">'Translation Table'!H2067</f>
        <v>Storage Tank: Chemicals with Natural Gas Blanketing)</v>
      </c>
      <c r="D347" s="219">
        <v>1</v>
      </c>
      <c r="E347" s="221">
        <v>0</v>
      </c>
      <c r="F347" s="221"/>
      <c r="G347" s="221"/>
      <c r="H347" s="221">
        <v>0</v>
      </c>
      <c r="I347" s="221"/>
      <c r="J347" s="221"/>
      <c r="K347" s="219">
        <f t="shared" si="6"/>
        <v>1</v>
      </c>
      <c r="L347" s="219">
        <v>1</v>
      </c>
      <c r="M347" s="219"/>
      <c r="N347" s="219">
        <v>2</v>
      </c>
      <c r="O347" s="219">
        <v>1</v>
      </c>
      <c r="P347" s="221"/>
      <c r="Q347" s="221"/>
      <c r="R347" s="221"/>
      <c r="S347" s="221"/>
      <c r="T347" s="221"/>
      <c r="U347" s="221"/>
      <c r="V347" s="221">
        <v>0</v>
      </c>
      <c r="W347" s="220">
        <v>0</v>
      </c>
      <c r="X347" s="220">
        <v>0</v>
      </c>
      <c r="Y347" s="220"/>
      <c r="Z347" s="221">
        <v>0</v>
      </c>
      <c r="AA347" s="691" t="s">
        <v>3413</v>
      </c>
    </row>
    <row r="348" spans="1:29" ht="16.5" customHeight="1" x14ac:dyDescent="0.3">
      <c r="A348" s="49"/>
      <c r="B348" s="130" t="str">
        <f ca="1">'Translation Table'!H2068</f>
        <v>Sulphur Recovery: Claus</v>
      </c>
      <c r="C348" s="54" t="str">
        <f ca="1">'Translation Table'!H2068</f>
        <v>Sulphur Recovery: Claus</v>
      </c>
      <c r="D348" s="219">
        <v>1</v>
      </c>
      <c r="E348" s="221">
        <v>0</v>
      </c>
      <c r="F348" s="221"/>
      <c r="G348" s="221"/>
      <c r="H348" s="221">
        <v>0</v>
      </c>
      <c r="I348" s="221"/>
      <c r="J348" s="221"/>
      <c r="K348" s="219">
        <f t="shared" si="6"/>
        <v>31</v>
      </c>
      <c r="L348" s="219">
        <v>31</v>
      </c>
      <c r="M348" s="219"/>
      <c r="N348" s="219">
        <v>134</v>
      </c>
      <c r="O348" s="219">
        <v>4</v>
      </c>
      <c r="P348" s="221"/>
      <c r="Q348" s="221"/>
      <c r="R348" s="221"/>
      <c r="S348" s="221"/>
      <c r="T348" s="221"/>
      <c r="U348" s="221"/>
      <c r="V348" s="221">
        <v>2</v>
      </c>
      <c r="W348" s="220">
        <v>7</v>
      </c>
      <c r="X348" s="220">
        <v>12</v>
      </c>
      <c r="Y348" s="220"/>
      <c r="Z348" s="221">
        <v>1</v>
      </c>
      <c r="AA348" s="220" t="s">
        <v>517</v>
      </c>
    </row>
    <row r="349" spans="1:29" ht="16.5" customHeight="1" x14ac:dyDescent="0.3">
      <c r="A349" s="49"/>
      <c r="B349" s="54" t="str">
        <f ca="1">'Translation Table'!H2069</f>
        <v>Sulphur Recovery: MCRC (Sub-dewpoint)</v>
      </c>
      <c r="C349" s="54" t="str">
        <f ca="1">'Translation Table'!H2069</f>
        <v>Sulphur Recovery: MCRC (Sub-dewpoint)</v>
      </c>
      <c r="D349" s="219">
        <v>1</v>
      </c>
      <c r="E349" s="221">
        <v>0</v>
      </c>
      <c r="F349" s="221"/>
      <c r="G349" s="221"/>
      <c r="H349" s="221">
        <v>0</v>
      </c>
      <c r="I349" s="221"/>
      <c r="J349" s="221"/>
      <c r="K349" s="219">
        <f t="shared" si="6"/>
        <v>31</v>
      </c>
      <c r="L349" s="219">
        <v>31</v>
      </c>
      <c r="M349" s="219"/>
      <c r="N349" s="219">
        <v>134</v>
      </c>
      <c r="O349" s="219">
        <v>4</v>
      </c>
      <c r="P349" s="221"/>
      <c r="Q349" s="221"/>
      <c r="R349" s="221"/>
      <c r="S349" s="221"/>
      <c r="T349" s="221"/>
      <c r="U349" s="221"/>
      <c r="V349" s="221">
        <v>2</v>
      </c>
      <c r="W349" s="220">
        <v>7</v>
      </c>
      <c r="X349" s="220">
        <v>12</v>
      </c>
      <c r="Y349" s="220"/>
      <c r="Z349" s="221">
        <v>1</v>
      </c>
      <c r="AA349" s="220" t="s">
        <v>517</v>
      </c>
    </row>
    <row r="350" spans="1:29" ht="16.5" customHeight="1" x14ac:dyDescent="0.3">
      <c r="A350" s="49"/>
      <c r="B350" s="130" t="str">
        <f ca="1">'Translation Table'!H2070</f>
        <v>Sweetening: (Physical Solvent)</v>
      </c>
      <c r="C350" s="54" t="str">
        <f ca="1">'Translation Table'!H2070</f>
        <v>Sweetening: (Physical Solvent)</v>
      </c>
      <c r="D350" s="219">
        <v>4</v>
      </c>
      <c r="E350" s="221">
        <v>0</v>
      </c>
      <c r="F350" s="221"/>
      <c r="G350" s="221"/>
      <c r="H350" s="221">
        <v>0</v>
      </c>
      <c r="I350" s="221"/>
      <c r="J350" s="221"/>
      <c r="K350" s="219">
        <f t="shared" si="6"/>
        <v>104</v>
      </c>
      <c r="L350" s="219">
        <v>104</v>
      </c>
      <c r="M350" s="219"/>
      <c r="N350" s="219">
        <v>248</v>
      </c>
      <c r="O350" s="219">
        <v>2</v>
      </c>
      <c r="P350" s="221"/>
      <c r="Q350" s="221"/>
      <c r="R350" s="221"/>
      <c r="S350" s="221"/>
      <c r="T350" s="221"/>
      <c r="U350" s="221"/>
      <c r="V350" s="221">
        <v>6</v>
      </c>
      <c r="W350" s="220">
        <v>26</v>
      </c>
      <c r="X350" s="220">
        <v>62</v>
      </c>
      <c r="Y350" s="220"/>
      <c r="Z350" s="221">
        <v>3</v>
      </c>
      <c r="AA350" s="220" t="s">
        <v>517</v>
      </c>
    </row>
    <row r="351" spans="1:29" ht="16.5" customHeight="1" x14ac:dyDescent="0.3">
      <c r="A351" s="49"/>
      <c r="B351" s="54" t="str">
        <f ca="1">'Translation Table'!H2071</f>
        <v>Sweetening: Chemsweet</v>
      </c>
      <c r="C351" s="54" t="str">
        <f ca="1">'Translation Table'!H2071</f>
        <v>Sweetening: Chemsweet</v>
      </c>
      <c r="D351" s="219">
        <v>8</v>
      </c>
      <c r="E351" s="221">
        <v>0</v>
      </c>
      <c r="F351" s="221"/>
      <c r="G351" s="221"/>
      <c r="H351" s="221">
        <v>0</v>
      </c>
      <c r="I351" s="221"/>
      <c r="J351" s="221"/>
      <c r="K351" s="219">
        <f t="shared" si="6"/>
        <v>63</v>
      </c>
      <c r="L351" s="219">
        <v>63</v>
      </c>
      <c r="M351" s="219"/>
      <c r="N351" s="219">
        <v>243</v>
      </c>
      <c r="O351" s="219">
        <v>2</v>
      </c>
      <c r="P351" s="221"/>
      <c r="Q351" s="221"/>
      <c r="R351" s="221"/>
      <c r="S351" s="221"/>
      <c r="T351" s="221"/>
      <c r="U351" s="221"/>
      <c r="V351" s="221">
        <v>6</v>
      </c>
      <c r="W351" s="220">
        <v>2</v>
      </c>
      <c r="X351" s="220">
        <v>0</v>
      </c>
      <c r="Y351" s="220"/>
      <c r="Z351" s="221">
        <v>3</v>
      </c>
      <c r="AA351" s="220" t="s">
        <v>517</v>
      </c>
    </row>
    <row r="352" spans="1:29" ht="16.5" customHeight="1" x14ac:dyDescent="0.3">
      <c r="A352" s="49"/>
      <c r="B352" s="130" t="str">
        <f ca="1">'Translation Table'!H2072</f>
        <v>Sweetening: DEA (Diethanolamine)</v>
      </c>
      <c r="C352" s="54" t="str">
        <f ca="1">'Translation Table'!H2072</f>
        <v>Sweetening: DEA (Diethanolamine)</v>
      </c>
      <c r="D352" s="219">
        <v>2</v>
      </c>
      <c r="E352" s="221">
        <v>3</v>
      </c>
      <c r="F352" s="221"/>
      <c r="G352" s="221"/>
      <c r="H352" s="221">
        <v>0</v>
      </c>
      <c r="I352" s="221"/>
      <c r="J352" s="221"/>
      <c r="K352" s="219">
        <f t="shared" si="6"/>
        <v>60</v>
      </c>
      <c r="L352" s="219">
        <v>60</v>
      </c>
      <c r="M352" s="219"/>
      <c r="N352" s="219">
        <v>702</v>
      </c>
      <c r="O352" s="219">
        <v>2</v>
      </c>
      <c r="P352" s="221"/>
      <c r="Q352" s="221"/>
      <c r="R352" s="221"/>
      <c r="S352" s="221"/>
      <c r="T352" s="221"/>
      <c r="U352" s="221"/>
      <c r="V352" s="221">
        <v>13</v>
      </c>
      <c r="W352" s="220">
        <v>1</v>
      </c>
      <c r="X352" s="220">
        <v>3</v>
      </c>
      <c r="Y352" s="220"/>
      <c r="Z352" s="221">
        <v>3</v>
      </c>
      <c r="AA352" s="220" t="s">
        <v>517</v>
      </c>
    </row>
    <row r="353" spans="1:27" ht="16.5" customHeight="1" x14ac:dyDescent="0.3">
      <c r="A353" s="49"/>
      <c r="B353" s="54" t="str">
        <f ca="1">'Translation Table'!H2073</f>
        <v>Sweetening: DGA (Diglycolamine)</v>
      </c>
      <c r="C353" s="54" t="str">
        <f ca="1">'Translation Table'!H2073</f>
        <v>Sweetening: DGA (Diglycolamine)</v>
      </c>
      <c r="D353" s="219">
        <v>2</v>
      </c>
      <c r="E353" s="221">
        <v>3</v>
      </c>
      <c r="F353" s="221"/>
      <c r="G353" s="221"/>
      <c r="H353" s="221">
        <v>0</v>
      </c>
      <c r="I353" s="221"/>
      <c r="J353" s="221"/>
      <c r="K353" s="219">
        <f t="shared" si="6"/>
        <v>60</v>
      </c>
      <c r="L353" s="219">
        <v>60</v>
      </c>
      <c r="M353" s="219"/>
      <c r="N353" s="219">
        <v>702</v>
      </c>
      <c r="O353" s="219">
        <v>2</v>
      </c>
      <c r="P353" s="221"/>
      <c r="Q353" s="221"/>
      <c r="R353" s="221"/>
      <c r="S353" s="221"/>
      <c r="T353" s="221"/>
      <c r="U353" s="221"/>
      <c r="V353" s="221">
        <v>13</v>
      </c>
      <c r="W353" s="220">
        <v>1</v>
      </c>
      <c r="X353" s="220">
        <v>3</v>
      </c>
      <c r="Y353" s="220"/>
      <c r="Z353" s="221">
        <v>3</v>
      </c>
      <c r="AA353" s="220" t="s">
        <v>517</v>
      </c>
    </row>
    <row r="354" spans="1:27" ht="16.5" customHeight="1" x14ac:dyDescent="0.3">
      <c r="A354" s="49"/>
      <c r="B354" s="130" t="str">
        <f ca="1">'Translation Table'!H2074</f>
        <v>Sweetening: Generic</v>
      </c>
      <c r="C354" s="54" t="str">
        <f ca="1">'Translation Table'!H2074</f>
        <v>Sweetening: Generic</v>
      </c>
      <c r="D354" s="219">
        <v>2</v>
      </c>
      <c r="E354" s="221">
        <v>3</v>
      </c>
      <c r="F354" s="221"/>
      <c r="G354" s="221"/>
      <c r="H354" s="221">
        <v>0</v>
      </c>
      <c r="I354" s="221"/>
      <c r="J354" s="221"/>
      <c r="K354" s="219">
        <f t="shared" si="6"/>
        <v>60</v>
      </c>
      <c r="L354" s="219">
        <v>60</v>
      </c>
      <c r="M354" s="219"/>
      <c r="N354" s="219">
        <v>702</v>
      </c>
      <c r="O354" s="219">
        <v>2</v>
      </c>
      <c r="P354" s="221"/>
      <c r="Q354" s="221"/>
      <c r="R354" s="221"/>
      <c r="S354" s="221"/>
      <c r="T354" s="221"/>
      <c r="U354" s="221"/>
      <c r="V354" s="221">
        <v>13</v>
      </c>
      <c r="W354" s="220">
        <v>1</v>
      </c>
      <c r="X354" s="220">
        <v>3</v>
      </c>
      <c r="Y354" s="220"/>
      <c r="Z354" s="221">
        <v>3</v>
      </c>
      <c r="AA354" s="220" t="s">
        <v>517</v>
      </c>
    </row>
    <row r="355" spans="1:27" ht="16.5" customHeight="1" x14ac:dyDescent="0.3">
      <c r="A355" s="49"/>
      <c r="B355" s="54" t="str">
        <f ca="1">'Translation Table'!H2075</f>
        <v>Sweetening: Iron Sponge</v>
      </c>
      <c r="C355" s="54" t="str">
        <f ca="1">'Translation Table'!H2075</f>
        <v>Sweetening: Iron Sponge</v>
      </c>
      <c r="D355" s="219">
        <v>1</v>
      </c>
      <c r="E355" s="221">
        <v>0</v>
      </c>
      <c r="F355" s="221"/>
      <c r="G355" s="221"/>
      <c r="H355" s="221">
        <v>0</v>
      </c>
      <c r="I355" s="221"/>
      <c r="J355" s="221"/>
      <c r="K355" s="219">
        <f t="shared" si="6"/>
        <v>31</v>
      </c>
      <c r="L355" s="219">
        <v>31</v>
      </c>
      <c r="M355" s="219"/>
      <c r="N355" s="219">
        <v>134</v>
      </c>
      <c r="O355" s="219">
        <v>2</v>
      </c>
      <c r="P355" s="221"/>
      <c r="Q355" s="221"/>
      <c r="R355" s="221"/>
      <c r="S355" s="221"/>
      <c r="T355" s="221"/>
      <c r="U355" s="221"/>
      <c r="V355" s="221">
        <v>2</v>
      </c>
      <c r="W355" s="220">
        <v>7</v>
      </c>
      <c r="X355" s="220">
        <v>12</v>
      </c>
      <c r="Y355" s="220"/>
      <c r="Z355" s="221">
        <v>3</v>
      </c>
      <c r="AA355" s="220" t="s">
        <v>517</v>
      </c>
    </row>
    <row r="356" spans="1:27" ht="16.5" customHeight="1" x14ac:dyDescent="0.3">
      <c r="A356" s="49"/>
      <c r="B356" s="130" t="str">
        <f ca="1">'Translation Table'!H2076</f>
        <v>Sweetening: LoCat</v>
      </c>
      <c r="C356" s="54" t="str">
        <f ca="1">'Translation Table'!H2076</f>
        <v>Sweetening: LoCat</v>
      </c>
      <c r="D356" s="219">
        <v>1</v>
      </c>
      <c r="E356" s="221">
        <v>0</v>
      </c>
      <c r="F356" s="221"/>
      <c r="G356" s="221"/>
      <c r="H356" s="221">
        <v>0</v>
      </c>
      <c r="I356" s="221"/>
      <c r="J356" s="221"/>
      <c r="K356" s="219">
        <f t="shared" si="6"/>
        <v>24</v>
      </c>
      <c r="L356" s="219">
        <v>24</v>
      </c>
      <c r="M356" s="219"/>
      <c r="N356" s="219">
        <v>100</v>
      </c>
      <c r="O356" s="219">
        <v>2</v>
      </c>
      <c r="P356" s="221"/>
      <c r="Q356" s="221"/>
      <c r="R356" s="221"/>
      <c r="S356" s="221"/>
      <c r="T356" s="221"/>
      <c r="U356" s="221"/>
      <c r="V356" s="221">
        <v>2</v>
      </c>
      <c r="W356" s="220">
        <v>7</v>
      </c>
      <c r="X356" s="220">
        <v>14</v>
      </c>
      <c r="Y356" s="220"/>
      <c r="Z356" s="221">
        <v>3</v>
      </c>
      <c r="AA356" s="220" t="s">
        <v>517</v>
      </c>
    </row>
    <row r="357" spans="1:27" ht="16.5" customHeight="1" x14ac:dyDescent="0.3">
      <c r="A357" s="49"/>
      <c r="B357" s="54" t="str">
        <f ca="1">'Translation Table'!H2077</f>
        <v>Sweetening: MDEA (Monodiethanolamine)</v>
      </c>
      <c r="C357" s="54" t="str">
        <f ca="1">'Translation Table'!H2077</f>
        <v>Sweetening: MDEA (Monodiethanolamine)</v>
      </c>
      <c r="D357" s="219">
        <v>2</v>
      </c>
      <c r="E357" s="221">
        <v>3</v>
      </c>
      <c r="F357" s="221"/>
      <c r="G357" s="221"/>
      <c r="H357" s="221">
        <v>0</v>
      </c>
      <c r="I357" s="221"/>
      <c r="J357" s="221"/>
      <c r="K357" s="219">
        <f t="shared" si="6"/>
        <v>60</v>
      </c>
      <c r="L357" s="219">
        <v>60</v>
      </c>
      <c r="M357" s="219"/>
      <c r="N357" s="219">
        <v>702</v>
      </c>
      <c r="O357" s="219">
        <v>2</v>
      </c>
      <c r="P357" s="221"/>
      <c r="Q357" s="221"/>
      <c r="R357" s="221"/>
      <c r="S357" s="221"/>
      <c r="T357" s="221"/>
      <c r="U357" s="221"/>
      <c r="V357" s="221">
        <v>13</v>
      </c>
      <c r="W357" s="220">
        <v>1</v>
      </c>
      <c r="X357" s="220">
        <v>3</v>
      </c>
      <c r="Y357" s="220"/>
      <c r="Z357" s="221">
        <v>3</v>
      </c>
      <c r="AA357" s="220" t="s">
        <v>517</v>
      </c>
    </row>
    <row r="358" spans="1:27" ht="16.5" customHeight="1" x14ac:dyDescent="0.3">
      <c r="A358" s="49"/>
      <c r="B358" s="130" t="str">
        <f ca="1">'Translation Table'!H2078</f>
        <v>Sweetening: MEA (Monoethanolamine)</v>
      </c>
      <c r="C358" s="54" t="str">
        <f ca="1">'Translation Table'!H2078</f>
        <v>Sweetening: MEA (Monoethanolamine)</v>
      </c>
      <c r="D358" s="219">
        <v>2</v>
      </c>
      <c r="E358" s="221">
        <v>3</v>
      </c>
      <c r="F358" s="221"/>
      <c r="G358" s="221"/>
      <c r="H358" s="221">
        <v>0</v>
      </c>
      <c r="I358" s="221"/>
      <c r="J358" s="221"/>
      <c r="K358" s="219">
        <f t="shared" si="6"/>
        <v>60</v>
      </c>
      <c r="L358" s="219">
        <v>60</v>
      </c>
      <c r="M358" s="219"/>
      <c r="N358" s="219">
        <v>702</v>
      </c>
      <c r="O358" s="219">
        <v>2</v>
      </c>
      <c r="P358" s="221"/>
      <c r="Q358" s="221"/>
      <c r="R358" s="221"/>
      <c r="S358" s="221"/>
      <c r="T358" s="221"/>
      <c r="U358" s="221"/>
      <c r="V358" s="221">
        <v>13</v>
      </c>
      <c r="W358" s="220">
        <v>1</v>
      </c>
      <c r="X358" s="220">
        <v>3</v>
      </c>
      <c r="Y358" s="220"/>
      <c r="Z358" s="221">
        <v>3</v>
      </c>
      <c r="AA358" s="220" t="s">
        <v>517</v>
      </c>
    </row>
    <row r="359" spans="1:27" ht="16.5" customHeight="1" x14ac:dyDescent="0.3">
      <c r="A359" s="49"/>
      <c r="B359" s="54" t="str">
        <f ca="1">'Translation Table'!H2079</f>
        <v>Sweetening: Selexol</v>
      </c>
      <c r="C359" s="54" t="str">
        <f ca="1">'Translation Table'!H2079</f>
        <v>Sweetening: Selexol</v>
      </c>
      <c r="D359" s="219">
        <v>4</v>
      </c>
      <c r="E359" s="221">
        <v>0</v>
      </c>
      <c r="F359" s="221"/>
      <c r="G359" s="221"/>
      <c r="H359" s="221">
        <v>0</v>
      </c>
      <c r="I359" s="221"/>
      <c r="J359" s="221"/>
      <c r="K359" s="219">
        <f t="shared" si="6"/>
        <v>104</v>
      </c>
      <c r="L359" s="219">
        <v>104</v>
      </c>
      <c r="M359" s="219"/>
      <c r="N359" s="219">
        <v>248</v>
      </c>
      <c r="O359" s="219">
        <v>2</v>
      </c>
      <c r="P359" s="221"/>
      <c r="Q359" s="221"/>
      <c r="R359" s="221"/>
      <c r="S359" s="221"/>
      <c r="T359" s="221"/>
      <c r="U359" s="221"/>
      <c r="V359" s="221">
        <v>6</v>
      </c>
      <c r="W359" s="220">
        <v>26</v>
      </c>
      <c r="X359" s="220">
        <v>62</v>
      </c>
      <c r="Y359" s="220"/>
      <c r="Z359" s="221">
        <v>3</v>
      </c>
      <c r="AA359" s="220" t="s">
        <v>517</v>
      </c>
    </row>
    <row r="360" spans="1:27" ht="16.5" customHeight="1" x14ac:dyDescent="0.3">
      <c r="A360" s="49"/>
      <c r="B360" s="130" t="str">
        <f ca="1">'Translation Table'!H2080</f>
        <v>Sweetening: Sulfacheck</v>
      </c>
      <c r="C360" s="54" t="str">
        <f ca="1">'Translation Table'!H2080</f>
        <v>Sweetening: Sulfacheck</v>
      </c>
      <c r="D360" s="219">
        <v>2</v>
      </c>
      <c r="E360" s="221">
        <v>3</v>
      </c>
      <c r="F360" s="221"/>
      <c r="G360" s="221"/>
      <c r="H360" s="221">
        <v>0</v>
      </c>
      <c r="I360" s="221"/>
      <c r="J360" s="221"/>
      <c r="K360" s="219">
        <f t="shared" si="6"/>
        <v>60</v>
      </c>
      <c r="L360" s="219">
        <v>60</v>
      </c>
      <c r="M360" s="219"/>
      <c r="N360" s="219">
        <v>702</v>
      </c>
      <c r="O360" s="219">
        <v>2</v>
      </c>
      <c r="P360" s="221"/>
      <c r="Q360" s="221"/>
      <c r="R360" s="221"/>
      <c r="S360" s="221"/>
      <c r="T360" s="221"/>
      <c r="U360" s="221"/>
      <c r="V360" s="221">
        <v>13</v>
      </c>
      <c r="W360" s="220">
        <v>1</v>
      </c>
      <c r="X360" s="220">
        <v>3</v>
      </c>
      <c r="Y360" s="220"/>
      <c r="Z360" s="221">
        <v>3</v>
      </c>
      <c r="AA360" s="220" t="s">
        <v>517</v>
      </c>
    </row>
    <row r="361" spans="1:27" ht="16.5" customHeight="1" x14ac:dyDescent="0.3">
      <c r="A361" s="49"/>
      <c r="B361" s="54" t="str">
        <f ca="1">'Translation Table'!H2081</f>
        <v>Sweetening: Sulfinol</v>
      </c>
      <c r="C361" s="54" t="str">
        <f ca="1">'Translation Table'!H2081</f>
        <v>Sweetening: Sulfinol</v>
      </c>
      <c r="D361" s="219">
        <v>2</v>
      </c>
      <c r="E361" s="221">
        <v>3</v>
      </c>
      <c r="F361" s="221"/>
      <c r="G361" s="221"/>
      <c r="H361" s="221">
        <v>0</v>
      </c>
      <c r="I361" s="221"/>
      <c r="J361" s="221"/>
      <c r="K361" s="219">
        <f t="shared" si="6"/>
        <v>60</v>
      </c>
      <c r="L361" s="219">
        <v>60</v>
      </c>
      <c r="M361" s="219"/>
      <c r="N361" s="219">
        <v>702</v>
      </c>
      <c r="O361" s="219">
        <v>2</v>
      </c>
      <c r="P361" s="221"/>
      <c r="Q361" s="221"/>
      <c r="R361" s="221"/>
      <c r="S361" s="221"/>
      <c r="T361" s="221"/>
      <c r="U361" s="221"/>
      <c r="V361" s="221">
        <v>12</v>
      </c>
      <c r="W361" s="220">
        <v>1</v>
      </c>
      <c r="X361" s="220">
        <v>3</v>
      </c>
      <c r="Y361" s="220"/>
      <c r="Z361" s="221">
        <v>3</v>
      </c>
      <c r="AA361" s="220" t="s">
        <v>517</v>
      </c>
    </row>
    <row r="362" spans="1:27" ht="16.5" customHeight="1" x14ac:dyDescent="0.3">
      <c r="A362" s="49"/>
      <c r="B362" s="130" t="str">
        <f ca="1">'Translation Table'!H2082</f>
        <v>Vapor Recovery Unit: Offshore</v>
      </c>
      <c r="C362" s="54" t="str">
        <f ca="1">'Translation Table'!H2082</f>
        <v>Vapor Recovery Unit: Offshore</v>
      </c>
      <c r="D362" s="219">
        <v>1</v>
      </c>
      <c r="E362" s="221">
        <v>8</v>
      </c>
      <c r="F362" s="221"/>
      <c r="G362" s="221"/>
      <c r="H362" s="221">
        <v>0</v>
      </c>
      <c r="I362" s="221"/>
      <c r="J362" s="221"/>
      <c r="K362" s="219">
        <f t="shared" si="6"/>
        <v>41</v>
      </c>
      <c r="L362" s="219">
        <v>41</v>
      </c>
      <c r="M362" s="219"/>
      <c r="N362" s="219">
        <v>162</v>
      </c>
      <c r="O362" s="219">
        <v>2</v>
      </c>
      <c r="P362" s="221"/>
      <c r="Q362" s="221"/>
      <c r="R362" s="221"/>
      <c r="S362" s="221"/>
      <c r="T362" s="221"/>
      <c r="U362" s="221"/>
      <c r="V362" s="221">
        <v>1</v>
      </c>
      <c r="W362" s="220">
        <v>0</v>
      </c>
      <c r="X362" s="220">
        <v>0</v>
      </c>
      <c r="Y362" s="220"/>
      <c r="Z362" s="221">
        <v>1</v>
      </c>
      <c r="AA362" s="220" t="s">
        <v>2081</v>
      </c>
    </row>
    <row r="363" spans="1:27" ht="16.5" customHeight="1" x14ac:dyDescent="0.3">
      <c r="A363" s="49"/>
      <c r="B363" s="54" t="str">
        <f ca="1">'Translation Table'!H2083</f>
        <v>Vapor Recovery Unit: Onshore</v>
      </c>
      <c r="C363" s="54" t="str">
        <f ca="1">'Translation Table'!H2083</f>
        <v>Vapor Recovery Unit: Onshore</v>
      </c>
      <c r="D363" s="219">
        <v>1</v>
      </c>
      <c r="E363" s="221">
        <v>3</v>
      </c>
      <c r="F363" s="221"/>
      <c r="G363" s="221"/>
      <c r="H363" s="221">
        <v>0</v>
      </c>
      <c r="I363" s="221"/>
      <c r="J363" s="221"/>
      <c r="K363" s="219">
        <f t="shared" si="6"/>
        <v>10</v>
      </c>
      <c r="L363" s="219">
        <v>10</v>
      </c>
      <c r="M363" s="219"/>
      <c r="N363" s="219">
        <v>78</v>
      </c>
      <c r="O363" s="219">
        <v>2</v>
      </c>
      <c r="P363" s="221"/>
      <c r="Q363" s="221"/>
      <c r="R363" s="221"/>
      <c r="S363" s="221"/>
      <c r="T363" s="221"/>
      <c r="U363" s="221"/>
      <c r="V363" s="221">
        <v>1</v>
      </c>
      <c r="W363" s="220">
        <v>0</v>
      </c>
      <c r="X363" s="220">
        <v>0</v>
      </c>
      <c r="Y363" s="220"/>
      <c r="Z363" s="221">
        <v>1</v>
      </c>
      <c r="AA363" s="220" t="s">
        <v>2081</v>
      </c>
    </row>
    <row r="364" spans="1:27" ht="16.5" customHeight="1" x14ac:dyDescent="0.3">
      <c r="A364" s="49"/>
      <c r="B364" s="130" t="str">
        <f ca="1">'Translation Table'!H2084</f>
        <v>Well: Conventional Oil</v>
      </c>
      <c r="C364" s="54" t="str">
        <f ca="1">'Translation Table'!H2084</f>
        <v>Well: Conventional Oil</v>
      </c>
      <c r="D364" s="219">
        <v>1</v>
      </c>
      <c r="E364" s="221">
        <v>2</v>
      </c>
      <c r="F364" s="221"/>
      <c r="G364" s="221"/>
      <c r="H364" s="221">
        <v>0</v>
      </c>
      <c r="I364" s="221"/>
      <c r="J364" s="221"/>
      <c r="K364" s="219">
        <f t="shared" si="6"/>
        <v>13</v>
      </c>
      <c r="L364" s="219">
        <v>13</v>
      </c>
      <c r="M364" s="219"/>
      <c r="N364" s="219">
        <v>53</v>
      </c>
      <c r="O364" s="219">
        <v>0</v>
      </c>
      <c r="P364" s="221"/>
      <c r="Q364" s="221"/>
      <c r="R364" s="221"/>
      <c r="S364" s="221"/>
      <c r="T364" s="221"/>
      <c r="U364" s="221"/>
      <c r="V364" s="221">
        <v>0</v>
      </c>
      <c r="W364" s="220">
        <v>0</v>
      </c>
      <c r="X364" s="220">
        <v>0</v>
      </c>
      <c r="Y364" s="220"/>
      <c r="Z364" s="221">
        <v>0</v>
      </c>
      <c r="AA364" s="220" t="s">
        <v>2082</v>
      </c>
    </row>
    <row r="365" spans="1:27" ht="16.5" customHeight="1" x14ac:dyDescent="0.3">
      <c r="A365" s="49"/>
      <c r="B365" s="54" t="str">
        <f ca="1">'Translation Table'!H2085</f>
        <v>Well: Conventional Oil (Gas Lift)</v>
      </c>
      <c r="C365" s="54" t="str">
        <f ca="1">'Translation Table'!H2085</f>
        <v>Well: Conventional Oil (Gas Lift)</v>
      </c>
      <c r="D365" s="219">
        <v>0</v>
      </c>
      <c r="E365" s="221">
        <v>1</v>
      </c>
      <c r="F365" s="221"/>
      <c r="G365" s="221"/>
      <c r="H365" s="221">
        <v>0</v>
      </c>
      <c r="I365" s="221"/>
      <c r="J365" s="221"/>
      <c r="K365" s="219">
        <f t="shared" si="6"/>
        <v>15</v>
      </c>
      <c r="L365" s="219">
        <f>6+9</f>
        <v>15</v>
      </c>
      <c r="M365" s="219"/>
      <c r="N365" s="219">
        <f>17+21</f>
        <v>38</v>
      </c>
      <c r="O365" s="219">
        <v>0</v>
      </c>
      <c r="P365" s="221"/>
      <c r="Q365" s="221"/>
      <c r="R365" s="221"/>
      <c r="S365" s="221"/>
      <c r="T365" s="221"/>
      <c r="U365" s="221"/>
      <c r="V365" s="221">
        <v>0</v>
      </c>
      <c r="W365" s="220">
        <v>0</v>
      </c>
      <c r="X365" s="220">
        <v>0</v>
      </c>
      <c r="Y365" s="220"/>
      <c r="Z365" s="221">
        <v>0</v>
      </c>
      <c r="AA365" s="691" t="s">
        <v>2474</v>
      </c>
    </row>
    <row r="366" spans="1:27" ht="16.5" customHeight="1" x14ac:dyDescent="0.3">
      <c r="A366" s="49"/>
      <c r="B366" s="130" t="str">
        <f ca="1">'Translation Table'!H2086</f>
        <v>Well: Gas</v>
      </c>
      <c r="C366" s="54" t="str">
        <f ca="1">'Translation Table'!H2086</f>
        <v>Well: Gas</v>
      </c>
      <c r="D366" s="219">
        <v>0</v>
      </c>
      <c r="E366" s="221">
        <v>3</v>
      </c>
      <c r="F366" s="221"/>
      <c r="G366" s="221"/>
      <c r="H366" s="221">
        <v>0</v>
      </c>
      <c r="I366" s="221"/>
      <c r="J366" s="221"/>
      <c r="K366" s="219">
        <f t="shared" si="6"/>
        <v>16</v>
      </c>
      <c r="L366" s="219">
        <v>16</v>
      </c>
      <c r="M366" s="219"/>
      <c r="N366" s="219">
        <v>60</v>
      </c>
      <c r="O366" s="219">
        <v>2</v>
      </c>
      <c r="P366" s="221"/>
      <c r="Q366" s="221"/>
      <c r="R366" s="221"/>
      <c r="S366" s="221"/>
      <c r="T366" s="221"/>
      <c r="U366" s="221"/>
      <c r="V366" s="221">
        <v>1</v>
      </c>
      <c r="W366" s="220">
        <v>0</v>
      </c>
      <c r="X366" s="220">
        <v>0</v>
      </c>
      <c r="Y366" s="220"/>
      <c r="Z366" s="221">
        <v>0</v>
      </c>
      <c r="AA366" s="220" t="s">
        <v>2081</v>
      </c>
    </row>
    <row r="367" spans="1:27" ht="16.5" customHeight="1" x14ac:dyDescent="0.3">
      <c r="A367" s="49"/>
      <c r="B367" s="54" t="str">
        <f ca="1">'Translation Table'!H2087</f>
        <v>Well: Gas (Low-Pressure)</v>
      </c>
      <c r="C367" s="54" t="str">
        <f ca="1">'Translation Table'!H2087</f>
        <v>Well: Gas (Low-Pressure)</v>
      </c>
      <c r="D367" s="219">
        <v>0</v>
      </c>
      <c r="E367" s="221">
        <v>3</v>
      </c>
      <c r="F367" s="221"/>
      <c r="G367" s="221"/>
      <c r="H367" s="221"/>
      <c r="I367" s="221"/>
      <c r="J367" s="221"/>
      <c r="K367" s="219">
        <f t="shared" si="6"/>
        <v>16</v>
      </c>
      <c r="L367" s="219">
        <v>16</v>
      </c>
      <c r="M367" s="219"/>
      <c r="N367" s="219">
        <v>60</v>
      </c>
      <c r="O367" s="219">
        <v>2</v>
      </c>
      <c r="P367" s="221"/>
      <c r="Q367" s="221"/>
      <c r="R367" s="221"/>
      <c r="S367" s="221"/>
      <c r="T367" s="221"/>
      <c r="U367" s="221"/>
      <c r="V367" s="221">
        <v>1</v>
      </c>
      <c r="W367" s="220">
        <v>0</v>
      </c>
      <c r="X367" s="220">
        <v>0</v>
      </c>
      <c r="Y367" s="220"/>
      <c r="Z367" s="221">
        <v>0</v>
      </c>
      <c r="AA367" s="220" t="s">
        <v>2081</v>
      </c>
    </row>
    <row r="368" spans="1:27" ht="16.5" customHeight="1" x14ac:dyDescent="0.3">
      <c r="A368" s="49"/>
      <c r="B368" s="130" t="str">
        <f ca="1">'Translation Table'!H2088</f>
        <v>Well: Heavy Oil</v>
      </c>
      <c r="C368" s="54" t="str">
        <f ca="1">'Translation Table'!H2088</f>
        <v>Well: Heavy Oil</v>
      </c>
      <c r="D368" s="219">
        <v>0</v>
      </c>
      <c r="E368" s="221">
        <v>3</v>
      </c>
      <c r="F368" s="221"/>
      <c r="G368" s="221"/>
      <c r="H368" s="221">
        <v>0</v>
      </c>
      <c r="I368" s="221"/>
      <c r="J368" s="221"/>
      <c r="K368" s="219">
        <f t="shared" si="6"/>
        <v>8</v>
      </c>
      <c r="L368" s="219">
        <v>8</v>
      </c>
      <c r="M368" s="219"/>
      <c r="N368" s="219">
        <v>44</v>
      </c>
      <c r="O368" s="219">
        <v>0</v>
      </c>
      <c r="P368" s="221"/>
      <c r="Q368" s="221"/>
      <c r="R368" s="221"/>
      <c r="S368" s="221"/>
      <c r="T368" s="221"/>
      <c r="U368" s="221"/>
      <c r="V368" s="221">
        <v>0</v>
      </c>
      <c r="W368" s="220">
        <v>0</v>
      </c>
      <c r="X368" s="220">
        <v>0</v>
      </c>
      <c r="Y368" s="220"/>
      <c r="Z368" s="221">
        <v>0</v>
      </c>
      <c r="AA368" s="220" t="s">
        <v>2082</v>
      </c>
    </row>
    <row r="369" spans="1:29" ht="16.5" customHeight="1" x14ac:dyDescent="0.3">
      <c r="A369" s="667" t="str">
        <f ca="1">'Translation Table'!H1721</f>
        <v>Gas Processing</v>
      </c>
      <c r="B369" s="54" t="str">
        <f ca="1">'Translation Table'!H2089</f>
        <v>Blowdown System: Generic (Pit or Vent)</v>
      </c>
      <c r="C369" s="54" t="str">
        <f ca="1">'Translation Table'!H2089</f>
        <v>Blowdown System: Generic (Pit or Vent)</v>
      </c>
      <c r="D369" s="219">
        <v>0</v>
      </c>
      <c r="E369" s="221">
        <v>0</v>
      </c>
      <c r="F369" s="221"/>
      <c r="G369" s="221"/>
      <c r="H369" s="221">
        <v>1</v>
      </c>
      <c r="I369" s="221"/>
      <c r="J369" s="221"/>
      <c r="K369" s="219">
        <f t="shared" si="6"/>
        <v>2</v>
      </c>
      <c r="L369" s="219">
        <v>1</v>
      </c>
      <c r="M369" s="219">
        <v>1</v>
      </c>
      <c r="N369" s="219">
        <v>2</v>
      </c>
      <c r="O369" s="219"/>
      <c r="P369" s="221"/>
      <c r="Q369" s="221"/>
      <c r="R369" s="221"/>
      <c r="S369" s="221"/>
      <c r="T369" s="221"/>
      <c r="U369" s="221"/>
      <c r="V369" s="221">
        <v>1</v>
      </c>
      <c r="W369" s="220"/>
      <c r="X369" s="220"/>
      <c r="Y369" s="220"/>
      <c r="Z369" s="221">
        <v>0</v>
      </c>
      <c r="AA369" s="220" t="s">
        <v>2474</v>
      </c>
      <c r="AC369" s="46">
        <v>0</v>
      </c>
    </row>
    <row r="370" spans="1:29" ht="16.5" customHeight="1" x14ac:dyDescent="0.3">
      <c r="A370" s="667"/>
      <c r="B370" s="130" t="str">
        <f ca="1">'Translation Table'!H2090</f>
        <v>Aerial Cooler: Natural Gas Service</v>
      </c>
      <c r="C370" s="54" t="str">
        <f ca="1">'Translation Table'!H2090</f>
        <v>Aerial Cooler: Natural Gas Service</v>
      </c>
      <c r="D370" s="219">
        <v>0</v>
      </c>
      <c r="E370" s="219">
        <v>0</v>
      </c>
      <c r="F370" s="219"/>
      <c r="G370" s="219"/>
      <c r="H370" s="219">
        <v>0</v>
      </c>
      <c r="I370" s="219"/>
      <c r="J370" s="219"/>
      <c r="K370" s="219">
        <f t="shared" si="6"/>
        <v>4</v>
      </c>
      <c r="L370" s="219">
        <v>4</v>
      </c>
      <c r="M370" s="219"/>
      <c r="N370" s="219">
        <v>428</v>
      </c>
      <c r="O370" s="219"/>
      <c r="P370" s="219"/>
      <c r="Q370" s="219"/>
      <c r="R370" s="219"/>
      <c r="S370" s="219"/>
      <c r="T370" s="219"/>
      <c r="U370" s="219"/>
      <c r="V370" s="219">
        <v>1</v>
      </c>
      <c r="W370" s="219"/>
      <c r="X370" s="219"/>
      <c r="Y370" s="219"/>
      <c r="Z370" s="219">
        <v>0</v>
      </c>
      <c r="AA370" s="220" t="s">
        <v>2474</v>
      </c>
    </row>
    <row r="371" spans="1:29" ht="16.5" customHeight="1" x14ac:dyDescent="0.3">
      <c r="A371" s="667"/>
      <c r="B371" s="54" t="str">
        <f ca="1">'Translation Table'!H2091</f>
        <v>Aerial Cooler: Hydrocarbon Liquid Service</v>
      </c>
      <c r="C371" s="54" t="str">
        <f ca="1">'Translation Table'!H2091</f>
        <v>Aerial Cooler: Hydrocarbon Liquid Service</v>
      </c>
      <c r="D371" s="219">
        <v>0</v>
      </c>
      <c r="E371" s="219">
        <v>0</v>
      </c>
      <c r="F371" s="219"/>
      <c r="G371" s="219"/>
      <c r="H371" s="219">
        <v>0</v>
      </c>
      <c r="I371" s="219"/>
      <c r="J371" s="219"/>
      <c r="K371" s="219">
        <f t="shared" si="6"/>
        <v>0</v>
      </c>
      <c r="L371" s="219"/>
      <c r="M371" s="219"/>
      <c r="N371" s="219"/>
      <c r="O371" s="219"/>
      <c r="P371" s="219"/>
      <c r="Q371" s="219"/>
      <c r="R371" s="219"/>
      <c r="S371" s="219"/>
      <c r="T371" s="219"/>
      <c r="U371" s="219"/>
      <c r="V371" s="219">
        <v>1</v>
      </c>
      <c r="W371" s="219">
        <v>4</v>
      </c>
      <c r="X371" s="219">
        <v>428</v>
      </c>
      <c r="Y371" s="219"/>
      <c r="Z371" s="219">
        <v>0</v>
      </c>
      <c r="AA371" s="220" t="s">
        <v>2474</v>
      </c>
    </row>
    <row r="372" spans="1:29" ht="16.5" customHeight="1" x14ac:dyDescent="0.3">
      <c r="A372" s="49"/>
      <c r="B372" s="130" t="str">
        <f ca="1">'Translation Table'!H2092</f>
        <v>Chemical Injection Pump: Pneumatic (Diaphragm Type)</v>
      </c>
      <c r="C372" s="54" t="str">
        <f ca="1">'Translation Table'!H2092</f>
        <v>Chemical Injection Pump: Pneumatic (Diaphragm Type)</v>
      </c>
      <c r="D372" s="219">
        <v>0</v>
      </c>
      <c r="E372" s="221">
        <v>1</v>
      </c>
      <c r="F372" s="221"/>
      <c r="G372" s="221"/>
      <c r="H372" s="221">
        <v>0</v>
      </c>
      <c r="I372" s="221"/>
      <c r="J372" s="221"/>
      <c r="K372" s="219">
        <f t="shared" si="6"/>
        <v>1</v>
      </c>
      <c r="L372" s="219">
        <v>1</v>
      </c>
      <c r="M372" s="219">
        <v>0</v>
      </c>
      <c r="N372" s="219">
        <v>6</v>
      </c>
      <c r="O372" s="219">
        <v>1</v>
      </c>
      <c r="P372" s="221"/>
      <c r="Q372" s="221"/>
      <c r="R372" s="221"/>
      <c r="S372" s="221"/>
      <c r="T372" s="221"/>
      <c r="U372" s="221"/>
      <c r="V372" s="221">
        <v>0</v>
      </c>
      <c r="W372" s="220">
        <v>0</v>
      </c>
      <c r="X372" s="220">
        <v>0</v>
      </c>
      <c r="Y372" s="220"/>
      <c r="Z372" s="221">
        <v>0</v>
      </c>
      <c r="AA372" s="220" t="s">
        <v>269</v>
      </c>
      <c r="AC372" s="46">
        <v>0</v>
      </c>
    </row>
    <row r="373" spans="1:29" ht="16.5" customHeight="1" x14ac:dyDescent="0.3">
      <c r="A373" s="49"/>
      <c r="B373" s="54" t="str">
        <f ca="1">'Translation Table'!H2093</f>
        <v>Chemical Injection Pump: Pneumatic (Piston Type)</v>
      </c>
      <c r="C373" s="54" t="str">
        <f ca="1">'Translation Table'!H2093</f>
        <v>Chemical Injection Pump: Pneumatic (Piston Type)</v>
      </c>
      <c r="D373" s="219">
        <v>0</v>
      </c>
      <c r="E373" s="221">
        <v>1</v>
      </c>
      <c r="F373" s="221"/>
      <c r="G373" s="221"/>
      <c r="H373" s="221">
        <v>0</v>
      </c>
      <c r="I373" s="221"/>
      <c r="J373" s="221"/>
      <c r="K373" s="219">
        <f t="shared" si="6"/>
        <v>1</v>
      </c>
      <c r="L373" s="219">
        <v>1</v>
      </c>
      <c r="M373" s="219"/>
      <c r="N373" s="219">
        <v>6</v>
      </c>
      <c r="O373" s="219">
        <v>1</v>
      </c>
      <c r="P373" s="221"/>
      <c r="Q373" s="221"/>
      <c r="R373" s="221"/>
      <c r="S373" s="221"/>
      <c r="T373" s="221"/>
      <c r="U373" s="221"/>
      <c r="V373" s="221">
        <v>0</v>
      </c>
      <c r="W373" s="220">
        <v>0</v>
      </c>
      <c r="X373" s="220">
        <v>0</v>
      </c>
      <c r="Y373" s="220"/>
      <c r="Z373" s="221">
        <v>0</v>
      </c>
      <c r="AA373" s="220" t="s">
        <v>269</v>
      </c>
      <c r="AC373" s="46">
        <v>0</v>
      </c>
    </row>
    <row r="374" spans="1:29" ht="16.5" customHeight="1" x14ac:dyDescent="0.3">
      <c r="A374" s="49"/>
      <c r="B374" s="130" t="str">
        <f ca="1">'Translation Table'!H2094</f>
        <v>Chemical Injection Pump: Pneumatic (Unknown Type)</v>
      </c>
      <c r="C374" s="54" t="str">
        <f ca="1">'Translation Table'!H2094</f>
        <v>Chemical Injection Pump: Pneumatic (Unknown Type)</v>
      </c>
      <c r="D374" s="219">
        <v>0</v>
      </c>
      <c r="E374" s="221">
        <v>1</v>
      </c>
      <c r="F374" s="221"/>
      <c r="G374" s="221"/>
      <c r="H374" s="221">
        <v>0</v>
      </c>
      <c r="I374" s="221"/>
      <c r="J374" s="221"/>
      <c r="K374" s="219">
        <f t="shared" si="6"/>
        <v>1</v>
      </c>
      <c r="L374" s="219">
        <v>1</v>
      </c>
      <c r="M374" s="219"/>
      <c r="N374" s="219">
        <v>6</v>
      </c>
      <c r="O374" s="219">
        <v>1</v>
      </c>
      <c r="P374" s="221"/>
      <c r="Q374" s="221"/>
      <c r="R374" s="221"/>
      <c r="S374" s="221"/>
      <c r="T374" s="221"/>
      <c r="U374" s="221"/>
      <c r="V374" s="221">
        <v>0</v>
      </c>
      <c r="W374" s="220">
        <v>0</v>
      </c>
      <c r="X374" s="220">
        <v>0</v>
      </c>
      <c r="Y374" s="220"/>
      <c r="Z374" s="221">
        <v>0</v>
      </c>
      <c r="AA374" s="220" t="s">
        <v>269</v>
      </c>
      <c r="AC374" s="46">
        <v>0</v>
      </c>
    </row>
    <row r="375" spans="1:29" ht="16.5" customHeight="1" x14ac:dyDescent="0.3">
      <c r="A375" s="49"/>
      <c r="B375" s="54" t="str">
        <f ca="1">'Translation Table'!H2095</f>
        <v>Compressor: Centrifugal: (Stages: 1) (Seals: Wet) (Driver: Electric Motor)</v>
      </c>
      <c r="C375" s="54" t="str">
        <f ca="1">'Translation Table'!H2095</f>
        <v>Compressor: Centrifugal: (Stages: 1) (Seals: Wet) (Driver: Electric Motor)</v>
      </c>
      <c r="D375" s="219">
        <v>1</v>
      </c>
      <c r="E375" s="221">
        <v>3</v>
      </c>
      <c r="F375" s="221"/>
      <c r="G375" s="221"/>
      <c r="H375" s="221">
        <v>2.25</v>
      </c>
      <c r="I375" s="221"/>
      <c r="J375" s="221"/>
      <c r="K375" s="219">
        <f t="shared" si="6"/>
        <v>48.75</v>
      </c>
      <c r="L375" s="219">
        <v>42.5</v>
      </c>
      <c r="M375" s="219">
        <v>6.25</v>
      </c>
      <c r="N375" s="219">
        <v>1415.25</v>
      </c>
      <c r="O375" s="219">
        <v>1</v>
      </c>
      <c r="P375" s="221"/>
      <c r="Q375" s="221">
        <v>2</v>
      </c>
      <c r="R375" s="221"/>
      <c r="S375" s="221"/>
      <c r="T375" s="221">
        <v>1</v>
      </c>
      <c r="U375" s="221"/>
      <c r="V375" s="221">
        <v>1</v>
      </c>
      <c r="W375" s="220">
        <v>3</v>
      </c>
      <c r="X375" s="220">
        <v>8</v>
      </c>
      <c r="Y375" s="220"/>
      <c r="Z375" s="221">
        <v>1</v>
      </c>
      <c r="AA375" s="220" t="s">
        <v>2474</v>
      </c>
      <c r="AC375" s="46">
        <v>0</v>
      </c>
    </row>
    <row r="376" spans="1:29" ht="16.5" customHeight="1" x14ac:dyDescent="0.3">
      <c r="A376" s="49"/>
      <c r="B376" s="130" t="str">
        <f ca="1">'Translation Table'!H2096</f>
        <v>Compressor: Centrifugal: (Stages: 1) (Seals: Wet) (Driver: Gas Turbine)</v>
      </c>
      <c r="C376" s="54" t="str">
        <f ca="1">'Translation Table'!H2096</f>
        <v>Compressor: Centrifugal: (Stages: 1) (Seals: Wet) (Driver: Gas Turbine)</v>
      </c>
      <c r="D376" s="219">
        <v>2.29</v>
      </c>
      <c r="E376" s="221">
        <v>3.43</v>
      </c>
      <c r="F376" s="221"/>
      <c r="G376" s="221"/>
      <c r="H376" s="221">
        <v>2.25</v>
      </c>
      <c r="I376" s="221"/>
      <c r="J376" s="221"/>
      <c r="K376" s="219">
        <f t="shared" si="6"/>
        <v>68.61</v>
      </c>
      <c r="L376" s="219">
        <v>62.36</v>
      </c>
      <c r="M376" s="219">
        <v>6.25</v>
      </c>
      <c r="N376" s="219">
        <v>1510.96</v>
      </c>
      <c r="O376" s="219">
        <v>5</v>
      </c>
      <c r="P376" s="221"/>
      <c r="Q376" s="221">
        <v>2</v>
      </c>
      <c r="R376" s="221"/>
      <c r="S376" s="221"/>
      <c r="T376" s="221">
        <v>1</v>
      </c>
      <c r="U376" s="221"/>
      <c r="V376" s="221">
        <v>5</v>
      </c>
      <c r="W376" s="220">
        <v>5</v>
      </c>
      <c r="X376" s="220">
        <v>11</v>
      </c>
      <c r="Y376" s="220"/>
      <c r="Z376" s="221">
        <v>2</v>
      </c>
      <c r="AA376" s="220" t="s">
        <v>2474</v>
      </c>
      <c r="AC376" s="46">
        <v>0</v>
      </c>
    </row>
    <row r="377" spans="1:29" ht="16.5" customHeight="1" x14ac:dyDescent="0.3">
      <c r="A377" s="49"/>
      <c r="B377" s="54" t="str">
        <f ca="1">'Translation Table'!H2097</f>
        <v>Compressor: Centrifugal: (Stages: 2) (Seals: Wet) (Driver: Electric Motor)</v>
      </c>
      <c r="C377" s="54" t="str">
        <f ca="1">'Translation Table'!H2097</f>
        <v>Compressor: Centrifugal: (Stages: 2) (Seals: Wet) (Driver: Electric Motor)</v>
      </c>
      <c r="D377" s="219">
        <v>2</v>
      </c>
      <c r="E377" s="221">
        <v>4.5</v>
      </c>
      <c r="F377" s="221"/>
      <c r="G377" s="221"/>
      <c r="H377" s="221">
        <v>3.25</v>
      </c>
      <c r="I377" s="221"/>
      <c r="J377" s="221"/>
      <c r="K377" s="219">
        <f t="shared" si="6"/>
        <v>76.5</v>
      </c>
      <c r="L377" s="219">
        <v>69.25</v>
      </c>
      <c r="M377" s="219">
        <v>7.25</v>
      </c>
      <c r="N377" s="219">
        <v>2736.75</v>
      </c>
      <c r="O377" s="219">
        <v>1</v>
      </c>
      <c r="P377" s="221"/>
      <c r="Q377" s="221">
        <v>4</v>
      </c>
      <c r="R377" s="221"/>
      <c r="S377" s="221"/>
      <c r="T377" s="221">
        <v>1</v>
      </c>
      <c r="U377" s="221"/>
      <c r="V377" s="221">
        <v>5</v>
      </c>
      <c r="W377" s="220">
        <v>6</v>
      </c>
      <c r="X377" s="220">
        <v>16</v>
      </c>
      <c r="Y377" s="220"/>
      <c r="Z377" s="221">
        <v>2</v>
      </c>
      <c r="AA377" s="220" t="s">
        <v>2474</v>
      </c>
      <c r="AC377" s="46">
        <v>0</v>
      </c>
    </row>
    <row r="378" spans="1:29" ht="16.5" customHeight="1" x14ac:dyDescent="0.3">
      <c r="A378" s="49"/>
      <c r="B378" s="130" t="str">
        <f ca="1">'Translation Table'!H2098</f>
        <v>Compressor: Centrifugal: (Stages: 2) (Seals: Wet) (Driver: Gas Turbine)</v>
      </c>
      <c r="C378" s="54" t="str">
        <f ca="1">'Translation Table'!H2098</f>
        <v>Compressor: Centrifugal: (Stages: 2) (Seals: Wet) (Driver: Gas Turbine)</v>
      </c>
      <c r="D378" s="219">
        <v>5</v>
      </c>
      <c r="E378" s="221">
        <v>4.93</v>
      </c>
      <c r="F378" s="221"/>
      <c r="G378" s="221"/>
      <c r="H378" s="221">
        <v>3.25</v>
      </c>
      <c r="I378" s="221"/>
      <c r="J378" s="221"/>
      <c r="K378" s="219">
        <f t="shared" si="6"/>
        <v>96.46</v>
      </c>
      <c r="L378" s="219">
        <v>89.11</v>
      </c>
      <c r="M378" s="219">
        <v>7.35</v>
      </c>
      <c r="N378" s="219">
        <v>2832.46</v>
      </c>
      <c r="O378" s="219">
        <v>5</v>
      </c>
      <c r="P378" s="221"/>
      <c r="Q378" s="221">
        <v>4</v>
      </c>
      <c r="R378" s="221"/>
      <c r="S378" s="221"/>
      <c r="T378" s="221"/>
      <c r="U378" s="221"/>
      <c r="V378" s="221">
        <v>5</v>
      </c>
      <c r="W378" s="220">
        <v>6</v>
      </c>
      <c r="X378" s="220">
        <v>16</v>
      </c>
      <c r="Y378" s="220"/>
      <c r="Z378" s="221">
        <v>3</v>
      </c>
      <c r="AA378" s="220" t="s">
        <v>2474</v>
      </c>
      <c r="AC378" s="46">
        <v>0</v>
      </c>
    </row>
    <row r="379" spans="1:29" ht="16.5" customHeight="1" x14ac:dyDescent="0.3">
      <c r="A379" s="49"/>
      <c r="B379" s="54" t="str">
        <f ca="1">'Translation Table'!H2099</f>
        <v>Compressor: Centrifugal: (Stages: 1) (Seals: Dry) (Driver: Electric Motor)</v>
      </c>
      <c r="C379" s="54" t="str">
        <f ca="1">'Translation Table'!H2099</f>
        <v>Compressor: Centrifugal: (Stages: 1) (Seals: Dry) (Driver: Electric Motor)</v>
      </c>
      <c r="D379" s="219">
        <v>1</v>
      </c>
      <c r="E379" s="221">
        <v>3</v>
      </c>
      <c r="F379" s="221"/>
      <c r="G379" s="221"/>
      <c r="H379" s="221">
        <v>2.25</v>
      </c>
      <c r="I379" s="221"/>
      <c r="J379" s="221"/>
      <c r="K379" s="219">
        <f t="shared" si="6"/>
        <v>48.75</v>
      </c>
      <c r="L379" s="219">
        <v>42.5</v>
      </c>
      <c r="M379" s="219">
        <v>6.25</v>
      </c>
      <c r="N379" s="219">
        <v>1415.25</v>
      </c>
      <c r="O379" s="219">
        <v>1</v>
      </c>
      <c r="P379" s="221"/>
      <c r="Q379" s="221"/>
      <c r="R379" s="221">
        <v>2</v>
      </c>
      <c r="S379" s="221"/>
      <c r="T379" s="221">
        <v>1</v>
      </c>
      <c r="U379" s="221"/>
      <c r="V379" s="221">
        <v>1</v>
      </c>
      <c r="W379" s="220">
        <v>3</v>
      </c>
      <c r="X379" s="220">
        <v>8</v>
      </c>
      <c r="Y379" s="220"/>
      <c r="Z379" s="221">
        <v>1</v>
      </c>
      <c r="AA379" s="220" t="s">
        <v>2474</v>
      </c>
      <c r="AC379" s="46">
        <v>0</v>
      </c>
    </row>
    <row r="380" spans="1:29" ht="16.5" customHeight="1" x14ac:dyDescent="0.3">
      <c r="A380" s="49"/>
      <c r="B380" s="130" t="str">
        <f ca="1">'Translation Table'!H2100</f>
        <v>Compressor: Centrifugal: (Stages: 1) (Seals: Dry) (Driver: Gas Turbine)</v>
      </c>
      <c r="C380" s="54" t="str">
        <f ca="1">'Translation Table'!H2100</f>
        <v>Compressor: Centrifugal: (Stages: 1) (Seals: Dry) (Driver: Gas Turbine)</v>
      </c>
      <c r="D380" s="219">
        <v>2.29</v>
      </c>
      <c r="E380" s="221">
        <v>3.43</v>
      </c>
      <c r="F380" s="221"/>
      <c r="G380" s="221"/>
      <c r="H380" s="221">
        <v>2.25</v>
      </c>
      <c r="I380" s="221"/>
      <c r="J380" s="221"/>
      <c r="K380" s="219">
        <f t="shared" si="6"/>
        <v>68.61</v>
      </c>
      <c r="L380" s="219">
        <v>62.36</v>
      </c>
      <c r="M380" s="219">
        <v>6.25</v>
      </c>
      <c r="N380" s="219">
        <v>1510.96</v>
      </c>
      <c r="O380" s="219">
        <v>5</v>
      </c>
      <c r="P380" s="221"/>
      <c r="Q380" s="221"/>
      <c r="R380" s="221">
        <v>2</v>
      </c>
      <c r="S380" s="221"/>
      <c r="T380" s="221">
        <v>1</v>
      </c>
      <c r="U380" s="221"/>
      <c r="V380" s="221">
        <v>5</v>
      </c>
      <c r="W380" s="220">
        <v>5</v>
      </c>
      <c r="X380" s="220">
        <v>11</v>
      </c>
      <c r="Y380" s="220"/>
      <c r="Z380" s="221">
        <v>2</v>
      </c>
      <c r="AA380" s="220" t="s">
        <v>2474</v>
      </c>
      <c r="AC380" s="46">
        <v>0</v>
      </c>
    </row>
    <row r="381" spans="1:29" ht="16.5" customHeight="1" x14ac:dyDescent="0.3">
      <c r="A381" s="49"/>
      <c r="B381" s="54" t="str">
        <f ca="1">'Translation Table'!H2101</f>
        <v>Compressor: Centrifugal: (Stages: 2) (Seals: Dry) (Driver: Electric Motor)</v>
      </c>
      <c r="C381" s="54" t="str">
        <f ca="1">'Translation Table'!H2101</f>
        <v>Compressor: Centrifugal: (Stages: 2) (Seals: Dry) (Driver: Electric Motor)</v>
      </c>
      <c r="D381" s="219">
        <v>2</v>
      </c>
      <c r="E381" s="221">
        <v>4.5</v>
      </c>
      <c r="F381" s="221"/>
      <c r="G381" s="221"/>
      <c r="H381" s="221">
        <v>3.25</v>
      </c>
      <c r="I381" s="221"/>
      <c r="J381" s="221"/>
      <c r="K381" s="219">
        <f t="shared" si="6"/>
        <v>76.5</v>
      </c>
      <c r="L381" s="219">
        <v>69.25</v>
      </c>
      <c r="M381" s="219">
        <v>7.25</v>
      </c>
      <c r="N381" s="219">
        <v>2736.75</v>
      </c>
      <c r="O381" s="219">
        <v>1</v>
      </c>
      <c r="P381" s="221"/>
      <c r="Q381" s="221"/>
      <c r="R381" s="221">
        <v>4</v>
      </c>
      <c r="S381" s="221"/>
      <c r="T381" s="221">
        <v>1</v>
      </c>
      <c r="U381" s="221"/>
      <c r="V381" s="221">
        <v>5</v>
      </c>
      <c r="W381" s="220">
        <v>6</v>
      </c>
      <c r="X381" s="220">
        <v>16</v>
      </c>
      <c r="Y381" s="220"/>
      <c r="Z381" s="221">
        <v>2</v>
      </c>
      <c r="AA381" s="220" t="s">
        <v>2474</v>
      </c>
      <c r="AC381" s="46">
        <v>0</v>
      </c>
    </row>
    <row r="382" spans="1:29" ht="16.5" customHeight="1" x14ac:dyDescent="0.3">
      <c r="A382" s="49"/>
      <c r="B382" s="130" t="str">
        <f ca="1">'Translation Table'!H2102</f>
        <v>Compressor: Centrifugal: (Stages: 2) (Seals: Dry) (Driver: Gas Turbine)</v>
      </c>
      <c r="C382" s="54" t="str">
        <f ca="1">'Translation Table'!H2102</f>
        <v>Compressor: Centrifugal: (Stages: 2) (Seals: Dry) (Driver: Gas Turbine)</v>
      </c>
      <c r="D382" s="219">
        <v>5</v>
      </c>
      <c r="E382" s="221">
        <v>4.93</v>
      </c>
      <c r="F382" s="221"/>
      <c r="G382" s="221"/>
      <c r="H382" s="221">
        <v>3.25</v>
      </c>
      <c r="I382" s="221"/>
      <c r="J382" s="221"/>
      <c r="K382" s="219">
        <f t="shared" si="6"/>
        <v>96.46</v>
      </c>
      <c r="L382" s="219">
        <v>89.11</v>
      </c>
      <c r="M382" s="219">
        <v>7.35</v>
      </c>
      <c r="N382" s="219">
        <v>2832.46</v>
      </c>
      <c r="O382" s="219">
        <v>5</v>
      </c>
      <c r="P382" s="221"/>
      <c r="Q382" s="221"/>
      <c r="R382" s="221">
        <v>4</v>
      </c>
      <c r="S382" s="221"/>
      <c r="T382" s="221"/>
      <c r="U382" s="221"/>
      <c r="V382" s="221">
        <v>5</v>
      </c>
      <c r="W382" s="220">
        <v>6</v>
      </c>
      <c r="X382" s="220">
        <v>16</v>
      </c>
      <c r="Y382" s="220"/>
      <c r="Z382" s="221">
        <v>3</v>
      </c>
      <c r="AA382" s="220" t="s">
        <v>2474</v>
      </c>
      <c r="AC382" s="46">
        <v>0</v>
      </c>
    </row>
    <row r="383" spans="1:29" ht="16.5" customHeight="1" x14ac:dyDescent="0.3">
      <c r="A383" s="49"/>
      <c r="B383" s="54" t="str">
        <f ca="1">'Translation Table'!H2103</f>
        <v>Compressor: Reciprocating: (Stages: 1) (Driver: Electric Motor)</v>
      </c>
      <c r="C383" s="54" t="str">
        <f ca="1">'Translation Table'!H2103</f>
        <v>Compressor: Reciprocating: (Stages: 1) (Driver: Electric Motor)</v>
      </c>
      <c r="D383" s="219">
        <v>3</v>
      </c>
      <c r="E383" s="221">
        <v>3</v>
      </c>
      <c r="F383" s="221"/>
      <c r="G383" s="221"/>
      <c r="H383" s="221">
        <v>0</v>
      </c>
      <c r="I383" s="221"/>
      <c r="J383" s="221"/>
      <c r="K383" s="219">
        <f t="shared" si="6"/>
        <v>38.17</v>
      </c>
      <c r="L383" s="219">
        <v>33.5</v>
      </c>
      <c r="M383" s="219">
        <v>4.67</v>
      </c>
      <c r="N383" s="219">
        <v>489.83</v>
      </c>
      <c r="O383" s="219">
        <v>1.33</v>
      </c>
      <c r="P383" s="221">
        <v>4</v>
      </c>
      <c r="Q383" s="221"/>
      <c r="R383" s="221"/>
      <c r="S383" s="221">
        <v>1</v>
      </c>
      <c r="T383" s="221">
        <v>1</v>
      </c>
      <c r="U383" s="221">
        <v>0</v>
      </c>
      <c r="V383" s="221">
        <v>3</v>
      </c>
      <c r="W383" s="220">
        <v>4</v>
      </c>
      <c r="X383" s="220">
        <v>20</v>
      </c>
      <c r="Y383" s="220"/>
      <c r="Z383" s="221">
        <v>1</v>
      </c>
      <c r="AA383" s="220" t="s">
        <v>2474</v>
      </c>
      <c r="AC383" s="46">
        <v>0</v>
      </c>
    </row>
    <row r="384" spans="1:29" ht="16.5" customHeight="1" x14ac:dyDescent="0.3">
      <c r="A384" s="49"/>
      <c r="B384" s="130" t="str">
        <f ca="1">'Translation Table'!H2104</f>
        <v>Compressor: Reciprocating: (Stages: 1) (Driver: Recip Engine)</v>
      </c>
      <c r="C384" s="54" t="str">
        <f ca="1">'Translation Table'!H2104</f>
        <v>Compressor: Reciprocating: (Stages: 1) (Driver: Recip Engine)</v>
      </c>
      <c r="D384" s="219">
        <v>3.79</v>
      </c>
      <c r="E384" s="221">
        <v>3.43</v>
      </c>
      <c r="F384" s="221"/>
      <c r="G384" s="221"/>
      <c r="H384" s="221">
        <v>0</v>
      </c>
      <c r="I384" s="221"/>
      <c r="J384" s="221"/>
      <c r="K384" s="219">
        <f t="shared" si="6"/>
        <v>50.53</v>
      </c>
      <c r="L384" s="219">
        <v>44.86</v>
      </c>
      <c r="M384" s="219">
        <v>5.67</v>
      </c>
      <c r="N384" s="219">
        <v>592.29999999999995</v>
      </c>
      <c r="O384" s="219">
        <v>2.33</v>
      </c>
      <c r="P384" s="221">
        <v>4</v>
      </c>
      <c r="Q384" s="221"/>
      <c r="R384" s="221"/>
      <c r="S384" s="221">
        <v>1</v>
      </c>
      <c r="T384" s="221">
        <v>1</v>
      </c>
      <c r="U384" s="221">
        <v>0</v>
      </c>
      <c r="V384" s="221">
        <v>3</v>
      </c>
      <c r="W384" s="220">
        <v>4</v>
      </c>
      <c r="X384" s="220">
        <v>20</v>
      </c>
      <c r="Y384" s="220"/>
      <c r="Z384" s="221">
        <v>1</v>
      </c>
      <c r="AA384" s="220" t="s">
        <v>2474</v>
      </c>
      <c r="AC384" s="46">
        <v>0</v>
      </c>
    </row>
    <row r="385" spans="1:29" ht="16.5" customHeight="1" x14ac:dyDescent="0.3">
      <c r="A385" s="49"/>
      <c r="B385" s="54" t="str">
        <f ca="1">'Translation Table'!H2105</f>
        <v>Compressor: Reciprocating: (Stages: 2) (Driver: Electric Motor)</v>
      </c>
      <c r="C385" s="54" t="str">
        <f ca="1">'Translation Table'!H2105</f>
        <v>Compressor: Reciprocating: (Stages: 2) (Driver: Electric Motor)</v>
      </c>
      <c r="D385" s="219">
        <v>3</v>
      </c>
      <c r="E385" s="221">
        <v>3.33</v>
      </c>
      <c r="F385" s="221"/>
      <c r="G385" s="221"/>
      <c r="H385" s="221">
        <v>0</v>
      </c>
      <c r="I385" s="221"/>
      <c r="J385" s="221"/>
      <c r="K385" s="219">
        <f t="shared" si="6"/>
        <v>43.83</v>
      </c>
      <c r="L385" s="219">
        <v>38.83</v>
      </c>
      <c r="M385" s="219">
        <v>5</v>
      </c>
      <c r="N385" s="219">
        <v>786.17</v>
      </c>
      <c r="O385" s="219">
        <v>1.67</v>
      </c>
      <c r="P385" s="221">
        <v>4</v>
      </c>
      <c r="Q385" s="221"/>
      <c r="R385" s="221"/>
      <c r="S385" s="221">
        <v>1</v>
      </c>
      <c r="T385" s="221">
        <v>1</v>
      </c>
      <c r="U385" s="221">
        <v>0</v>
      </c>
      <c r="V385" s="221">
        <v>4</v>
      </c>
      <c r="W385" s="220">
        <v>8</v>
      </c>
      <c r="X385" s="220">
        <v>40</v>
      </c>
      <c r="Y385" s="220"/>
      <c r="Z385" s="221">
        <v>2</v>
      </c>
      <c r="AA385" s="220" t="s">
        <v>2474</v>
      </c>
      <c r="AC385" s="46">
        <v>0</v>
      </c>
    </row>
    <row r="386" spans="1:29" ht="16.5" customHeight="1" x14ac:dyDescent="0.3">
      <c r="A386" s="49"/>
      <c r="B386" s="130" t="str">
        <f ca="1">'Translation Table'!H2106</f>
        <v>Compressor: Reciprocating: (Stages: 2) (Driver: Recip Engine)</v>
      </c>
      <c r="C386" s="54" t="str">
        <f ca="1">'Translation Table'!H2106</f>
        <v>Compressor: Reciprocating: (Stages: 2) (Driver: Recip Engine)</v>
      </c>
      <c r="D386" s="219">
        <v>3.79</v>
      </c>
      <c r="E386" s="221">
        <v>3.76</v>
      </c>
      <c r="F386" s="221"/>
      <c r="G386" s="221"/>
      <c r="H386" s="221">
        <v>0</v>
      </c>
      <c r="I386" s="221"/>
      <c r="J386" s="221"/>
      <c r="K386" s="219">
        <f t="shared" si="6"/>
        <v>56.19</v>
      </c>
      <c r="L386" s="219">
        <v>50.19</v>
      </c>
      <c r="M386" s="219">
        <v>6</v>
      </c>
      <c r="N386" s="219">
        <v>888.63</v>
      </c>
      <c r="O386" s="219">
        <v>2.67</v>
      </c>
      <c r="P386" s="221">
        <v>4</v>
      </c>
      <c r="Q386" s="221"/>
      <c r="R386" s="221"/>
      <c r="S386" s="221">
        <v>1</v>
      </c>
      <c r="T386" s="221">
        <v>1</v>
      </c>
      <c r="U386" s="221">
        <v>0</v>
      </c>
      <c r="V386" s="221">
        <v>4</v>
      </c>
      <c r="W386" s="220">
        <v>8</v>
      </c>
      <c r="X386" s="220">
        <v>40</v>
      </c>
      <c r="Y386" s="220"/>
      <c r="Z386" s="221">
        <v>2</v>
      </c>
      <c r="AA386" s="220" t="s">
        <v>2474</v>
      </c>
      <c r="AC386" s="46">
        <v>0</v>
      </c>
    </row>
    <row r="387" spans="1:29" ht="16.5" customHeight="1" x14ac:dyDescent="0.3">
      <c r="A387" s="49"/>
      <c r="B387" s="54" t="str">
        <f ca="1">'Translation Table'!H2107</f>
        <v>Compressor: Reciprocating: (Stages: 3) (Driver: Electric Motor)</v>
      </c>
      <c r="C387" s="54" t="str">
        <f ca="1">'Translation Table'!H2107</f>
        <v>Compressor: Reciprocating: (Stages: 3) (Driver: Electric Motor)</v>
      </c>
      <c r="D387" s="219">
        <v>4</v>
      </c>
      <c r="E387" s="221">
        <v>4.33</v>
      </c>
      <c r="F387" s="221"/>
      <c r="G387" s="221"/>
      <c r="H387" s="221">
        <v>0</v>
      </c>
      <c r="I387" s="221"/>
      <c r="J387" s="221"/>
      <c r="K387" s="219">
        <f t="shared" si="6"/>
        <v>56.83</v>
      </c>
      <c r="L387" s="219">
        <v>51.5</v>
      </c>
      <c r="M387" s="219">
        <v>5.33</v>
      </c>
      <c r="N387" s="219">
        <v>1138.5</v>
      </c>
      <c r="O387" s="219">
        <v>2</v>
      </c>
      <c r="P387" s="221">
        <v>6</v>
      </c>
      <c r="Q387" s="221"/>
      <c r="R387" s="221"/>
      <c r="S387" s="221">
        <v>1</v>
      </c>
      <c r="T387" s="221">
        <v>1</v>
      </c>
      <c r="U387" s="221">
        <v>0</v>
      </c>
      <c r="V387" s="221">
        <v>5</v>
      </c>
      <c r="W387" s="220">
        <v>12</v>
      </c>
      <c r="X387" s="220">
        <v>60</v>
      </c>
      <c r="Y387" s="220"/>
      <c r="Z387" s="221">
        <v>3</v>
      </c>
      <c r="AA387" s="220" t="s">
        <v>2474</v>
      </c>
      <c r="AC387" s="46">
        <v>0</v>
      </c>
    </row>
    <row r="388" spans="1:29" ht="16.5" customHeight="1" x14ac:dyDescent="0.3">
      <c r="A388" s="49"/>
      <c r="B388" s="130" t="str">
        <f ca="1">'Translation Table'!H2108</f>
        <v>Compressor: Reciprocating: (Stages: 3) (Driver: Recip Engine)</v>
      </c>
      <c r="C388" s="54" t="str">
        <f ca="1">'Translation Table'!H2108</f>
        <v>Compressor: Reciprocating: (Stages: 3) (Driver: Recip Engine)</v>
      </c>
      <c r="D388" s="219">
        <v>4.29</v>
      </c>
      <c r="E388" s="221">
        <v>4.76</v>
      </c>
      <c r="F388" s="221"/>
      <c r="G388" s="221"/>
      <c r="H388" s="221">
        <v>0</v>
      </c>
      <c r="I388" s="221"/>
      <c r="J388" s="221"/>
      <c r="K388" s="219">
        <f t="shared" si="6"/>
        <v>69.19</v>
      </c>
      <c r="L388" s="219">
        <v>62.86</v>
      </c>
      <c r="M388" s="219">
        <v>6.33</v>
      </c>
      <c r="N388" s="219">
        <v>1240.96</v>
      </c>
      <c r="O388" s="219">
        <v>3</v>
      </c>
      <c r="P388" s="221">
        <v>6</v>
      </c>
      <c r="Q388" s="221"/>
      <c r="R388" s="221"/>
      <c r="S388" s="221">
        <v>1</v>
      </c>
      <c r="T388" s="221">
        <v>1</v>
      </c>
      <c r="U388" s="221">
        <v>0</v>
      </c>
      <c r="V388" s="221">
        <v>5</v>
      </c>
      <c r="W388" s="220">
        <v>12</v>
      </c>
      <c r="X388" s="220">
        <v>60</v>
      </c>
      <c r="Y388" s="220"/>
      <c r="Z388" s="221">
        <v>3</v>
      </c>
      <c r="AA388" s="220" t="s">
        <v>2474</v>
      </c>
      <c r="AC388" s="46">
        <v>0</v>
      </c>
    </row>
    <row r="389" spans="1:29" ht="16.5" customHeight="1" x14ac:dyDescent="0.3">
      <c r="A389" s="49"/>
      <c r="B389" s="54" t="str">
        <f ca="1">'Translation Table'!H2109</f>
        <v>Compressor: Screw (Driver: Electric Motor)</v>
      </c>
      <c r="C389" s="54" t="str">
        <f ca="1">'Translation Table'!H2109</f>
        <v>Compressor: Screw (Driver: Electric Motor)</v>
      </c>
      <c r="D389" s="219">
        <v>2</v>
      </c>
      <c r="E389" s="221">
        <v>0</v>
      </c>
      <c r="F389" s="221"/>
      <c r="G389" s="221"/>
      <c r="H389" s="221">
        <v>0</v>
      </c>
      <c r="I389" s="221"/>
      <c r="J389" s="221"/>
      <c r="K389" s="219">
        <f t="shared" si="6"/>
        <v>33.5</v>
      </c>
      <c r="L389" s="219">
        <v>33.5</v>
      </c>
      <c r="M389" s="219"/>
      <c r="N389" s="219">
        <v>205.5</v>
      </c>
      <c r="O389" s="219">
        <v>1.5</v>
      </c>
      <c r="P389" s="221">
        <v>0</v>
      </c>
      <c r="Q389" s="221"/>
      <c r="R389" s="221"/>
      <c r="S389" s="221"/>
      <c r="T389" s="221"/>
      <c r="U389" s="221"/>
      <c r="V389" s="221">
        <v>3</v>
      </c>
      <c r="W389" s="220">
        <v>3</v>
      </c>
      <c r="X389" s="220">
        <v>6</v>
      </c>
      <c r="Y389" s="220"/>
      <c r="Z389" s="221">
        <v>1</v>
      </c>
      <c r="AA389" s="220" t="s">
        <v>2474</v>
      </c>
      <c r="AC389" s="46">
        <v>0</v>
      </c>
    </row>
    <row r="390" spans="1:29" ht="16.5" customHeight="1" x14ac:dyDescent="0.3">
      <c r="A390" s="49"/>
      <c r="B390" s="130" t="str">
        <f ca="1">'Translation Table'!H2110</f>
        <v>Compressor: Screw (Driver: Recip Engine)</v>
      </c>
      <c r="C390" s="54" t="str">
        <f ca="1">'Translation Table'!H2110</f>
        <v>Compressor: Screw (Driver: Recip Engine)</v>
      </c>
      <c r="D390" s="219">
        <v>2</v>
      </c>
      <c r="E390" s="221">
        <v>0</v>
      </c>
      <c r="F390" s="221"/>
      <c r="G390" s="221"/>
      <c r="H390" s="221">
        <v>0</v>
      </c>
      <c r="I390" s="221"/>
      <c r="J390" s="221"/>
      <c r="K390" s="219">
        <f t="shared" si="6"/>
        <v>36</v>
      </c>
      <c r="L390" s="219">
        <v>36</v>
      </c>
      <c r="M390" s="219"/>
      <c r="N390" s="219">
        <v>228</v>
      </c>
      <c r="O390" s="219">
        <v>2</v>
      </c>
      <c r="P390" s="221">
        <v>0</v>
      </c>
      <c r="Q390" s="221"/>
      <c r="R390" s="221"/>
      <c r="S390" s="221"/>
      <c r="T390" s="221"/>
      <c r="U390" s="221"/>
      <c r="V390" s="221">
        <v>3</v>
      </c>
      <c r="W390" s="220">
        <v>3</v>
      </c>
      <c r="X390" s="220">
        <v>6</v>
      </c>
      <c r="Y390" s="220"/>
      <c r="Z390" s="221">
        <v>1</v>
      </c>
      <c r="AA390" s="220" t="s">
        <v>517</v>
      </c>
      <c r="AC390" s="46">
        <v>0</v>
      </c>
    </row>
    <row r="391" spans="1:29" ht="16.5" customHeight="1" x14ac:dyDescent="0.3">
      <c r="A391" s="49"/>
      <c r="B391" s="54" t="str">
        <f ca="1">'Translation Table'!H2111</f>
        <v>Dehydration: Desiccant (Adsorber Columns: 2)</v>
      </c>
      <c r="C391" s="54" t="str">
        <f ca="1">'Translation Table'!H2111</f>
        <v>Dehydration: Desiccant (Adsorber Columns: 2)</v>
      </c>
      <c r="D391" s="219">
        <v>2</v>
      </c>
      <c r="E391" s="221">
        <v>0</v>
      </c>
      <c r="F391" s="221"/>
      <c r="G391" s="221"/>
      <c r="H391" s="221">
        <v>0</v>
      </c>
      <c r="I391" s="221"/>
      <c r="J391" s="221"/>
      <c r="K391" s="219">
        <f t="shared" ref="K391:K454" si="7">L391+M391</f>
        <v>24</v>
      </c>
      <c r="L391" s="219">
        <v>24</v>
      </c>
      <c r="M391" s="219"/>
      <c r="N391" s="219">
        <v>100</v>
      </c>
      <c r="O391" s="219">
        <v>2</v>
      </c>
      <c r="P391" s="221"/>
      <c r="Q391" s="221"/>
      <c r="R391" s="221"/>
      <c r="S391" s="221"/>
      <c r="T391" s="221"/>
      <c r="U391" s="221"/>
      <c r="V391" s="221">
        <v>5</v>
      </c>
      <c r="W391" s="220">
        <v>7</v>
      </c>
      <c r="X391" s="220">
        <v>14</v>
      </c>
      <c r="Y391" s="220"/>
      <c r="Z391" s="221">
        <v>3</v>
      </c>
      <c r="AA391" s="220" t="s">
        <v>517</v>
      </c>
      <c r="AC391" s="46">
        <v>0</v>
      </c>
    </row>
    <row r="392" spans="1:29" ht="16.5" customHeight="1" x14ac:dyDescent="0.3">
      <c r="A392" s="49"/>
      <c r="B392" s="130" t="str">
        <f ca="1">'Translation Table'!H2112</f>
        <v>Dehydration: Desiccant (Adsorber Columns: 3)</v>
      </c>
      <c r="C392" s="54" t="str">
        <f ca="1">'Translation Table'!H2112</f>
        <v>Dehydration: Desiccant (Adsorber Columns: 3)</v>
      </c>
      <c r="D392" s="219">
        <v>3</v>
      </c>
      <c r="E392" s="221">
        <v>0</v>
      </c>
      <c r="F392" s="221"/>
      <c r="G392" s="221"/>
      <c r="H392" s="221">
        <v>0</v>
      </c>
      <c r="I392" s="221"/>
      <c r="J392" s="221"/>
      <c r="K392" s="219">
        <f t="shared" si="7"/>
        <v>30</v>
      </c>
      <c r="L392" s="219">
        <v>30</v>
      </c>
      <c r="M392" s="219"/>
      <c r="N392" s="219">
        <v>84</v>
      </c>
      <c r="O392" s="219">
        <v>2</v>
      </c>
      <c r="P392" s="221"/>
      <c r="Q392" s="221"/>
      <c r="R392" s="221"/>
      <c r="S392" s="221"/>
      <c r="T392" s="221"/>
      <c r="U392" s="221"/>
      <c r="V392" s="221">
        <v>5</v>
      </c>
      <c r="W392" s="220">
        <v>10</v>
      </c>
      <c r="X392" s="220">
        <v>20</v>
      </c>
      <c r="Y392" s="220"/>
      <c r="Z392" s="221">
        <v>4</v>
      </c>
      <c r="AA392" s="220" t="s">
        <v>2474</v>
      </c>
      <c r="AC392" s="46">
        <v>0</v>
      </c>
    </row>
    <row r="393" spans="1:29" ht="16.5" customHeight="1" x14ac:dyDescent="0.3">
      <c r="A393" s="49"/>
      <c r="B393" s="54" t="str">
        <f ca="1">'Translation Table'!H2113</f>
        <v>Dehydration: Glycol (with Gas-assisted Pump)</v>
      </c>
      <c r="C393" s="54" t="str">
        <f ca="1">'Translation Table'!H2113</f>
        <v>Dehydration: Glycol (with Gas-assisted Pump)</v>
      </c>
      <c r="D393" s="219">
        <v>1</v>
      </c>
      <c r="E393" s="221">
        <v>0</v>
      </c>
      <c r="F393" s="221"/>
      <c r="G393" s="221"/>
      <c r="H393" s="221"/>
      <c r="I393" s="221"/>
      <c r="J393" s="221"/>
      <c r="K393" s="219">
        <f t="shared" si="7"/>
        <v>24</v>
      </c>
      <c r="L393" s="219">
        <v>24</v>
      </c>
      <c r="M393" s="219"/>
      <c r="N393" s="219">
        <v>100</v>
      </c>
      <c r="O393" s="219">
        <v>2</v>
      </c>
      <c r="P393" s="221"/>
      <c r="Q393" s="221"/>
      <c r="R393" s="221"/>
      <c r="S393" s="221"/>
      <c r="T393" s="221"/>
      <c r="U393" s="221"/>
      <c r="V393" s="221">
        <v>5</v>
      </c>
      <c r="W393" s="220">
        <v>7</v>
      </c>
      <c r="X393" s="220">
        <v>14</v>
      </c>
      <c r="Y393" s="220"/>
      <c r="Z393" s="221">
        <v>2</v>
      </c>
      <c r="AA393" s="220" t="s">
        <v>517</v>
      </c>
      <c r="AC393" s="46">
        <v>0</v>
      </c>
    </row>
    <row r="394" spans="1:29" ht="16.5" customHeight="1" x14ac:dyDescent="0.3">
      <c r="A394" s="49"/>
      <c r="B394" s="130" t="str">
        <f ca="1">'Translation Table'!H2114</f>
        <v>Dehydration: Glycol (without Gas-assisted Pump)</v>
      </c>
      <c r="C394" s="54" t="str">
        <f ca="1">'Translation Table'!H2114</f>
        <v>Dehydration: Glycol (without Gas-assisted Pump)</v>
      </c>
      <c r="D394" s="219">
        <v>1</v>
      </c>
      <c r="E394" s="221">
        <v>0</v>
      </c>
      <c r="F394" s="221"/>
      <c r="G394" s="221"/>
      <c r="H394" s="221"/>
      <c r="I394" s="221"/>
      <c r="J394" s="221"/>
      <c r="K394" s="219">
        <f t="shared" si="7"/>
        <v>24</v>
      </c>
      <c r="L394" s="219">
        <v>24</v>
      </c>
      <c r="M394" s="219"/>
      <c r="N394" s="219">
        <v>100</v>
      </c>
      <c r="O394" s="219">
        <v>2</v>
      </c>
      <c r="P394" s="221"/>
      <c r="Q394" s="221"/>
      <c r="R394" s="221"/>
      <c r="S394" s="221"/>
      <c r="T394" s="221"/>
      <c r="U394" s="221"/>
      <c r="V394" s="221">
        <v>5</v>
      </c>
      <c r="W394" s="220">
        <v>7</v>
      </c>
      <c r="X394" s="220">
        <v>14</v>
      </c>
      <c r="Y394" s="220"/>
      <c r="Z394" s="221">
        <v>2</v>
      </c>
      <c r="AA394" s="220" t="s">
        <v>517</v>
      </c>
      <c r="AC394" s="46">
        <v>0</v>
      </c>
    </row>
    <row r="395" spans="1:29" ht="16.5" customHeight="1" x14ac:dyDescent="0.3">
      <c r="A395" s="49"/>
      <c r="B395" s="54" t="str">
        <f ca="1">'Translation Table'!H2115</f>
        <v>Flare System: Generic (Including Knock-out Drum)</v>
      </c>
      <c r="C395" s="54" t="str">
        <f ca="1">'Translation Table'!H2115</f>
        <v>Flare System: Generic (Including Knock-out Drum)</v>
      </c>
      <c r="D395" s="219">
        <v>0</v>
      </c>
      <c r="E395" s="221">
        <v>5</v>
      </c>
      <c r="F395" s="221"/>
      <c r="G395" s="221"/>
      <c r="H395" s="221"/>
      <c r="I395" s="221"/>
      <c r="J395" s="221"/>
      <c r="K395" s="219">
        <f t="shared" si="7"/>
        <v>35</v>
      </c>
      <c r="L395" s="219">
        <v>35</v>
      </c>
      <c r="M395" s="219"/>
      <c r="N395" s="219">
        <v>114</v>
      </c>
      <c r="O395" s="219">
        <v>1</v>
      </c>
      <c r="P395" s="221"/>
      <c r="Q395" s="221"/>
      <c r="R395" s="221"/>
      <c r="S395" s="221"/>
      <c r="T395" s="221"/>
      <c r="U395" s="221"/>
      <c r="V395" s="221">
        <v>1</v>
      </c>
      <c r="W395" s="220">
        <v>0</v>
      </c>
      <c r="X395" s="220">
        <v>0</v>
      </c>
      <c r="Y395" s="220"/>
      <c r="Z395" s="221">
        <v>1</v>
      </c>
      <c r="AA395" s="220" t="s">
        <v>2082</v>
      </c>
      <c r="AC395" s="46">
        <v>0</v>
      </c>
    </row>
    <row r="396" spans="1:29" ht="16.5" customHeight="1" x14ac:dyDescent="0.3">
      <c r="A396" s="49"/>
      <c r="B396" s="130" t="str">
        <f ca="1">'Translation Table'!H2116</f>
        <v>Heat Exchanger: Natural Gas/Steam</v>
      </c>
      <c r="C396" s="54" t="str">
        <f ca="1">'Translation Table'!H2116</f>
        <v>Heat Exchanger: Natural Gas/Steam</v>
      </c>
      <c r="D396" s="219">
        <v>0</v>
      </c>
      <c r="E396" s="219">
        <v>0</v>
      </c>
      <c r="F396" s="219"/>
      <c r="G396" s="219"/>
      <c r="H396" s="219">
        <v>0</v>
      </c>
      <c r="I396" s="219"/>
      <c r="J396" s="219"/>
      <c r="K396" s="219">
        <f t="shared" si="7"/>
        <v>4</v>
      </c>
      <c r="L396" s="219">
        <v>3</v>
      </c>
      <c r="M396" s="219">
        <v>1</v>
      </c>
      <c r="N396" s="219">
        <v>10</v>
      </c>
      <c r="O396" s="219">
        <v>0</v>
      </c>
      <c r="P396" s="219"/>
      <c r="Q396" s="219"/>
      <c r="R396" s="219"/>
      <c r="S396" s="219"/>
      <c r="T396" s="219"/>
      <c r="U396" s="219"/>
      <c r="V396" s="219">
        <v>0</v>
      </c>
      <c r="W396" s="219">
        <v>0</v>
      </c>
      <c r="X396" s="219">
        <v>0</v>
      </c>
      <c r="Y396" s="219"/>
      <c r="Z396" s="219">
        <v>0</v>
      </c>
      <c r="AA396" s="220" t="s">
        <v>2474</v>
      </c>
      <c r="AC396" s="46">
        <v>0</v>
      </c>
    </row>
    <row r="397" spans="1:29" ht="16.5" customHeight="1" x14ac:dyDescent="0.3">
      <c r="A397" s="49"/>
      <c r="B397" s="54" t="str">
        <f ca="1">'Translation Table'!H2117</f>
        <v>Heat Exchanger: Natural Gas/Natural Gas</v>
      </c>
      <c r="C397" s="54" t="str">
        <f ca="1">'Translation Table'!H2117</f>
        <v>Heat Exchanger: Natural Gas/Natural Gas</v>
      </c>
      <c r="D397" s="219">
        <v>0</v>
      </c>
      <c r="E397" s="219">
        <v>0</v>
      </c>
      <c r="F397" s="219"/>
      <c r="G397" s="219"/>
      <c r="H397" s="219">
        <v>0</v>
      </c>
      <c r="I397" s="219"/>
      <c r="J397" s="219"/>
      <c r="K397" s="219">
        <f t="shared" si="7"/>
        <v>10</v>
      </c>
      <c r="L397" s="219">
        <v>8</v>
      </c>
      <c r="M397" s="219">
        <v>2</v>
      </c>
      <c r="N397" s="219">
        <v>22</v>
      </c>
      <c r="O397" s="219">
        <v>0</v>
      </c>
      <c r="P397" s="219"/>
      <c r="Q397" s="219"/>
      <c r="R397" s="219"/>
      <c r="S397" s="219"/>
      <c r="T397" s="219"/>
      <c r="U397" s="219"/>
      <c r="V397" s="219">
        <v>0</v>
      </c>
      <c r="W397" s="219">
        <v>0</v>
      </c>
      <c r="X397" s="219">
        <v>0</v>
      </c>
      <c r="Y397" s="219"/>
      <c r="Z397" s="219">
        <v>0</v>
      </c>
      <c r="AA397" s="220" t="s">
        <v>2474</v>
      </c>
      <c r="AC397" s="46">
        <v>0</v>
      </c>
    </row>
    <row r="398" spans="1:29" ht="16.5" customHeight="1" x14ac:dyDescent="0.3">
      <c r="A398" s="49"/>
      <c r="B398" s="130" t="str">
        <f ca="1">'Translation Table'!H2118</f>
        <v>Heat Exchanger: Natural Gas/Non-Hydrocarbon Liquid</v>
      </c>
      <c r="C398" s="54" t="str">
        <f ca="1">'Translation Table'!H2118</f>
        <v>Heat Exchanger: Natural Gas/Non-Hydrocarbon Liquid</v>
      </c>
      <c r="D398" s="219">
        <v>0</v>
      </c>
      <c r="E398" s="219">
        <v>0</v>
      </c>
      <c r="F398" s="219"/>
      <c r="G398" s="219"/>
      <c r="H398" s="219">
        <v>0</v>
      </c>
      <c r="I398" s="219"/>
      <c r="J398" s="219"/>
      <c r="K398" s="219">
        <f t="shared" si="7"/>
        <v>4</v>
      </c>
      <c r="L398" s="219">
        <v>3</v>
      </c>
      <c r="M398" s="219">
        <v>1</v>
      </c>
      <c r="N398" s="219">
        <v>10</v>
      </c>
      <c r="O398" s="219">
        <v>0</v>
      </c>
      <c r="P398" s="219"/>
      <c r="Q398" s="219"/>
      <c r="R398" s="219"/>
      <c r="S398" s="219"/>
      <c r="T398" s="219"/>
      <c r="U398" s="219"/>
      <c r="V398" s="219">
        <v>0</v>
      </c>
      <c r="W398" s="219">
        <v>0</v>
      </c>
      <c r="X398" s="219">
        <v>0</v>
      </c>
      <c r="Y398" s="219"/>
      <c r="Z398" s="219">
        <v>0</v>
      </c>
      <c r="AA398" s="220" t="s">
        <v>2474</v>
      </c>
    </row>
    <row r="399" spans="1:29" ht="16.5" customHeight="1" x14ac:dyDescent="0.3">
      <c r="A399" s="49"/>
      <c r="B399" s="54" t="str">
        <f ca="1">'Translation Table'!H2119</f>
        <v>Heat Exchanger: Natural Gas/Hydrocarbon Liquid</v>
      </c>
      <c r="C399" s="54" t="str">
        <f ca="1">'Translation Table'!H2119</f>
        <v>Heat Exchanger: Natural Gas/Hydrocarbon Liquid</v>
      </c>
      <c r="D399" s="219">
        <v>0</v>
      </c>
      <c r="E399" s="219">
        <v>0</v>
      </c>
      <c r="F399" s="219"/>
      <c r="G399" s="219"/>
      <c r="H399" s="219">
        <v>0</v>
      </c>
      <c r="I399" s="219"/>
      <c r="J399" s="219"/>
      <c r="K399" s="219">
        <f t="shared" si="7"/>
        <v>4</v>
      </c>
      <c r="L399" s="219">
        <v>3</v>
      </c>
      <c r="M399" s="219">
        <v>1</v>
      </c>
      <c r="N399" s="219">
        <v>10</v>
      </c>
      <c r="O399" s="219">
        <v>0</v>
      </c>
      <c r="P399" s="219"/>
      <c r="Q399" s="219"/>
      <c r="R399" s="219"/>
      <c r="S399" s="219"/>
      <c r="T399" s="219"/>
      <c r="U399" s="219"/>
      <c r="V399" s="219">
        <v>0</v>
      </c>
      <c r="W399" s="219">
        <v>5</v>
      </c>
      <c r="X399" s="219">
        <v>10</v>
      </c>
      <c r="Y399" s="219"/>
      <c r="Z399" s="219">
        <v>0</v>
      </c>
      <c r="AA399" s="220" t="s">
        <v>2474</v>
      </c>
    </row>
    <row r="400" spans="1:29" ht="16.5" customHeight="1" x14ac:dyDescent="0.3">
      <c r="A400" s="49"/>
      <c r="B400" s="130" t="str">
        <f ca="1">'Translation Table'!H2120</f>
        <v>Heat Exchanger: Steam/Hydrocarbon Liquid</v>
      </c>
      <c r="C400" s="54" t="str">
        <f ca="1">'Translation Table'!H2120</f>
        <v>Heat Exchanger: Steam/Hydrocarbon Liquid</v>
      </c>
      <c r="D400" s="219">
        <v>0</v>
      </c>
      <c r="E400" s="219">
        <v>0</v>
      </c>
      <c r="F400" s="219"/>
      <c r="G400" s="219"/>
      <c r="H400" s="219">
        <v>0</v>
      </c>
      <c r="I400" s="219"/>
      <c r="J400" s="219"/>
      <c r="K400" s="219">
        <f t="shared" si="7"/>
        <v>0</v>
      </c>
      <c r="L400" s="219">
        <v>0</v>
      </c>
      <c r="M400" s="219">
        <v>0</v>
      </c>
      <c r="N400" s="219">
        <v>0</v>
      </c>
      <c r="O400" s="219">
        <v>0</v>
      </c>
      <c r="P400" s="219"/>
      <c r="Q400" s="219"/>
      <c r="R400" s="219"/>
      <c r="S400" s="219"/>
      <c r="T400" s="219"/>
      <c r="U400" s="219"/>
      <c r="V400" s="219">
        <v>0</v>
      </c>
      <c r="W400" s="219">
        <v>5</v>
      </c>
      <c r="X400" s="219">
        <v>10</v>
      </c>
      <c r="Y400" s="219"/>
      <c r="Z400" s="219">
        <v>0</v>
      </c>
      <c r="AA400" s="220" t="s">
        <v>2474</v>
      </c>
    </row>
    <row r="401" spans="1:29" ht="16.5" customHeight="1" x14ac:dyDescent="0.3">
      <c r="A401" s="49"/>
      <c r="B401" s="54" t="str">
        <f ca="1">'Translation Table'!H2121</f>
        <v>Heat Exchanger: Hydrocarbon Liquid/Hydrocarbon Liquid</v>
      </c>
      <c r="C401" s="54" t="str">
        <f ca="1">'Translation Table'!H2121</f>
        <v>Heat Exchanger: Hydrocarbon Liquid/Hydrocarbon Liquid</v>
      </c>
      <c r="D401" s="219">
        <v>0</v>
      </c>
      <c r="E401" s="219">
        <v>0</v>
      </c>
      <c r="F401" s="219"/>
      <c r="G401" s="219"/>
      <c r="H401" s="219">
        <v>0</v>
      </c>
      <c r="I401" s="219"/>
      <c r="J401" s="219"/>
      <c r="K401" s="219">
        <f t="shared" si="7"/>
        <v>0</v>
      </c>
      <c r="L401" s="219">
        <v>0</v>
      </c>
      <c r="M401" s="219">
        <v>0</v>
      </c>
      <c r="N401" s="219">
        <v>0</v>
      </c>
      <c r="O401" s="219">
        <v>0</v>
      </c>
      <c r="P401" s="219"/>
      <c r="Q401" s="219"/>
      <c r="R401" s="219"/>
      <c r="S401" s="219"/>
      <c r="T401" s="219"/>
      <c r="U401" s="219"/>
      <c r="V401" s="219">
        <v>0</v>
      </c>
      <c r="W401" s="219">
        <v>10</v>
      </c>
      <c r="X401" s="219">
        <v>20</v>
      </c>
      <c r="Y401" s="219"/>
      <c r="Z401" s="219">
        <v>0</v>
      </c>
      <c r="AA401" s="220" t="s">
        <v>2474</v>
      </c>
    </row>
    <row r="402" spans="1:29" ht="16.5" customHeight="1" x14ac:dyDescent="0.3">
      <c r="A402" s="49"/>
      <c r="B402" s="130" t="str">
        <f ca="1">'Translation Table'!H2122</f>
        <v>Heater/Boiler/Reboiler: Generic (Burner Assemblies: 1)</v>
      </c>
      <c r="C402" s="54" t="str">
        <f ca="1">'Translation Table'!H2122</f>
        <v>Heater/Boiler/Reboiler: Generic (Burner Assemblies: 1)</v>
      </c>
      <c r="D402" s="219">
        <v>2.29</v>
      </c>
      <c r="E402" s="221">
        <v>0.43</v>
      </c>
      <c r="F402" s="221"/>
      <c r="G402" s="221"/>
      <c r="H402" s="221">
        <v>0</v>
      </c>
      <c r="I402" s="221"/>
      <c r="J402" s="221"/>
      <c r="K402" s="219">
        <f t="shared" si="7"/>
        <v>31.21</v>
      </c>
      <c r="L402" s="219">
        <v>29.71</v>
      </c>
      <c r="M402" s="219">
        <v>1.5</v>
      </c>
      <c r="N402" s="219">
        <v>222.61</v>
      </c>
      <c r="O402" s="219">
        <v>5.76</v>
      </c>
      <c r="P402" s="221"/>
      <c r="Q402" s="221"/>
      <c r="R402" s="221"/>
      <c r="S402" s="221"/>
      <c r="T402" s="221"/>
      <c r="U402" s="221"/>
      <c r="V402" s="221">
        <v>0</v>
      </c>
      <c r="W402" s="220">
        <v>0</v>
      </c>
      <c r="X402" s="220">
        <v>0</v>
      </c>
      <c r="Y402" s="220"/>
      <c r="Z402" s="221">
        <v>1</v>
      </c>
      <c r="AA402" s="220" t="s">
        <v>2474</v>
      </c>
      <c r="AC402" s="46">
        <v>0</v>
      </c>
    </row>
    <row r="403" spans="1:29" ht="16.5" customHeight="1" x14ac:dyDescent="0.3">
      <c r="A403" s="49"/>
      <c r="B403" s="54" t="str">
        <f ca="1">'Translation Table'!H2123</f>
        <v>Heater/Boiler/Reboiler: Generic (Burner Assemblies: 2)</v>
      </c>
      <c r="C403" s="54" t="str">
        <f ca="1">'Translation Table'!H2123</f>
        <v>Heater/Boiler/Reboiler: Generic (Burner Assemblies: 2)</v>
      </c>
      <c r="D403" s="219">
        <v>7.59</v>
      </c>
      <c r="E403" s="221">
        <v>0.43</v>
      </c>
      <c r="F403" s="221"/>
      <c r="G403" s="221"/>
      <c r="H403" s="221">
        <v>0</v>
      </c>
      <c r="I403" s="221"/>
      <c r="J403" s="221"/>
      <c r="K403" s="219">
        <f t="shared" si="7"/>
        <v>44.510000000000005</v>
      </c>
      <c r="L403" s="219">
        <v>41.31</v>
      </c>
      <c r="M403" s="219">
        <v>3.2</v>
      </c>
      <c r="N403" s="219">
        <v>252.51</v>
      </c>
      <c r="O403" s="219">
        <v>7.59</v>
      </c>
      <c r="P403" s="221"/>
      <c r="Q403" s="221"/>
      <c r="R403" s="221"/>
      <c r="S403" s="221"/>
      <c r="T403" s="221"/>
      <c r="U403" s="221"/>
      <c r="V403" s="221">
        <v>0</v>
      </c>
      <c r="W403" s="220">
        <v>0</v>
      </c>
      <c r="X403" s="220">
        <v>0</v>
      </c>
      <c r="Y403" s="220"/>
      <c r="Z403" s="221">
        <v>1</v>
      </c>
      <c r="AA403" s="220" t="s">
        <v>2474</v>
      </c>
      <c r="AC403" s="46">
        <v>0</v>
      </c>
    </row>
    <row r="404" spans="1:29" ht="16.5" customHeight="1" x14ac:dyDescent="0.3">
      <c r="A404" s="49"/>
      <c r="B404" s="130" t="str">
        <f ca="1">'Translation Table'!H2124</f>
        <v>Heater/Boiler/Reboiler: Generic (Burner Assemblies: 3)</v>
      </c>
      <c r="C404" s="54" t="str">
        <f ca="1">'Translation Table'!H2124</f>
        <v>Heater/Boiler/Reboiler: Generic (Burner Assemblies: 3)</v>
      </c>
      <c r="D404" s="219">
        <v>12.89</v>
      </c>
      <c r="E404" s="221">
        <v>0.43</v>
      </c>
      <c r="F404" s="221"/>
      <c r="G404" s="221"/>
      <c r="H404" s="221">
        <v>0</v>
      </c>
      <c r="I404" s="221"/>
      <c r="J404" s="221"/>
      <c r="K404" s="219">
        <f t="shared" si="7"/>
        <v>57.809999999999995</v>
      </c>
      <c r="L404" s="219">
        <v>52.91</v>
      </c>
      <c r="M404" s="219">
        <v>4.9000000000000004</v>
      </c>
      <c r="N404" s="219">
        <v>282.41000000000003</v>
      </c>
      <c r="O404" s="219">
        <v>9.42</v>
      </c>
      <c r="P404" s="221"/>
      <c r="Q404" s="221"/>
      <c r="R404" s="221"/>
      <c r="S404" s="221"/>
      <c r="T404" s="221"/>
      <c r="U404" s="221"/>
      <c r="V404" s="221">
        <v>0</v>
      </c>
      <c r="W404" s="220">
        <v>0</v>
      </c>
      <c r="X404" s="220">
        <v>0</v>
      </c>
      <c r="Y404" s="220"/>
      <c r="Z404" s="221">
        <v>1</v>
      </c>
      <c r="AA404" s="220" t="s">
        <v>2474</v>
      </c>
      <c r="AC404" s="46">
        <v>0</v>
      </c>
    </row>
    <row r="405" spans="1:29" ht="16.5" customHeight="1" x14ac:dyDescent="0.3">
      <c r="A405" s="49"/>
      <c r="B405" s="54" t="str">
        <f ca="1">'Translation Table'!H2125</f>
        <v>Heater/Boiler/Reboiler: Line (Burner Assemblies: 1)</v>
      </c>
      <c r="C405" s="54" t="str">
        <f ca="1">'Translation Table'!H2125</f>
        <v>Heater/Boiler/Reboiler: Line (Burner Assemblies: 1)</v>
      </c>
      <c r="D405" s="219">
        <v>2.29</v>
      </c>
      <c r="E405" s="221">
        <v>0.43</v>
      </c>
      <c r="F405" s="221"/>
      <c r="G405" s="221"/>
      <c r="H405" s="221">
        <v>0</v>
      </c>
      <c r="I405" s="221"/>
      <c r="J405" s="221"/>
      <c r="K405" s="219">
        <f t="shared" si="7"/>
        <v>31.21</v>
      </c>
      <c r="L405" s="219">
        <v>29.71</v>
      </c>
      <c r="M405" s="219">
        <v>1.5</v>
      </c>
      <c r="N405" s="219">
        <v>222.61</v>
      </c>
      <c r="O405" s="219">
        <v>5.76</v>
      </c>
      <c r="P405" s="221"/>
      <c r="Q405" s="221"/>
      <c r="R405" s="221"/>
      <c r="S405" s="221"/>
      <c r="T405" s="221"/>
      <c r="U405" s="221"/>
      <c r="V405" s="221">
        <v>0</v>
      </c>
      <c r="W405" s="220">
        <v>0</v>
      </c>
      <c r="X405" s="220">
        <v>0</v>
      </c>
      <c r="Y405" s="220"/>
      <c r="Z405" s="221">
        <v>1</v>
      </c>
      <c r="AA405" s="220" t="s">
        <v>2474</v>
      </c>
    </row>
    <row r="406" spans="1:29" ht="16.5" customHeight="1" x14ac:dyDescent="0.3">
      <c r="A406" s="49"/>
      <c r="B406" s="130" t="str">
        <f ca="1">'Translation Table'!H2126</f>
        <v>Heater/Boiler/Reboiler: Line (Burner Assemblies: 2)</v>
      </c>
      <c r="C406" s="54" t="str">
        <f ca="1">'Translation Table'!H2126</f>
        <v>Heater/Boiler/Reboiler: Line (Burner Assemblies: 2)</v>
      </c>
      <c r="D406" s="219">
        <v>7.59</v>
      </c>
      <c r="E406" s="221">
        <v>0.43</v>
      </c>
      <c r="F406" s="221"/>
      <c r="G406" s="221"/>
      <c r="H406" s="221">
        <v>0</v>
      </c>
      <c r="I406" s="221"/>
      <c r="J406" s="221"/>
      <c r="K406" s="219">
        <f t="shared" si="7"/>
        <v>44.510000000000005</v>
      </c>
      <c r="L406" s="219">
        <v>41.31</v>
      </c>
      <c r="M406" s="219">
        <v>3.2</v>
      </c>
      <c r="N406" s="219">
        <v>252.51</v>
      </c>
      <c r="O406" s="219">
        <v>7.59</v>
      </c>
      <c r="P406" s="221"/>
      <c r="Q406" s="221"/>
      <c r="R406" s="221"/>
      <c r="S406" s="221"/>
      <c r="T406" s="221"/>
      <c r="U406" s="221"/>
      <c r="V406" s="221">
        <v>0</v>
      </c>
      <c r="W406" s="220">
        <v>0</v>
      </c>
      <c r="X406" s="220">
        <v>0</v>
      </c>
      <c r="Y406" s="220"/>
      <c r="Z406" s="221">
        <v>1</v>
      </c>
      <c r="AA406" s="220" t="s">
        <v>2474</v>
      </c>
    </row>
    <row r="407" spans="1:29" ht="16.5" customHeight="1" x14ac:dyDescent="0.3">
      <c r="A407" s="49"/>
      <c r="B407" s="54" t="str">
        <f ca="1">'Translation Table'!H2127</f>
        <v>Heater/Boiler/Reboiler: Line (Burner Assemblies: 3)</v>
      </c>
      <c r="C407" s="54" t="str">
        <f ca="1">'Translation Table'!H2127</f>
        <v>Heater/Boiler/Reboiler: Line (Burner Assemblies: 3)</v>
      </c>
      <c r="D407" s="219">
        <v>12.89</v>
      </c>
      <c r="E407" s="221">
        <v>0.43</v>
      </c>
      <c r="F407" s="221"/>
      <c r="G407" s="221"/>
      <c r="H407" s="221">
        <v>0</v>
      </c>
      <c r="I407" s="221"/>
      <c r="J407" s="221"/>
      <c r="K407" s="219">
        <f t="shared" si="7"/>
        <v>57.809999999999995</v>
      </c>
      <c r="L407" s="219">
        <v>52.91</v>
      </c>
      <c r="M407" s="219">
        <v>4.9000000000000004</v>
      </c>
      <c r="N407" s="219">
        <v>282.41000000000003</v>
      </c>
      <c r="O407" s="219">
        <v>9.42</v>
      </c>
      <c r="P407" s="221"/>
      <c r="Q407" s="221"/>
      <c r="R407" s="221"/>
      <c r="S407" s="221"/>
      <c r="T407" s="221"/>
      <c r="U407" s="221"/>
      <c r="V407" s="221">
        <v>0</v>
      </c>
      <c r="W407" s="220">
        <v>0</v>
      </c>
      <c r="X407" s="220">
        <v>0</v>
      </c>
      <c r="Y407" s="220"/>
      <c r="Z407" s="221">
        <v>1</v>
      </c>
      <c r="AA407" s="220" t="s">
        <v>2474</v>
      </c>
    </row>
    <row r="408" spans="1:29" ht="16.5" customHeight="1" x14ac:dyDescent="0.3">
      <c r="A408" s="49"/>
      <c r="B408" s="130" t="str">
        <f ca="1">'Translation Table'!H2128</f>
        <v>Heater/Boiler/Reboiler: Treater (Burner Assemblies: 1)</v>
      </c>
      <c r="C408" s="54" t="str">
        <f ca="1">'Translation Table'!H2128</f>
        <v>Heater/Boiler/Reboiler: Treater (Burner Assemblies: 1)</v>
      </c>
      <c r="D408" s="219">
        <v>2.29</v>
      </c>
      <c r="E408" s="221">
        <v>0.43</v>
      </c>
      <c r="F408" s="221"/>
      <c r="G408" s="221"/>
      <c r="H408" s="221">
        <v>0</v>
      </c>
      <c r="I408" s="221"/>
      <c r="J408" s="221"/>
      <c r="K408" s="219">
        <f t="shared" si="7"/>
        <v>31.21</v>
      </c>
      <c r="L408" s="219">
        <v>29.71</v>
      </c>
      <c r="M408" s="219">
        <v>1.5</v>
      </c>
      <c r="N408" s="219">
        <v>222.61</v>
      </c>
      <c r="O408" s="219">
        <v>5.76</v>
      </c>
      <c r="P408" s="221"/>
      <c r="Q408" s="221"/>
      <c r="R408" s="221"/>
      <c r="S408" s="221"/>
      <c r="T408" s="221"/>
      <c r="U408" s="221"/>
      <c r="V408" s="221">
        <v>0</v>
      </c>
      <c r="W408" s="220">
        <v>0</v>
      </c>
      <c r="X408" s="220">
        <v>0</v>
      </c>
      <c r="Y408" s="220"/>
      <c r="Z408" s="221">
        <v>2</v>
      </c>
      <c r="AA408" s="220" t="s">
        <v>2474</v>
      </c>
      <c r="AC408" s="46">
        <v>0</v>
      </c>
    </row>
    <row r="409" spans="1:29" ht="16.5" customHeight="1" x14ac:dyDescent="0.3">
      <c r="A409" s="49"/>
      <c r="B409" s="54" t="str">
        <f ca="1">'Translation Table'!H2129</f>
        <v>Heater/Boiler/Reboiler: Treater (Burner Assemblies: 2)</v>
      </c>
      <c r="C409" s="54" t="str">
        <f ca="1">'Translation Table'!H2129</f>
        <v>Heater/Boiler/Reboiler: Treater (Burner Assemblies: 2)</v>
      </c>
      <c r="D409" s="219">
        <v>7.59</v>
      </c>
      <c r="E409" s="221">
        <v>0.43</v>
      </c>
      <c r="F409" s="221"/>
      <c r="G409" s="221"/>
      <c r="H409" s="221">
        <v>0</v>
      </c>
      <c r="I409" s="221"/>
      <c r="J409" s="221"/>
      <c r="K409" s="219">
        <f t="shared" si="7"/>
        <v>44.510000000000005</v>
      </c>
      <c r="L409" s="219">
        <v>41.31</v>
      </c>
      <c r="M409" s="219">
        <v>3.2</v>
      </c>
      <c r="N409" s="219">
        <v>252.51</v>
      </c>
      <c r="O409" s="219">
        <v>7.59</v>
      </c>
      <c r="P409" s="221"/>
      <c r="Q409" s="221"/>
      <c r="R409" s="221"/>
      <c r="S409" s="221"/>
      <c r="T409" s="221"/>
      <c r="U409" s="221"/>
      <c r="V409" s="221">
        <v>0</v>
      </c>
      <c r="W409" s="220">
        <v>0</v>
      </c>
      <c r="X409" s="220">
        <v>0</v>
      </c>
      <c r="Y409" s="220"/>
      <c r="Z409" s="221">
        <v>2</v>
      </c>
      <c r="AA409" s="220" t="s">
        <v>2474</v>
      </c>
      <c r="AC409" s="46">
        <v>0</v>
      </c>
    </row>
    <row r="410" spans="1:29" ht="16.5" customHeight="1" x14ac:dyDescent="0.3">
      <c r="A410" s="49"/>
      <c r="B410" s="130" t="str">
        <f ca="1">'Translation Table'!H2130</f>
        <v>Heater/Boiler/Reboiler: Treater (Burner Assemblies: 3)</v>
      </c>
      <c r="C410" s="54" t="str">
        <f ca="1">'Translation Table'!H2130</f>
        <v>Heater/Boiler/Reboiler: Treater (Burner Assemblies: 3)</v>
      </c>
      <c r="D410" s="219">
        <v>12.89</v>
      </c>
      <c r="E410" s="221">
        <v>0.43</v>
      </c>
      <c r="F410" s="221"/>
      <c r="G410" s="221"/>
      <c r="H410" s="221">
        <v>0</v>
      </c>
      <c r="I410" s="221"/>
      <c r="J410" s="221"/>
      <c r="K410" s="219">
        <f t="shared" si="7"/>
        <v>57.809999999999995</v>
      </c>
      <c r="L410" s="219">
        <v>52.91</v>
      </c>
      <c r="M410" s="219">
        <v>4.9000000000000004</v>
      </c>
      <c r="N410" s="219">
        <v>282.41000000000003</v>
      </c>
      <c r="O410" s="219">
        <v>9.42</v>
      </c>
      <c r="P410" s="221"/>
      <c r="Q410" s="221"/>
      <c r="R410" s="221"/>
      <c r="S410" s="221"/>
      <c r="T410" s="221"/>
      <c r="U410" s="221"/>
      <c r="V410" s="221">
        <v>0</v>
      </c>
      <c r="W410" s="220">
        <v>0</v>
      </c>
      <c r="X410" s="220">
        <v>0</v>
      </c>
      <c r="Y410" s="220"/>
      <c r="Z410" s="221">
        <v>2</v>
      </c>
      <c r="AA410" s="220" t="s">
        <v>2474</v>
      </c>
      <c r="AC410" s="46">
        <v>0</v>
      </c>
    </row>
    <row r="411" spans="1:29" ht="16.5" customHeight="1" x14ac:dyDescent="0.3">
      <c r="A411" s="49"/>
      <c r="B411" s="54" t="str">
        <f ca="1">'Translation Table'!H2131</f>
        <v>Hydrocarbon Dewpoint Control: Joule-Thomson Unit (Excluding Compressor)</v>
      </c>
      <c r="C411" s="54" t="str">
        <f ca="1">'Translation Table'!H2131</f>
        <v>Hydrocarbon Dewpoint Control: Joule-Thomson Unit (Excluding Compressor)</v>
      </c>
      <c r="D411" s="219">
        <v>0</v>
      </c>
      <c r="E411" s="221">
        <v>0</v>
      </c>
      <c r="F411" s="221"/>
      <c r="G411" s="221"/>
      <c r="H411" s="221"/>
      <c r="I411" s="221"/>
      <c r="J411" s="221"/>
      <c r="K411" s="219">
        <f t="shared" si="7"/>
        <v>19</v>
      </c>
      <c r="L411" s="219">
        <v>19</v>
      </c>
      <c r="M411" s="219"/>
      <c r="N411" s="219">
        <v>79</v>
      </c>
      <c r="O411" s="219">
        <v>2</v>
      </c>
      <c r="P411" s="221"/>
      <c r="Q411" s="221"/>
      <c r="R411" s="221"/>
      <c r="S411" s="221"/>
      <c r="T411" s="221"/>
      <c r="U411" s="221"/>
      <c r="V411" s="221">
        <v>2</v>
      </c>
      <c r="W411" s="220">
        <v>11</v>
      </c>
      <c r="X411" s="220">
        <v>41</v>
      </c>
      <c r="Y411" s="220"/>
      <c r="Z411" s="221">
        <v>0</v>
      </c>
      <c r="AA411" s="220" t="s">
        <v>517</v>
      </c>
      <c r="AC411" s="46">
        <v>0</v>
      </c>
    </row>
    <row r="412" spans="1:29" ht="16.5" customHeight="1" x14ac:dyDescent="0.3">
      <c r="A412" s="49"/>
      <c r="B412" s="130" t="str">
        <f ca="1">'Translation Table'!H2132</f>
        <v>Hydrocarbon Dewpoint Control: Propane Refrigeration</v>
      </c>
      <c r="C412" s="54" t="str">
        <f ca="1">'Translation Table'!H2132</f>
        <v>Hydrocarbon Dewpoint Control: Propane Refrigeration</v>
      </c>
      <c r="D412" s="219">
        <v>2</v>
      </c>
      <c r="E412" s="221">
        <v>0</v>
      </c>
      <c r="F412" s="221"/>
      <c r="G412" s="221"/>
      <c r="H412" s="221"/>
      <c r="I412" s="221"/>
      <c r="J412" s="221"/>
      <c r="K412" s="219">
        <f t="shared" si="7"/>
        <v>65</v>
      </c>
      <c r="L412" s="219">
        <v>65</v>
      </c>
      <c r="M412" s="219"/>
      <c r="N412" s="219">
        <v>170</v>
      </c>
      <c r="O412" s="219">
        <v>2</v>
      </c>
      <c r="P412" s="221"/>
      <c r="Q412" s="221"/>
      <c r="R412" s="221"/>
      <c r="S412" s="221"/>
      <c r="T412" s="221"/>
      <c r="U412" s="221"/>
      <c r="V412" s="221">
        <v>2</v>
      </c>
      <c r="W412" s="220">
        <v>13</v>
      </c>
      <c r="X412" s="220">
        <v>31</v>
      </c>
      <c r="Y412" s="220"/>
      <c r="Z412" s="221">
        <v>4</v>
      </c>
      <c r="AA412" s="220" t="s">
        <v>517</v>
      </c>
      <c r="AC412" s="46">
        <v>0</v>
      </c>
    </row>
    <row r="413" spans="1:29" ht="16.5" customHeight="1" x14ac:dyDescent="0.3">
      <c r="A413" s="49"/>
      <c r="B413" s="54" t="str">
        <f ca="1">'Translation Table'!H2133</f>
        <v>Inlet Header : Heavy Oil Battery</v>
      </c>
      <c r="C413" s="54" t="str">
        <f ca="1">'Translation Table'!H2133</f>
        <v>Inlet Header : Heavy Oil Battery</v>
      </c>
      <c r="D413" s="219">
        <v>3</v>
      </c>
      <c r="E413" s="221">
        <v>4</v>
      </c>
      <c r="F413" s="221"/>
      <c r="G413" s="221"/>
      <c r="H413" s="221"/>
      <c r="I413" s="221"/>
      <c r="J413" s="221"/>
      <c r="K413" s="219">
        <f t="shared" si="7"/>
        <v>17</v>
      </c>
      <c r="L413" s="219">
        <v>17</v>
      </c>
      <c r="M413" s="219"/>
      <c r="N413" s="219">
        <v>108</v>
      </c>
      <c r="O413" s="219">
        <v>0</v>
      </c>
      <c r="P413" s="221"/>
      <c r="Q413" s="221"/>
      <c r="R413" s="221"/>
      <c r="S413" s="221"/>
      <c r="T413" s="221"/>
      <c r="U413" s="221"/>
      <c r="V413" s="221">
        <v>0</v>
      </c>
      <c r="W413" s="220">
        <v>0</v>
      </c>
      <c r="X413" s="220">
        <v>0</v>
      </c>
      <c r="Y413" s="220"/>
      <c r="Z413" s="221">
        <v>0</v>
      </c>
      <c r="AA413" s="220" t="s">
        <v>2082</v>
      </c>
      <c r="AC413" s="46">
        <v>0</v>
      </c>
    </row>
    <row r="414" spans="1:29" ht="16.5" customHeight="1" x14ac:dyDescent="0.3">
      <c r="A414" s="49"/>
      <c r="B414" s="130" t="str">
        <f ca="1">'Translation Table'!H2134</f>
        <v>Inlet Header: Conventional Oil Battery</v>
      </c>
      <c r="C414" s="54" t="str">
        <f ca="1">'Translation Table'!H2134</f>
        <v>Inlet Header: Conventional Oil Battery</v>
      </c>
      <c r="D414" s="219">
        <v>0</v>
      </c>
      <c r="E414" s="221">
        <v>4</v>
      </c>
      <c r="F414" s="221"/>
      <c r="G414" s="221"/>
      <c r="H414" s="221"/>
      <c r="I414" s="221"/>
      <c r="J414" s="221"/>
      <c r="K414" s="219">
        <f t="shared" si="7"/>
        <v>109</v>
      </c>
      <c r="L414" s="219">
        <v>109</v>
      </c>
      <c r="M414" s="219"/>
      <c r="N414" s="219">
        <v>389</v>
      </c>
      <c r="O414" s="219">
        <v>0</v>
      </c>
      <c r="P414" s="221"/>
      <c r="Q414" s="221"/>
      <c r="R414" s="221"/>
      <c r="S414" s="221"/>
      <c r="T414" s="221"/>
      <c r="U414" s="221"/>
      <c r="V414" s="221">
        <v>0</v>
      </c>
      <c r="W414" s="220">
        <v>0</v>
      </c>
      <c r="X414" s="220">
        <v>0</v>
      </c>
      <c r="Y414" s="220"/>
      <c r="Z414" s="221">
        <v>0</v>
      </c>
      <c r="AA414" s="220" t="s">
        <v>2082</v>
      </c>
      <c r="AC414" s="46">
        <v>0</v>
      </c>
    </row>
    <row r="415" spans="1:29" ht="16.5" customHeight="1" x14ac:dyDescent="0.3">
      <c r="A415" s="49"/>
      <c r="B415" s="54" t="str">
        <f ca="1">'Translation Table'!H2135</f>
        <v>Inlet/Outlet Header: Gas Facilities (Fittings Per Pipeline)</v>
      </c>
      <c r="C415" s="54" t="str">
        <f ca="1">'Translation Table'!H2135</f>
        <v>Inlet/Outlet Header: Gas Facilities (Fittings Per Pipeline)</v>
      </c>
      <c r="D415" s="219">
        <v>0</v>
      </c>
      <c r="E415" s="221">
        <v>0</v>
      </c>
      <c r="F415" s="221"/>
      <c r="G415" s="221"/>
      <c r="H415" s="221"/>
      <c r="I415" s="221"/>
      <c r="J415" s="221"/>
      <c r="K415" s="219">
        <f t="shared" si="7"/>
        <v>7</v>
      </c>
      <c r="L415" s="219">
        <v>6</v>
      </c>
      <c r="M415" s="219">
        <v>1</v>
      </c>
      <c r="N415" s="219">
        <v>16</v>
      </c>
      <c r="O415" s="219">
        <v>0</v>
      </c>
      <c r="P415" s="221"/>
      <c r="Q415" s="221"/>
      <c r="R415" s="221"/>
      <c r="S415" s="221"/>
      <c r="T415" s="221"/>
      <c r="U415" s="221"/>
      <c r="V415" s="221">
        <v>0</v>
      </c>
      <c r="W415" s="220">
        <v>0</v>
      </c>
      <c r="X415" s="220">
        <v>0</v>
      </c>
      <c r="Y415" s="220"/>
      <c r="Z415" s="221">
        <v>0</v>
      </c>
      <c r="AA415" s="220" t="s">
        <v>2474</v>
      </c>
    </row>
    <row r="416" spans="1:29" ht="16.5" customHeight="1" x14ac:dyDescent="0.3">
      <c r="A416" s="49"/>
      <c r="B416" s="130" t="str">
        <f ca="1">'Translation Table'!H2136</f>
        <v>Inlet/Outlet Header: Oil Facilities (Fittings Per Pipeline)</v>
      </c>
      <c r="C416" s="54" t="str">
        <f ca="1">'Translation Table'!H2136</f>
        <v>Inlet/Outlet Header: Oil Facilities (Fittings Per Pipeline)</v>
      </c>
      <c r="D416" s="219">
        <v>0</v>
      </c>
      <c r="E416" s="221">
        <v>0</v>
      </c>
      <c r="F416" s="221"/>
      <c r="G416" s="221"/>
      <c r="H416" s="221"/>
      <c r="I416" s="221"/>
      <c r="J416" s="221"/>
      <c r="K416" s="219">
        <f t="shared" si="7"/>
        <v>0</v>
      </c>
      <c r="L416" s="219"/>
      <c r="M416" s="219"/>
      <c r="N416" s="219"/>
      <c r="O416" s="219"/>
      <c r="P416" s="221"/>
      <c r="Q416" s="221"/>
      <c r="R416" s="221"/>
      <c r="S416" s="221"/>
      <c r="T416" s="221"/>
      <c r="U416" s="221"/>
      <c r="V416" s="221">
        <v>0</v>
      </c>
      <c r="W416" s="220">
        <v>7</v>
      </c>
      <c r="X416" s="220">
        <v>16</v>
      </c>
      <c r="Y416" s="220"/>
      <c r="Z416" s="221">
        <v>0</v>
      </c>
      <c r="AA416" s="220" t="s">
        <v>2474</v>
      </c>
    </row>
    <row r="417" spans="1:29" ht="16.5" customHeight="1" x14ac:dyDescent="0.3">
      <c r="A417" s="49"/>
      <c r="B417" s="54" t="str">
        <f ca="1">'Translation Table'!H2137</f>
        <v>LPG Extraction: Deepcut (C2 to C4)</v>
      </c>
      <c r="C417" s="54" t="str">
        <f ca="1">'Translation Table'!H2137</f>
        <v>LPG Extraction: Deepcut (C2 to C4)</v>
      </c>
      <c r="D417" s="219">
        <v>10</v>
      </c>
      <c r="E417" s="221">
        <v>0</v>
      </c>
      <c r="F417" s="221"/>
      <c r="G417" s="221"/>
      <c r="H417" s="221"/>
      <c r="I417" s="221"/>
      <c r="J417" s="221"/>
      <c r="K417" s="219">
        <f t="shared" si="7"/>
        <v>131</v>
      </c>
      <c r="L417" s="219">
        <v>131</v>
      </c>
      <c r="M417" s="219"/>
      <c r="N417" s="219">
        <v>241</v>
      </c>
      <c r="O417" s="219">
        <v>4</v>
      </c>
      <c r="P417" s="221"/>
      <c r="Q417" s="221">
        <v>2</v>
      </c>
      <c r="R417" s="221"/>
      <c r="S417" s="221"/>
      <c r="T417" s="221"/>
      <c r="U417" s="221"/>
      <c r="V417" s="221">
        <v>14</v>
      </c>
      <c r="W417" s="220">
        <v>121</v>
      </c>
      <c r="X417" s="220">
        <v>386</v>
      </c>
      <c r="Y417" s="220">
        <v>2</v>
      </c>
      <c r="Z417" s="221">
        <v>6</v>
      </c>
      <c r="AA417" s="220" t="s">
        <v>517</v>
      </c>
      <c r="AC417" s="46">
        <v>0</v>
      </c>
    </row>
    <row r="418" spans="1:29" ht="16.5" customHeight="1" x14ac:dyDescent="0.3">
      <c r="A418" s="49"/>
      <c r="B418" s="130" t="str">
        <f ca="1">'Translation Table'!H2138</f>
        <v>LPG Extraction: Shallow Cut (C3 to C4)</v>
      </c>
      <c r="C418" s="54" t="str">
        <f ca="1">'Translation Table'!H2138</f>
        <v>LPG Extraction: Shallow Cut (C3 to C4)</v>
      </c>
      <c r="D418" s="219">
        <v>6</v>
      </c>
      <c r="E418" s="221">
        <v>0</v>
      </c>
      <c r="F418" s="221"/>
      <c r="G418" s="221"/>
      <c r="H418" s="221"/>
      <c r="I418" s="221"/>
      <c r="J418" s="221"/>
      <c r="K418" s="219">
        <f t="shared" si="7"/>
        <v>48</v>
      </c>
      <c r="L418" s="219">
        <v>48</v>
      </c>
      <c r="M418" s="219"/>
      <c r="N418" s="219">
        <v>123</v>
      </c>
      <c r="O418" s="219">
        <v>4</v>
      </c>
      <c r="P418" s="221"/>
      <c r="Q418" s="221"/>
      <c r="R418" s="221"/>
      <c r="S418" s="221"/>
      <c r="T418" s="221"/>
      <c r="U418" s="221"/>
      <c r="V418" s="221">
        <v>6</v>
      </c>
      <c r="W418" s="220">
        <v>2</v>
      </c>
      <c r="X418" s="220">
        <v>9</v>
      </c>
      <c r="Y418" s="220"/>
      <c r="Z418" s="221">
        <v>8</v>
      </c>
      <c r="AA418" s="220" t="s">
        <v>517</v>
      </c>
      <c r="AC418" s="46">
        <v>0</v>
      </c>
    </row>
    <row r="419" spans="1:29" ht="16.5" customHeight="1" x14ac:dyDescent="0.3">
      <c r="A419" s="49"/>
      <c r="B419" s="54" t="str">
        <f ca="1">'Translation Table'!H2139</f>
        <v>NGL – Natural Gas Liquefaction</v>
      </c>
      <c r="C419" s="54" t="str">
        <f ca="1">'Translation Table'!H2139</f>
        <v>NGL – Natural Gas Liquefaction</v>
      </c>
      <c r="D419" s="219">
        <v>10</v>
      </c>
      <c r="E419" s="221">
        <v>0</v>
      </c>
      <c r="F419" s="221"/>
      <c r="G419" s="221"/>
      <c r="H419" s="221"/>
      <c r="I419" s="221"/>
      <c r="J419" s="221"/>
      <c r="K419" s="219">
        <f t="shared" si="7"/>
        <v>131</v>
      </c>
      <c r="L419" s="219">
        <v>131</v>
      </c>
      <c r="M419" s="219"/>
      <c r="N419" s="219">
        <v>192</v>
      </c>
      <c r="O419" s="219">
        <v>6</v>
      </c>
      <c r="P419" s="221"/>
      <c r="Q419" s="221"/>
      <c r="R419" s="221"/>
      <c r="S419" s="221"/>
      <c r="T419" s="221"/>
      <c r="U419" s="221"/>
      <c r="V419" s="221">
        <v>10</v>
      </c>
      <c r="W419" s="220">
        <v>121</v>
      </c>
      <c r="X419" s="220">
        <v>386</v>
      </c>
      <c r="Y419" s="220"/>
      <c r="Z419" s="221">
        <v>8</v>
      </c>
      <c r="AA419" s="220" t="s">
        <v>517</v>
      </c>
      <c r="AC419" s="46">
        <v>0</v>
      </c>
    </row>
    <row r="420" spans="1:29" ht="16.5" customHeight="1" x14ac:dyDescent="0.3">
      <c r="A420" s="49"/>
      <c r="B420" s="130" t="str">
        <f ca="1">'Translation Table'!H2140</f>
        <v>PIG Receiver or Sender</v>
      </c>
      <c r="C420" s="54" t="str">
        <f ca="1">'Translation Table'!H2140</f>
        <v>PIG Receiver or Sender</v>
      </c>
      <c r="D420" s="219">
        <v>0</v>
      </c>
      <c r="E420" s="221">
        <v>0</v>
      </c>
      <c r="F420" s="221"/>
      <c r="G420" s="221"/>
      <c r="H420" s="221"/>
      <c r="I420" s="221"/>
      <c r="J420" s="221"/>
      <c r="K420" s="219">
        <f t="shared" si="7"/>
        <v>3</v>
      </c>
      <c r="L420" s="219">
        <v>3</v>
      </c>
      <c r="M420" s="219"/>
      <c r="N420" s="219">
        <v>241</v>
      </c>
      <c r="O420" s="219">
        <v>0</v>
      </c>
      <c r="P420" s="221"/>
      <c r="Q420" s="221"/>
      <c r="R420" s="221"/>
      <c r="S420" s="221"/>
      <c r="T420" s="221"/>
      <c r="U420" s="221"/>
      <c r="V420" s="221">
        <v>0</v>
      </c>
      <c r="W420" s="220"/>
      <c r="X420" s="220"/>
      <c r="Y420" s="220"/>
      <c r="Z420" s="221">
        <v>1</v>
      </c>
      <c r="AA420" s="220" t="s">
        <v>517</v>
      </c>
      <c r="AC420" s="46">
        <v>0</v>
      </c>
    </row>
    <row r="421" spans="1:29" ht="16.5" customHeight="1" x14ac:dyDescent="0.3">
      <c r="A421" s="49"/>
      <c r="B421" s="54" t="str">
        <f ca="1">'Translation Table'!H2141</f>
        <v>Power Generator: Natural Gas Fuelled (Driver: Gas Turbine)</v>
      </c>
      <c r="C421" s="54" t="str">
        <f ca="1">'Translation Table'!H2141</f>
        <v>Power Generator: Natural Gas Fuelled (Driver: Gas Turbine)</v>
      </c>
      <c r="D421" s="219">
        <v>1.62</v>
      </c>
      <c r="E421" s="221">
        <v>1.93</v>
      </c>
      <c r="F421" s="221"/>
      <c r="G421" s="221"/>
      <c r="H421" s="221">
        <v>0</v>
      </c>
      <c r="I421" s="221"/>
      <c r="J421" s="221"/>
      <c r="K421" s="219">
        <f t="shared" si="7"/>
        <v>39.86</v>
      </c>
      <c r="L421" s="219">
        <v>32.94</v>
      </c>
      <c r="M421" s="219">
        <v>6.92</v>
      </c>
      <c r="N421" s="219">
        <v>203.8</v>
      </c>
      <c r="O421" s="219">
        <v>4.33</v>
      </c>
      <c r="P421" s="221"/>
      <c r="Q421" s="221"/>
      <c r="R421" s="221"/>
      <c r="S421" s="221"/>
      <c r="T421" s="221"/>
      <c r="U421" s="221"/>
      <c r="V421" s="221">
        <v>2</v>
      </c>
      <c r="W421" s="220">
        <v>0</v>
      </c>
      <c r="X421" s="220">
        <v>0</v>
      </c>
      <c r="Y421" s="220">
        <v>0</v>
      </c>
      <c r="Z421" s="221">
        <v>1</v>
      </c>
      <c r="AA421" s="220" t="s">
        <v>2474</v>
      </c>
      <c r="AC421" s="46">
        <v>0</v>
      </c>
    </row>
    <row r="422" spans="1:29" ht="16.5" customHeight="1" x14ac:dyDescent="0.3">
      <c r="A422" s="49"/>
      <c r="B422" s="130" t="str">
        <f ca="1">'Translation Table'!H2142</f>
        <v>Power Generator: Natural Gas Fuelled (Driver: Recip. Engine)</v>
      </c>
      <c r="C422" s="54" t="str">
        <f ca="1">'Translation Table'!H2142</f>
        <v>Power Generator: Natural Gas Fuelled (Driver: Recip. Engine)</v>
      </c>
      <c r="D422" s="219">
        <v>3.29</v>
      </c>
      <c r="E422" s="221">
        <v>1.76</v>
      </c>
      <c r="F422" s="221"/>
      <c r="G422" s="221"/>
      <c r="H422" s="221">
        <v>0</v>
      </c>
      <c r="I422" s="221"/>
      <c r="J422" s="221"/>
      <c r="K422" s="219">
        <f t="shared" si="7"/>
        <v>26.189999999999998</v>
      </c>
      <c r="L422" s="219">
        <v>20.86</v>
      </c>
      <c r="M422" s="219">
        <v>5.33</v>
      </c>
      <c r="N422" s="219">
        <v>157.71</v>
      </c>
      <c r="O422" s="219">
        <v>1.5</v>
      </c>
      <c r="P422" s="221"/>
      <c r="Q422" s="221"/>
      <c r="R422" s="221"/>
      <c r="S422" s="221"/>
      <c r="T422" s="221"/>
      <c r="U422" s="221"/>
      <c r="V422" s="221">
        <v>2</v>
      </c>
      <c r="W422" s="220">
        <v>0</v>
      </c>
      <c r="X422" s="220">
        <v>0</v>
      </c>
      <c r="Y422" s="220">
        <v>0</v>
      </c>
      <c r="Z422" s="221">
        <v>1</v>
      </c>
      <c r="AA422" s="220" t="s">
        <v>2474</v>
      </c>
      <c r="AC422" s="46">
        <v>0</v>
      </c>
    </row>
    <row r="423" spans="1:29" ht="16.5" customHeight="1" x14ac:dyDescent="0.3">
      <c r="A423" s="49"/>
      <c r="B423" s="54" t="str">
        <f ca="1">'Translation Table'!H2143</f>
        <v>Pump: Hydrocarbon Service (Driver: Motor)</v>
      </c>
      <c r="C423" s="54" t="str">
        <f ca="1">'Translation Table'!H2143</f>
        <v>Pump: Hydrocarbon Service (Driver: Motor)</v>
      </c>
      <c r="D423" s="219">
        <v>0</v>
      </c>
      <c r="E423" s="219">
        <v>0</v>
      </c>
      <c r="F423" s="219"/>
      <c r="G423" s="219"/>
      <c r="H423" s="219">
        <v>0</v>
      </c>
      <c r="I423" s="219"/>
      <c r="J423" s="219"/>
      <c r="K423" s="219">
        <f t="shared" si="7"/>
        <v>0</v>
      </c>
      <c r="L423" s="219">
        <v>0</v>
      </c>
      <c r="M423" s="219">
        <v>0</v>
      </c>
      <c r="N423" s="219">
        <v>0</v>
      </c>
      <c r="O423" s="219">
        <v>0</v>
      </c>
      <c r="P423" s="219"/>
      <c r="Q423" s="219"/>
      <c r="R423" s="219"/>
      <c r="S423" s="219"/>
      <c r="T423" s="219"/>
      <c r="U423" s="219"/>
      <c r="V423" s="219">
        <v>0</v>
      </c>
      <c r="W423" s="219">
        <v>4</v>
      </c>
      <c r="X423" s="219">
        <v>10</v>
      </c>
      <c r="Y423" s="219">
        <v>1</v>
      </c>
      <c r="Z423" s="219">
        <v>0</v>
      </c>
      <c r="AA423" s="220" t="s">
        <v>2474</v>
      </c>
    </row>
    <row r="424" spans="1:29" ht="16.5" customHeight="1" x14ac:dyDescent="0.3">
      <c r="A424" s="49"/>
      <c r="B424" s="130" t="str">
        <f ca="1">'Translation Table'!H2144</f>
        <v>Pump: Hydrocarbon Service (Driver: Recip Engine) (Fuel: Gaseous)</v>
      </c>
      <c r="C424" s="54" t="str">
        <f ca="1">'Translation Table'!H2144</f>
        <v>Pump: Hydrocarbon Service (Driver: Recip Engine) (Fuel: Gaseous)</v>
      </c>
      <c r="D424" s="219">
        <v>3.29</v>
      </c>
      <c r="E424" s="221">
        <v>1.76</v>
      </c>
      <c r="F424" s="221"/>
      <c r="G424" s="221"/>
      <c r="H424" s="221">
        <v>0</v>
      </c>
      <c r="I424" s="221"/>
      <c r="J424" s="221"/>
      <c r="K424" s="219">
        <f t="shared" si="7"/>
        <v>26.189999999999998</v>
      </c>
      <c r="L424" s="219">
        <v>20.86</v>
      </c>
      <c r="M424" s="219">
        <v>5.33</v>
      </c>
      <c r="N424" s="219">
        <v>157.71</v>
      </c>
      <c r="O424" s="219">
        <v>1.5</v>
      </c>
      <c r="P424" s="221"/>
      <c r="Q424" s="219"/>
      <c r="R424" s="219"/>
      <c r="S424" s="219"/>
      <c r="T424" s="221"/>
      <c r="U424" s="221"/>
      <c r="V424" s="221">
        <v>2</v>
      </c>
      <c r="W424" s="219">
        <v>4</v>
      </c>
      <c r="X424" s="219">
        <v>10</v>
      </c>
      <c r="Y424" s="219">
        <v>1</v>
      </c>
      <c r="Z424" s="221">
        <v>0</v>
      </c>
      <c r="AA424" s="220" t="s">
        <v>2474</v>
      </c>
      <c r="AC424" s="46">
        <v>0</v>
      </c>
    </row>
    <row r="425" spans="1:29" ht="16.5" customHeight="1" x14ac:dyDescent="0.3">
      <c r="A425" s="49"/>
      <c r="B425" s="54" t="str">
        <f ca="1">'Translation Table'!H2145</f>
        <v>Pump: Hydrocarbon Service (Driver: Recip Engine) (Fuel: Liquid)</v>
      </c>
      <c r="C425" s="54" t="str">
        <f ca="1">'Translation Table'!H2145</f>
        <v>Pump: Hydrocarbon Service (Driver: Recip Engine) (Fuel: Liquid)</v>
      </c>
      <c r="D425" s="219">
        <v>0</v>
      </c>
      <c r="E425" s="221">
        <v>0</v>
      </c>
      <c r="F425" s="221"/>
      <c r="G425" s="221"/>
      <c r="H425" s="221">
        <v>0</v>
      </c>
      <c r="I425" s="221"/>
      <c r="J425" s="221"/>
      <c r="K425" s="219">
        <f t="shared" si="7"/>
        <v>0</v>
      </c>
      <c r="L425" s="219">
        <v>0</v>
      </c>
      <c r="M425" s="219">
        <v>0</v>
      </c>
      <c r="N425" s="219">
        <v>0</v>
      </c>
      <c r="O425" s="219">
        <v>0</v>
      </c>
      <c r="P425" s="221"/>
      <c r="Q425" s="219"/>
      <c r="R425" s="219"/>
      <c r="S425" s="219"/>
      <c r="T425" s="221"/>
      <c r="U425" s="221"/>
      <c r="V425" s="221">
        <v>1</v>
      </c>
      <c r="W425" s="219">
        <v>4</v>
      </c>
      <c r="X425" s="219">
        <v>10</v>
      </c>
      <c r="Y425" s="219">
        <v>1</v>
      </c>
      <c r="Z425" s="221">
        <v>0</v>
      </c>
      <c r="AA425" s="220" t="s">
        <v>2474</v>
      </c>
    </row>
    <row r="426" spans="1:29" ht="16.5" customHeight="1" x14ac:dyDescent="0.3">
      <c r="A426" s="49"/>
      <c r="B426" s="130" t="str">
        <f ca="1">'Translation Table'!H2146</f>
        <v>Pump: Non-Hydrocarbon Service (Driver: Recip Engine) (Fuel: Gaseous)</v>
      </c>
      <c r="C426" s="54" t="str">
        <f ca="1">'Translation Table'!H2146</f>
        <v>Pump: Non-Hydrocarbon Service (Driver: Recip Engine) (Fuel: Gaseous)</v>
      </c>
      <c r="D426" s="219">
        <v>3.29</v>
      </c>
      <c r="E426" s="221">
        <v>1.76</v>
      </c>
      <c r="F426" s="221"/>
      <c r="G426" s="221"/>
      <c r="H426" s="221">
        <v>0</v>
      </c>
      <c r="I426" s="221"/>
      <c r="J426" s="221"/>
      <c r="K426" s="219">
        <f t="shared" si="7"/>
        <v>26.189999999999998</v>
      </c>
      <c r="L426" s="219">
        <v>20.86</v>
      </c>
      <c r="M426" s="219">
        <v>5.33</v>
      </c>
      <c r="N426" s="219">
        <v>157.71</v>
      </c>
      <c r="O426" s="219">
        <v>1.5</v>
      </c>
      <c r="P426" s="221"/>
      <c r="Q426" s="219"/>
      <c r="R426" s="219"/>
      <c r="S426" s="219"/>
      <c r="T426" s="221"/>
      <c r="U426" s="221"/>
      <c r="V426" s="221">
        <v>2</v>
      </c>
      <c r="W426" s="220">
        <v>0</v>
      </c>
      <c r="X426" s="220">
        <v>0</v>
      </c>
      <c r="Y426" s="220">
        <v>0</v>
      </c>
      <c r="Z426" s="221">
        <v>0</v>
      </c>
      <c r="AA426" s="220" t="s">
        <v>2474</v>
      </c>
    </row>
    <row r="427" spans="1:29" ht="16.5" customHeight="1" x14ac:dyDescent="0.3">
      <c r="A427" s="49"/>
      <c r="B427" s="54" t="str">
        <f ca="1">'Translation Table'!H2147</f>
        <v>Pump: Non-Hydrocarbon Service (Driver: Recip Engine) (Fuel: Gaseous)</v>
      </c>
      <c r="C427" s="54" t="str">
        <f ca="1">'Translation Table'!H2147</f>
        <v>Pump: Non-Hydrocarbon Service (Driver: Recip Engine) (Fuel: Gaseous)</v>
      </c>
      <c r="D427" s="219">
        <v>3.29</v>
      </c>
      <c r="E427" s="221">
        <v>1.76</v>
      </c>
      <c r="F427" s="221"/>
      <c r="G427" s="221"/>
      <c r="H427" s="221">
        <v>0</v>
      </c>
      <c r="I427" s="221"/>
      <c r="J427" s="221"/>
      <c r="K427" s="219">
        <f t="shared" si="7"/>
        <v>26.189999999999998</v>
      </c>
      <c r="L427" s="219">
        <v>20.86</v>
      </c>
      <c r="M427" s="219">
        <v>5.33</v>
      </c>
      <c r="N427" s="219">
        <v>157.71</v>
      </c>
      <c r="O427" s="219">
        <v>1.5</v>
      </c>
      <c r="P427" s="221"/>
      <c r="Q427" s="219"/>
      <c r="R427" s="219"/>
      <c r="S427" s="219"/>
      <c r="T427" s="221"/>
      <c r="U427" s="221"/>
      <c r="V427" s="221">
        <v>2</v>
      </c>
      <c r="W427" s="220">
        <v>0</v>
      </c>
      <c r="X427" s="220">
        <v>0</v>
      </c>
      <c r="Y427" s="220">
        <v>0</v>
      </c>
      <c r="Z427" s="221">
        <v>0</v>
      </c>
      <c r="AA427" s="220" t="s">
        <v>2474</v>
      </c>
    </row>
    <row r="428" spans="1:29" ht="16.5" customHeight="1" x14ac:dyDescent="0.3">
      <c r="A428" s="49"/>
      <c r="B428" s="130" t="str">
        <f ca="1">'Translation Table'!H2148</f>
        <v>Refrigeration (Propane)</v>
      </c>
      <c r="C428" s="54" t="str">
        <f ca="1">'Translation Table'!H2148</f>
        <v>Refrigeration (Propane)</v>
      </c>
      <c r="D428" s="219">
        <v>2</v>
      </c>
      <c r="E428" s="221">
        <v>0</v>
      </c>
      <c r="F428" s="221"/>
      <c r="G428" s="221"/>
      <c r="H428" s="221"/>
      <c r="I428" s="221"/>
      <c r="J428" s="221"/>
      <c r="K428" s="219">
        <f t="shared" si="7"/>
        <v>65</v>
      </c>
      <c r="L428" s="219">
        <v>65</v>
      </c>
      <c r="M428" s="219"/>
      <c r="N428" s="219">
        <v>170</v>
      </c>
      <c r="O428" s="219">
        <v>2</v>
      </c>
      <c r="P428" s="221"/>
      <c r="Q428" s="221"/>
      <c r="R428" s="221"/>
      <c r="S428" s="221"/>
      <c r="T428" s="221"/>
      <c r="U428" s="221"/>
      <c r="V428" s="221">
        <v>6</v>
      </c>
      <c r="W428" s="220">
        <v>13</v>
      </c>
      <c r="X428" s="220">
        <v>31</v>
      </c>
      <c r="Y428" s="220"/>
      <c r="Z428" s="221">
        <v>4</v>
      </c>
      <c r="AA428" s="220" t="s">
        <v>517</v>
      </c>
      <c r="AC428" s="46">
        <v>0</v>
      </c>
    </row>
    <row r="429" spans="1:29" ht="16.5" customHeight="1" x14ac:dyDescent="0.3">
      <c r="A429" s="49"/>
      <c r="B429" s="54" t="str">
        <f ca="1">'Translation Table'!H2149</f>
        <v>Separator: Filter Separator</v>
      </c>
      <c r="C429" s="54" t="str">
        <f ca="1">'Translation Table'!H2149</f>
        <v>Separator: Filter Separator</v>
      </c>
      <c r="D429" s="219">
        <v>0.5</v>
      </c>
      <c r="E429" s="221">
        <v>1.5</v>
      </c>
      <c r="F429" s="221"/>
      <c r="G429" s="221"/>
      <c r="H429" s="221">
        <v>0</v>
      </c>
      <c r="I429" s="221"/>
      <c r="J429" s="221"/>
      <c r="K429" s="219">
        <f t="shared" si="7"/>
        <v>14</v>
      </c>
      <c r="L429" s="219">
        <v>13</v>
      </c>
      <c r="M429" s="219">
        <v>1</v>
      </c>
      <c r="N429" s="219">
        <v>64</v>
      </c>
      <c r="O429" s="219">
        <v>0.5</v>
      </c>
      <c r="P429" s="221"/>
      <c r="Q429" s="221"/>
      <c r="R429" s="221"/>
      <c r="S429" s="221"/>
      <c r="T429" s="221"/>
      <c r="U429" s="221"/>
      <c r="V429" s="221">
        <v>2</v>
      </c>
      <c r="W429" s="220">
        <v>6</v>
      </c>
      <c r="X429" s="220">
        <v>19.5</v>
      </c>
      <c r="Y429" s="220">
        <v>0</v>
      </c>
      <c r="Z429" s="221">
        <v>1</v>
      </c>
      <c r="AA429" s="220" t="s">
        <v>2474</v>
      </c>
      <c r="AC429" s="46">
        <v>0</v>
      </c>
    </row>
    <row r="430" spans="1:29" ht="16.5" customHeight="1" x14ac:dyDescent="0.3">
      <c r="A430" s="49"/>
      <c r="B430" s="130" t="str">
        <f ca="1">'Translation Table'!H2150</f>
        <v>Separator: Horizontal (Phases: 2)</v>
      </c>
      <c r="C430" s="54" t="str">
        <f ca="1">'Translation Table'!H2150</f>
        <v>Separator: Horizontal (Phases: 2)</v>
      </c>
      <c r="D430" s="219">
        <v>1</v>
      </c>
      <c r="E430" s="221">
        <v>0</v>
      </c>
      <c r="F430" s="221"/>
      <c r="G430" s="221"/>
      <c r="H430" s="221">
        <v>0</v>
      </c>
      <c r="I430" s="221"/>
      <c r="J430" s="221"/>
      <c r="K430" s="219">
        <f t="shared" si="7"/>
        <v>12</v>
      </c>
      <c r="L430" s="219">
        <v>12</v>
      </c>
      <c r="M430" s="219">
        <v>0</v>
      </c>
      <c r="N430" s="219">
        <v>40</v>
      </c>
      <c r="O430" s="219">
        <v>2</v>
      </c>
      <c r="P430" s="221"/>
      <c r="Q430" s="221"/>
      <c r="R430" s="221"/>
      <c r="S430" s="221"/>
      <c r="T430" s="221"/>
      <c r="U430" s="221"/>
      <c r="V430" s="221">
        <v>2</v>
      </c>
      <c r="W430" s="220">
        <v>17</v>
      </c>
      <c r="X430" s="220">
        <v>58</v>
      </c>
      <c r="Y430" s="220"/>
      <c r="Z430" s="221">
        <v>1</v>
      </c>
      <c r="AA430" s="220" t="s">
        <v>517</v>
      </c>
      <c r="AC430" s="46">
        <v>0</v>
      </c>
    </row>
    <row r="431" spans="1:29" ht="16.5" customHeight="1" x14ac:dyDescent="0.3">
      <c r="A431" s="49"/>
      <c r="B431" s="54" t="str">
        <f ca="1">'Translation Table'!H2151</f>
        <v>Separator: Horizontal (Phases: 3)</v>
      </c>
      <c r="C431" s="54" t="str">
        <f ca="1">'Translation Table'!H2151</f>
        <v>Separator: Horizontal (Phases: 3)</v>
      </c>
      <c r="D431" s="219">
        <v>1</v>
      </c>
      <c r="E431" s="221">
        <v>0</v>
      </c>
      <c r="F431" s="221"/>
      <c r="G431" s="221"/>
      <c r="H431" s="221">
        <v>0</v>
      </c>
      <c r="I431" s="221"/>
      <c r="J431" s="221"/>
      <c r="K431" s="219">
        <f t="shared" si="7"/>
        <v>12</v>
      </c>
      <c r="L431" s="219">
        <v>12</v>
      </c>
      <c r="M431" s="219">
        <v>0</v>
      </c>
      <c r="N431" s="219">
        <v>40</v>
      </c>
      <c r="O431" s="219">
        <v>2</v>
      </c>
      <c r="P431" s="221"/>
      <c r="Q431" s="221"/>
      <c r="R431" s="221"/>
      <c r="S431" s="221"/>
      <c r="T431" s="221"/>
      <c r="U431" s="221"/>
      <c r="V431" s="221">
        <v>2</v>
      </c>
      <c r="W431" s="220">
        <v>17</v>
      </c>
      <c r="X431" s="220">
        <v>58</v>
      </c>
      <c r="Y431" s="220"/>
      <c r="Z431" s="221">
        <v>1</v>
      </c>
      <c r="AA431" s="220" t="s">
        <v>2474</v>
      </c>
      <c r="AC431" s="46">
        <v>0</v>
      </c>
    </row>
    <row r="432" spans="1:29" ht="16.5" customHeight="1" x14ac:dyDescent="0.3">
      <c r="A432" s="49"/>
      <c r="B432" s="130" t="str">
        <f ca="1">'Translation Table'!H2152</f>
        <v>Separator: Vertical (Phases: 2)</v>
      </c>
      <c r="C432" s="54" t="str">
        <f ca="1">'Translation Table'!H2152</f>
        <v>Separator: Vertical (Phases: 2)</v>
      </c>
      <c r="D432" s="219">
        <v>1</v>
      </c>
      <c r="E432" s="221">
        <v>0</v>
      </c>
      <c r="F432" s="221"/>
      <c r="G432" s="221"/>
      <c r="H432" s="221">
        <v>0</v>
      </c>
      <c r="I432" s="221"/>
      <c r="J432" s="221"/>
      <c r="K432" s="219">
        <f t="shared" si="7"/>
        <v>12</v>
      </c>
      <c r="L432" s="219">
        <v>12</v>
      </c>
      <c r="M432" s="219">
        <v>0</v>
      </c>
      <c r="N432" s="219">
        <v>40</v>
      </c>
      <c r="O432" s="219">
        <v>2</v>
      </c>
      <c r="P432" s="221"/>
      <c r="Q432" s="221"/>
      <c r="R432" s="221"/>
      <c r="S432" s="221"/>
      <c r="T432" s="221"/>
      <c r="U432" s="221"/>
      <c r="V432" s="221">
        <v>2</v>
      </c>
      <c r="W432" s="220">
        <v>17</v>
      </c>
      <c r="X432" s="220">
        <v>58</v>
      </c>
      <c r="Y432" s="220"/>
      <c r="Z432" s="221">
        <v>1</v>
      </c>
      <c r="AA432" s="220" t="s">
        <v>517</v>
      </c>
      <c r="AC432" s="46">
        <v>0</v>
      </c>
    </row>
    <row r="433" spans="1:27" ht="16.5" customHeight="1" x14ac:dyDescent="0.3">
      <c r="A433" s="49"/>
      <c r="B433" s="54" t="str">
        <f ca="1">'Translation Table'!H2153</f>
        <v>Separator: Vertical (Phases: 3)</v>
      </c>
      <c r="C433" s="54" t="str">
        <f ca="1">'Translation Table'!H2153</f>
        <v>Separator: Vertical (Phases: 3)</v>
      </c>
      <c r="D433" s="219">
        <v>1</v>
      </c>
      <c r="E433" s="221">
        <v>0</v>
      </c>
      <c r="F433" s="221"/>
      <c r="G433" s="221"/>
      <c r="H433" s="221">
        <v>0</v>
      </c>
      <c r="I433" s="221"/>
      <c r="J433" s="221"/>
      <c r="K433" s="219">
        <f t="shared" si="7"/>
        <v>12</v>
      </c>
      <c r="L433" s="219">
        <v>12</v>
      </c>
      <c r="M433" s="219">
        <v>0</v>
      </c>
      <c r="N433" s="219">
        <v>40</v>
      </c>
      <c r="O433" s="219">
        <v>2</v>
      </c>
      <c r="P433" s="221"/>
      <c r="Q433" s="221"/>
      <c r="R433" s="221"/>
      <c r="S433" s="221"/>
      <c r="T433" s="221"/>
      <c r="U433" s="221"/>
      <c r="V433" s="221">
        <v>2</v>
      </c>
      <c r="W433" s="220">
        <v>17</v>
      </c>
      <c r="X433" s="220">
        <v>58</v>
      </c>
      <c r="Y433" s="220"/>
      <c r="Z433" s="221">
        <v>1</v>
      </c>
      <c r="AA433" s="220" t="s">
        <v>2474</v>
      </c>
    </row>
    <row r="434" spans="1:27" ht="16.5" customHeight="1" x14ac:dyDescent="0.3">
      <c r="A434" s="49"/>
      <c r="B434" s="130" t="str">
        <f ca="1">'Translation Table'!H2154</f>
        <v>Stabilizer: with Reflux Loop</v>
      </c>
      <c r="C434" s="54" t="str">
        <f ca="1">'Translation Table'!H2154</f>
        <v>Stabilizer: with Reflux Loop</v>
      </c>
      <c r="D434" s="219">
        <v>3</v>
      </c>
      <c r="E434" s="221">
        <v>0</v>
      </c>
      <c r="F434" s="221"/>
      <c r="G434" s="221"/>
      <c r="H434" s="221"/>
      <c r="I434" s="221"/>
      <c r="J434" s="221"/>
      <c r="K434" s="219">
        <f t="shared" si="7"/>
        <v>20</v>
      </c>
      <c r="L434" s="219">
        <v>20</v>
      </c>
      <c r="M434" s="219"/>
      <c r="N434" s="219">
        <v>80</v>
      </c>
      <c r="O434" s="219">
        <v>2</v>
      </c>
      <c r="P434" s="221"/>
      <c r="Q434" s="221"/>
      <c r="R434" s="221"/>
      <c r="S434" s="221"/>
      <c r="T434" s="221"/>
      <c r="U434" s="221"/>
      <c r="V434" s="221">
        <v>4</v>
      </c>
      <c r="W434" s="220">
        <v>77</v>
      </c>
      <c r="X434" s="220">
        <v>247</v>
      </c>
      <c r="Y434" s="220"/>
      <c r="Z434" s="221">
        <v>1</v>
      </c>
      <c r="AA434" s="220" t="s">
        <v>517</v>
      </c>
    </row>
    <row r="435" spans="1:27" ht="16.5" customHeight="1" x14ac:dyDescent="0.3">
      <c r="A435" s="49"/>
      <c r="B435" s="54" t="str">
        <f ca="1">'Translation Table'!H2155</f>
        <v>Stabilizer: without Reflux Loop</v>
      </c>
      <c r="C435" s="54" t="str">
        <f ca="1">'Translation Table'!H2155</f>
        <v>Stabilizer: without Reflux Loop</v>
      </c>
      <c r="D435" s="219">
        <v>2</v>
      </c>
      <c r="E435" s="221">
        <v>0</v>
      </c>
      <c r="F435" s="221"/>
      <c r="G435" s="221"/>
      <c r="H435" s="221"/>
      <c r="I435" s="221"/>
      <c r="J435" s="221"/>
      <c r="K435" s="219">
        <f t="shared" si="7"/>
        <v>17</v>
      </c>
      <c r="L435" s="219">
        <v>17</v>
      </c>
      <c r="M435" s="219"/>
      <c r="N435" s="219">
        <v>74</v>
      </c>
      <c r="O435" s="219">
        <v>2</v>
      </c>
      <c r="P435" s="221"/>
      <c r="Q435" s="221"/>
      <c r="R435" s="221"/>
      <c r="S435" s="221"/>
      <c r="T435" s="221"/>
      <c r="U435" s="221"/>
      <c r="V435" s="221">
        <v>3</v>
      </c>
      <c r="W435" s="220">
        <v>74</v>
      </c>
      <c r="X435" s="220">
        <v>241</v>
      </c>
      <c r="Y435" s="220"/>
      <c r="Z435" s="221">
        <v>1</v>
      </c>
      <c r="AA435" s="220" t="s">
        <v>2474</v>
      </c>
    </row>
    <row r="436" spans="1:27" ht="16.5" customHeight="1" x14ac:dyDescent="0.3">
      <c r="A436" s="49"/>
      <c r="B436" s="130" t="str">
        <f ca="1">'Translation Table'!H2156</f>
        <v>Storage Tank (Produced Oil, with Vapor Control)</v>
      </c>
      <c r="C436" s="54" t="str">
        <f ca="1">'Translation Table'!H2156</f>
        <v>Storage Tank (Produced Oil, with Vapor Control)</v>
      </c>
      <c r="D436" s="219">
        <v>1</v>
      </c>
      <c r="E436" s="221">
        <v>0</v>
      </c>
      <c r="F436" s="221"/>
      <c r="G436" s="221"/>
      <c r="H436" s="221"/>
      <c r="I436" s="221"/>
      <c r="J436" s="221"/>
      <c r="K436" s="219">
        <f t="shared" si="7"/>
        <v>1</v>
      </c>
      <c r="L436" s="219">
        <v>1</v>
      </c>
      <c r="M436" s="219"/>
      <c r="N436" s="219">
        <v>2</v>
      </c>
      <c r="O436" s="219">
        <v>1</v>
      </c>
      <c r="P436" s="221"/>
      <c r="Q436" s="221"/>
      <c r="R436" s="221"/>
      <c r="S436" s="221"/>
      <c r="T436" s="221"/>
      <c r="U436" s="221"/>
      <c r="V436" s="221">
        <v>0</v>
      </c>
      <c r="W436" s="220">
        <v>10</v>
      </c>
      <c r="X436" s="220">
        <v>24</v>
      </c>
      <c r="Y436" s="220"/>
      <c r="Z436" s="221">
        <v>0</v>
      </c>
      <c r="AA436" s="220" t="s">
        <v>517</v>
      </c>
    </row>
    <row r="437" spans="1:27" ht="16.5" customHeight="1" x14ac:dyDescent="0.3">
      <c r="A437" s="49"/>
      <c r="B437" s="54" t="str">
        <f ca="1">'Translation Table'!H2157</f>
        <v>Storage Tank (Produced Oil, without Vapor Control)</v>
      </c>
      <c r="C437" s="54" t="str">
        <f ca="1">'Translation Table'!H2157</f>
        <v>Storage Tank (Produced Oil, without Vapor Control)</v>
      </c>
      <c r="D437" s="219">
        <v>0</v>
      </c>
      <c r="E437" s="221">
        <v>0</v>
      </c>
      <c r="F437" s="221"/>
      <c r="G437" s="221"/>
      <c r="H437" s="221"/>
      <c r="I437" s="221"/>
      <c r="J437" s="221"/>
      <c r="K437" s="219">
        <f t="shared" si="7"/>
        <v>0</v>
      </c>
      <c r="L437" s="219">
        <v>0</v>
      </c>
      <c r="M437" s="219"/>
      <c r="N437" s="219">
        <v>0</v>
      </c>
      <c r="O437" s="219">
        <v>0</v>
      </c>
      <c r="P437" s="221"/>
      <c r="Q437" s="221"/>
      <c r="R437" s="221"/>
      <c r="S437" s="221"/>
      <c r="T437" s="221"/>
      <c r="U437" s="221"/>
      <c r="V437" s="221">
        <v>0</v>
      </c>
      <c r="W437" s="220">
        <v>10</v>
      </c>
      <c r="X437" s="220">
        <v>24</v>
      </c>
      <c r="Y437" s="220"/>
      <c r="Z437" s="221">
        <v>0</v>
      </c>
      <c r="AA437" s="220" t="s">
        <v>517</v>
      </c>
    </row>
    <row r="438" spans="1:27" ht="16.5" customHeight="1" x14ac:dyDescent="0.3">
      <c r="A438" s="49"/>
      <c r="B438" s="130" t="str">
        <f ca="1">'Translation Table'!H2158</f>
        <v>Storage Tank (Produced Water, with Vapor Control)</v>
      </c>
      <c r="C438" s="54" t="str">
        <f ca="1">'Translation Table'!H2158</f>
        <v>Storage Tank (Produced Water, with Vapor Control)</v>
      </c>
      <c r="D438" s="219">
        <v>1</v>
      </c>
      <c r="E438" s="221">
        <v>0</v>
      </c>
      <c r="F438" s="221"/>
      <c r="G438" s="221"/>
      <c r="H438" s="221"/>
      <c r="I438" s="221"/>
      <c r="J438" s="221"/>
      <c r="K438" s="219">
        <f t="shared" si="7"/>
        <v>1</v>
      </c>
      <c r="L438" s="219">
        <v>1</v>
      </c>
      <c r="M438" s="219"/>
      <c r="N438" s="219">
        <v>2</v>
      </c>
      <c r="O438" s="219">
        <v>1</v>
      </c>
      <c r="P438" s="221"/>
      <c r="Q438" s="221"/>
      <c r="R438" s="221"/>
      <c r="S438" s="221"/>
      <c r="T438" s="221"/>
      <c r="U438" s="221"/>
      <c r="V438" s="221">
        <v>0</v>
      </c>
      <c r="W438" s="220">
        <v>10</v>
      </c>
      <c r="X438" s="220">
        <v>24</v>
      </c>
      <c r="Y438" s="220"/>
      <c r="Z438" s="221">
        <v>0</v>
      </c>
      <c r="AA438" s="220" t="s">
        <v>517</v>
      </c>
    </row>
    <row r="439" spans="1:27" ht="16.5" customHeight="1" x14ac:dyDescent="0.3">
      <c r="A439" s="49"/>
      <c r="B439" s="54" t="str">
        <f ca="1">'Translation Table'!H2159</f>
        <v>Storage Tank (Produced Water, without Vapor Control)</v>
      </c>
      <c r="C439" s="54" t="str">
        <f ca="1">'Translation Table'!H2159</f>
        <v>Storage Tank (Produced Water, without Vapor Control)</v>
      </c>
      <c r="D439" s="219">
        <v>0</v>
      </c>
      <c r="E439" s="221">
        <v>0</v>
      </c>
      <c r="F439" s="221"/>
      <c r="G439" s="221"/>
      <c r="H439" s="221"/>
      <c r="I439" s="221"/>
      <c r="J439" s="221"/>
      <c r="K439" s="219">
        <f t="shared" si="7"/>
        <v>0</v>
      </c>
      <c r="L439" s="219">
        <v>0</v>
      </c>
      <c r="M439" s="219"/>
      <c r="N439" s="219">
        <v>0</v>
      </c>
      <c r="O439" s="219">
        <v>0</v>
      </c>
      <c r="P439" s="221"/>
      <c r="Q439" s="221"/>
      <c r="R439" s="221"/>
      <c r="S439" s="221"/>
      <c r="T439" s="221"/>
      <c r="U439" s="221"/>
      <c r="V439" s="221">
        <v>0</v>
      </c>
      <c r="W439" s="220">
        <v>10</v>
      </c>
      <c r="X439" s="220">
        <v>24</v>
      </c>
      <c r="Y439" s="220"/>
      <c r="Z439" s="221">
        <v>0</v>
      </c>
      <c r="AA439" s="220" t="s">
        <v>517</v>
      </c>
    </row>
    <row r="440" spans="1:27" ht="16.5" customHeight="1" x14ac:dyDescent="0.3">
      <c r="A440" s="49"/>
      <c r="B440" s="130" t="str">
        <f ca="1">'Translation Table'!H2160</f>
        <v>Storage Tank: Chemicals with Natural Gas Blanketing)</v>
      </c>
      <c r="C440" s="54" t="str">
        <f ca="1">'Translation Table'!H2160</f>
        <v>Storage Tank: Chemicals with Natural Gas Blanketing)</v>
      </c>
      <c r="D440" s="219">
        <v>1</v>
      </c>
      <c r="E440" s="221">
        <v>0</v>
      </c>
      <c r="F440" s="221"/>
      <c r="G440" s="221"/>
      <c r="H440" s="221">
        <v>0</v>
      </c>
      <c r="I440" s="221"/>
      <c r="J440" s="221"/>
      <c r="K440" s="219">
        <f t="shared" si="7"/>
        <v>1</v>
      </c>
      <c r="L440" s="219">
        <v>1</v>
      </c>
      <c r="M440" s="219"/>
      <c r="N440" s="219">
        <v>2</v>
      </c>
      <c r="O440" s="219">
        <v>1</v>
      </c>
      <c r="P440" s="221"/>
      <c r="Q440" s="221"/>
      <c r="R440" s="221"/>
      <c r="S440" s="221"/>
      <c r="T440" s="221"/>
      <c r="U440" s="221"/>
      <c r="V440" s="221">
        <v>0</v>
      </c>
      <c r="W440" s="220">
        <v>0</v>
      </c>
      <c r="X440" s="220">
        <v>0</v>
      </c>
      <c r="Y440" s="220"/>
      <c r="Z440" s="221">
        <v>0</v>
      </c>
      <c r="AA440" s="691" t="s">
        <v>3413</v>
      </c>
    </row>
    <row r="441" spans="1:27" ht="16.5" customHeight="1" x14ac:dyDescent="0.3">
      <c r="A441" s="49"/>
      <c r="B441" s="54" t="str">
        <f ca="1">'Translation Table'!H2161</f>
        <v>Sulphur Recovery: Claus</v>
      </c>
      <c r="C441" s="54" t="str">
        <f ca="1">'Translation Table'!H2161</f>
        <v>Sulphur Recovery: Claus</v>
      </c>
      <c r="D441" s="219">
        <v>1</v>
      </c>
      <c r="E441" s="221">
        <v>0</v>
      </c>
      <c r="F441" s="221"/>
      <c r="G441" s="221"/>
      <c r="H441" s="221"/>
      <c r="I441" s="221"/>
      <c r="J441" s="221"/>
      <c r="K441" s="219">
        <f t="shared" si="7"/>
        <v>31</v>
      </c>
      <c r="L441" s="219">
        <v>31</v>
      </c>
      <c r="M441" s="219"/>
      <c r="N441" s="219">
        <v>134</v>
      </c>
      <c r="O441" s="219">
        <v>4</v>
      </c>
      <c r="P441" s="221"/>
      <c r="Q441" s="221"/>
      <c r="R441" s="221"/>
      <c r="S441" s="221"/>
      <c r="T441" s="221"/>
      <c r="U441" s="221"/>
      <c r="V441" s="221">
        <v>2</v>
      </c>
      <c r="W441" s="220">
        <v>7</v>
      </c>
      <c r="X441" s="220">
        <v>12</v>
      </c>
      <c r="Y441" s="220"/>
      <c r="Z441" s="221">
        <v>1</v>
      </c>
      <c r="AA441" s="220" t="s">
        <v>517</v>
      </c>
    </row>
    <row r="442" spans="1:27" ht="16.5" customHeight="1" x14ac:dyDescent="0.3">
      <c r="A442" s="49"/>
      <c r="B442" s="130" t="str">
        <f ca="1">'Translation Table'!H2162</f>
        <v>Sulphur Recovery: MCRC (Sub-dewpoint)</v>
      </c>
      <c r="C442" s="54" t="str">
        <f ca="1">'Translation Table'!H2162</f>
        <v>Sulphur Recovery: MCRC (Sub-dewpoint)</v>
      </c>
      <c r="D442" s="219">
        <v>1</v>
      </c>
      <c r="E442" s="221">
        <v>0</v>
      </c>
      <c r="F442" s="221"/>
      <c r="G442" s="221"/>
      <c r="H442" s="221"/>
      <c r="I442" s="221"/>
      <c r="J442" s="221"/>
      <c r="K442" s="219">
        <f t="shared" si="7"/>
        <v>31</v>
      </c>
      <c r="L442" s="219">
        <v>31</v>
      </c>
      <c r="M442" s="219"/>
      <c r="N442" s="219">
        <v>134</v>
      </c>
      <c r="O442" s="219">
        <v>4</v>
      </c>
      <c r="P442" s="221"/>
      <c r="Q442" s="221"/>
      <c r="R442" s="221"/>
      <c r="S442" s="221"/>
      <c r="T442" s="221"/>
      <c r="U442" s="221"/>
      <c r="V442" s="221">
        <v>2</v>
      </c>
      <c r="W442" s="220">
        <v>7</v>
      </c>
      <c r="X442" s="220">
        <v>12</v>
      </c>
      <c r="Y442" s="220"/>
      <c r="Z442" s="221">
        <v>1</v>
      </c>
      <c r="AA442" s="220" t="s">
        <v>517</v>
      </c>
    </row>
    <row r="443" spans="1:27" ht="16.5" customHeight="1" x14ac:dyDescent="0.3">
      <c r="A443" s="49"/>
      <c r="B443" s="54" t="str">
        <f ca="1">'Translation Table'!H2163</f>
        <v>Sweetening: (Physical Solvent)</v>
      </c>
      <c r="C443" s="54" t="str">
        <f ca="1">'Translation Table'!H2163</f>
        <v>Sweetening: (Physical Solvent)</v>
      </c>
      <c r="D443" s="219">
        <v>4</v>
      </c>
      <c r="E443" s="221">
        <v>0</v>
      </c>
      <c r="F443" s="221"/>
      <c r="G443" s="221"/>
      <c r="H443" s="221"/>
      <c r="I443" s="221"/>
      <c r="J443" s="221"/>
      <c r="K443" s="219">
        <f t="shared" si="7"/>
        <v>104</v>
      </c>
      <c r="L443" s="219">
        <v>104</v>
      </c>
      <c r="M443" s="219"/>
      <c r="N443" s="219">
        <v>248</v>
      </c>
      <c r="O443" s="219">
        <v>2</v>
      </c>
      <c r="P443" s="221"/>
      <c r="Q443" s="221"/>
      <c r="R443" s="221"/>
      <c r="S443" s="221"/>
      <c r="T443" s="221"/>
      <c r="U443" s="221"/>
      <c r="V443" s="221">
        <v>6</v>
      </c>
      <c r="W443" s="220">
        <v>26</v>
      </c>
      <c r="X443" s="220">
        <v>62</v>
      </c>
      <c r="Y443" s="220"/>
      <c r="Z443" s="221">
        <v>3</v>
      </c>
      <c r="AA443" s="220" t="s">
        <v>517</v>
      </c>
    </row>
    <row r="444" spans="1:27" ht="16.5" customHeight="1" x14ac:dyDescent="0.3">
      <c r="A444" s="49"/>
      <c r="B444" s="130" t="str">
        <f ca="1">'Translation Table'!H2164</f>
        <v>Sweetening: Chemsweet</v>
      </c>
      <c r="C444" s="54" t="str">
        <f ca="1">'Translation Table'!H2164</f>
        <v>Sweetening: Chemsweet</v>
      </c>
      <c r="D444" s="219">
        <v>8</v>
      </c>
      <c r="E444" s="221">
        <v>0</v>
      </c>
      <c r="F444" s="221"/>
      <c r="G444" s="221"/>
      <c r="H444" s="221"/>
      <c r="I444" s="221"/>
      <c r="J444" s="221"/>
      <c r="K444" s="219">
        <f t="shared" si="7"/>
        <v>63</v>
      </c>
      <c r="L444" s="219">
        <v>63</v>
      </c>
      <c r="M444" s="219"/>
      <c r="N444" s="219">
        <v>243</v>
      </c>
      <c r="O444" s="219">
        <v>2</v>
      </c>
      <c r="P444" s="221"/>
      <c r="Q444" s="221"/>
      <c r="R444" s="221"/>
      <c r="S444" s="221"/>
      <c r="T444" s="221"/>
      <c r="U444" s="221"/>
      <c r="V444" s="221">
        <v>6</v>
      </c>
      <c r="W444" s="220">
        <v>2</v>
      </c>
      <c r="X444" s="220">
        <v>0</v>
      </c>
      <c r="Y444" s="220"/>
      <c r="Z444" s="221">
        <v>3</v>
      </c>
      <c r="AA444" s="220" t="s">
        <v>517</v>
      </c>
    </row>
    <row r="445" spans="1:27" ht="16.5" customHeight="1" x14ac:dyDescent="0.3">
      <c r="A445" s="49"/>
      <c r="B445" s="54" t="str">
        <f ca="1">'Translation Table'!H2165</f>
        <v>Sweetening: DEA (Diethanolamine)</v>
      </c>
      <c r="C445" s="54" t="str">
        <f ca="1">'Translation Table'!H2165</f>
        <v>Sweetening: DEA (Diethanolamine)</v>
      </c>
      <c r="D445" s="219">
        <v>2</v>
      </c>
      <c r="E445" s="221">
        <v>3</v>
      </c>
      <c r="F445" s="221"/>
      <c r="G445" s="221"/>
      <c r="H445" s="221"/>
      <c r="I445" s="221"/>
      <c r="J445" s="221"/>
      <c r="K445" s="219">
        <f t="shared" si="7"/>
        <v>60</v>
      </c>
      <c r="L445" s="219">
        <v>60</v>
      </c>
      <c r="M445" s="219"/>
      <c r="N445" s="219">
        <v>702</v>
      </c>
      <c r="O445" s="219">
        <v>2</v>
      </c>
      <c r="P445" s="221"/>
      <c r="Q445" s="221"/>
      <c r="R445" s="221"/>
      <c r="S445" s="221"/>
      <c r="T445" s="221"/>
      <c r="U445" s="221"/>
      <c r="V445" s="221">
        <v>13</v>
      </c>
      <c r="W445" s="220">
        <v>1</v>
      </c>
      <c r="X445" s="220">
        <v>3</v>
      </c>
      <c r="Y445" s="220"/>
      <c r="Z445" s="221">
        <v>3</v>
      </c>
      <c r="AA445" s="220" t="s">
        <v>517</v>
      </c>
    </row>
    <row r="446" spans="1:27" ht="16.5" customHeight="1" x14ac:dyDescent="0.3">
      <c r="A446" s="49"/>
      <c r="B446" s="130" t="str">
        <f ca="1">'Translation Table'!H2166</f>
        <v>Sweetening: DGA (Diglycolamine)</v>
      </c>
      <c r="C446" s="54" t="str">
        <f ca="1">'Translation Table'!H2166</f>
        <v>Sweetening: DGA (Diglycolamine)</v>
      </c>
      <c r="D446" s="219">
        <v>2</v>
      </c>
      <c r="E446" s="221">
        <v>3</v>
      </c>
      <c r="F446" s="221"/>
      <c r="G446" s="221"/>
      <c r="H446" s="221"/>
      <c r="I446" s="221"/>
      <c r="J446" s="221"/>
      <c r="K446" s="219">
        <f t="shared" si="7"/>
        <v>60</v>
      </c>
      <c r="L446" s="219">
        <v>60</v>
      </c>
      <c r="M446" s="219"/>
      <c r="N446" s="219">
        <v>702</v>
      </c>
      <c r="O446" s="219">
        <v>2</v>
      </c>
      <c r="P446" s="221"/>
      <c r="Q446" s="221"/>
      <c r="R446" s="221"/>
      <c r="S446" s="221"/>
      <c r="T446" s="221"/>
      <c r="U446" s="221"/>
      <c r="V446" s="221">
        <v>13</v>
      </c>
      <c r="W446" s="220">
        <v>1</v>
      </c>
      <c r="X446" s="220">
        <v>3</v>
      </c>
      <c r="Y446" s="220"/>
      <c r="Z446" s="221">
        <v>3</v>
      </c>
      <c r="AA446" s="220" t="s">
        <v>517</v>
      </c>
    </row>
    <row r="447" spans="1:27" ht="16.5" customHeight="1" x14ac:dyDescent="0.3">
      <c r="A447" s="49"/>
      <c r="B447" s="54" t="str">
        <f ca="1">'Translation Table'!H2167</f>
        <v>Sweetening: Generic</v>
      </c>
      <c r="C447" s="54" t="str">
        <f ca="1">'Translation Table'!H2167</f>
        <v>Sweetening: Generic</v>
      </c>
      <c r="D447" s="219">
        <v>2</v>
      </c>
      <c r="E447" s="221">
        <v>3</v>
      </c>
      <c r="F447" s="221"/>
      <c r="G447" s="221"/>
      <c r="H447" s="221"/>
      <c r="I447" s="221"/>
      <c r="J447" s="221"/>
      <c r="K447" s="219">
        <f t="shared" si="7"/>
        <v>60</v>
      </c>
      <c r="L447" s="219">
        <v>60</v>
      </c>
      <c r="M447" s="219"/>
      <c r="N447" s="219">
        <v>702</v>
      </c>
      <c r="O447" s="219">
        <v>2</v>
      </c>
      <c r="P447" s="221"/>
      <c r="Q447" s="221"/>
      <c r="R447" s="221"/>
      <c r="S447" s="221"/>
      <c r="T447" s="221"/>
      <c r="U447" s="221"/>
      <c r="V447" s="221">
        <v>13</v>
      </c>
      <c r="W447" s="220">
        <v>1</v>
      </c>
      <c r="X447" s="220">
        <v>3</v>
      </c>
      <c r="Y447" s="220"/>
      <c r="Z447" s="221">
        <v>3</v>
      </c>
      <c r="AA447" s="220" t="s">
        <v>517</v>
      </c>
    </row>
    <row r="448" spans="1:27" ht="16.5" customHeight="1" x14ac:dyDescent="0.3">
      <c r="A448" s="49"/>
      <c r="B448" s="130" t="str">
        <f ca="1">'Translation Table'!H2168</f>
        <v>Sweetening: Iron Sponge</v>
      </c>
      <c r="C448" s="54" t="str">
        <f ca="1">'Translation Table'!H2168</f>
        <v>Sweetening: Iron Sponge</v>
      </c>
      <c r="D448" s="219">
        <v>1</v>
      </c>
      <c r="E448" s="221">
        <v>0</v>
      </c>
      <c r="F448" s="221"/>
      <c r="G448" s="221"/>
      <c r="H448" s="221"/>
      <c r="I448" s="221"/>
      <c r="J448" s="221"/>
      <c r="K448" s="219">
        <f t="shared" si="7"/>
        <v>31</v>
      </c>
      <c r="L448" s="219">
        <v>31</v>
      </c>
      <c r="M448" s="219"/>
      <c r="N448" s="219">
        <v>134</v>
      </c>
      <c r="O448" s="219">
        <v>2</v>
      </c>
      <c r="P448" s="221"/>
      <c r="Q448" s="221"/>
      <c r="R448" s="221"/>
      <c r="S448" s="221"/>
      <c r="T448" s="221"/>
      <c r="U448" s="221"/>
      <c r="V448" s="221">
        <v>2</v>
      </c>
      <c r="W448" s="220">
        <v>7</v>
      </c>
      <c r="X448" s="220">
        <v>12</v>
      </c>
      <c r="Y448" s="220"/>
      <c r="Z448" s="221">
        <v>3</v>
      </c>
      <c r="AA448" s="220" t="s">
        <v>517</v>
      </c>
    </row>
    <row r="449" spans="1:29" ht="16.5" customHeight="1" x14ac:dyDescent="0.3">
      <c r="A449" s="49"/>
      <c r="B449" s="54" t="str">
        <f ca="1">'Translation Table'!H2169</f>
        <v>Sweetening: LoCat</v>
      </c>
      <c r="C449" s="54" t="str">
        <f ca="1">'Translation Table'!H2169</f>
        <v>Sweetening: LoCat</v>
      </c>
      <c r="D449" s="219">
        <v>1</v>
      </c>
      <c r="E449" s="221">
        <v>0</v>
      </c>
      <c r="F449" s="221"/>
      <c r="G449" s="221"/>
      <c r="H449" s="221"/>
      <c r="I449" s="221"/>
      <c r="J449" s="221"/>
      <c r="K449" s="219">
        <f t="shared" si="7"/>
        <v>24</v>
      </c>
      <c r="L449" s="219">
        <v>24</v>
      </c>
      <c r="M449" s="219"/>
      <c r="N449" s="219">
        <v>100</v>
      </c>
      <c r="O449" s="219">
        <v>2</v>
      </c>
      <c r="P449" s="221"/>
      <c r="Q449" s="221"/>
      <c r="R449" s="221"/>
      <c r="S449" s="221"/>
      <c r="T449" s="221"/>
      <c r="U449" s="221"/>
      <c r="V449" s="221">
        <v>2</v>
      </c>
      <c r="W449" s="220">
        <v>7</v>
      </c>
      <c r="X449" s="220">
        <v>14</v>
      </c>
      <c r="Y449" s="220"/>
      <c r="Z449" s="221">
        <v>3</v>
      </c>
      <c r="AA449" s="220" t="s">
        <v>517</v>
      </c>
    </row>
    <row r="450" spans="1:29" ht="16.5" customHeight="1" x14ac:dyDescent="0.3">
      <c r="A450" s="49"/>
      <c r="B450" s="130" t="str">
        <f ca="1">'Translation Table'!H2170</f>
        <v>Sweetening: MDEA (Monodiethanolamine)</v>
      </c>
      <c r="C450" s="54" t="str">
        <f ca="1">'Translation Table'!H2170</f>
        <v>Sweetening: MDEA (Monodiethanolamine)</v>
      </c>
      <c r="D450" s="219">
        <v>2</v>
      </c>
      <c r="E450" s="221">
        <v>3</v>
      </c>
      <c r="F450" s="221"/>
      <c r="G450" s="221"/>
      <c r="H450" s="221"/>
      <c r="I450" s="221"/>
      <c r="J450" s="221"/>
      <c r="K450" s="219">
        <f t="shared" si="7"/>
        <v>60</v>
      </c>
      <c r="L450" s="219">
        <v>60</v>
      </c>
      <c r="M450" s="219"/>
      <c r="N450" s="219">
        <v>702</v>
      </c>
      <c r="O450" s="219">
        <v>2</v>
      </c>
      <c r="P450" s="221"/>
      <c r="Q450" s="221"/>
      <c r="R450" s="221"/>
      <c r="S450" s="221"/>
      <c r="T450" s="221"/>
      <c r="U450" s="221"/>
      <c r="V450" s="221">
        <v>13</v>
      </c>
      <c r="W450" s="220">
        <v>1</v>
      </c>
      <c r="X450" s="220">
        <v>3</v>
      </c>
      <c r="Y450" s="220"/>
      <c r="Z450" s="221">
        <v>3</v>
      </c>
      <c r="AA450" s="220" t="s">
        <v>517</v>
      </c>
    </row>
    <row r="451" spans="1:29" ht="16.5" customHeight="1" x14ac:dyDescent="0.3">
      <c r="A451" s="49"/>
      <c r="B451" s="54" t="str">
        <f ca="1">'Translation Table'!H2171</f>
        <v>Sweetening: MEA (Monoethanolamine)</v>
      </c>
      <c r="C451" s="54" t="str">
        <f ca="1">'Translation Table'!H2171</f>
        <v>Sweetening: MEA (Monoethanolamine)</v>
      </c>
      <c r="D451" s="219">
        <v>2</v>
      </c>
      <c r="E451" s="221">
        <v>3</v>
      </c>
      <c r="F451" s="221"/>
      <c r="G451" s="221"/>
      <c r="H451" s="221"/>
      <c r="I451" s="221"/>
      <c r="J451" s="221"/>
      <c r="K451" s="219">
        <f t="shared" si="7"/>
        <v>60</v>
      </c>
      <c r="L451" s="219">
        <v>60</v>
      </c>
      <c r="M451" s="219"/>
      <c r="N451" s="219">
        <v>702</v>
      </c>
      <c r="O451" s="219">
        <v>2</v>
      </c>
      <c r="P451" s="221"/>
      <c r="Q451" s="221"/>
      <c r="R451" s="221"/>
      <c r="S451" s="221"/>
      <c r="T451" s="221"/>
      <c r="U451" s="221"/>
      <c r="V451" s="221">
        <v>13</v>
      </c>
      <c r="W451" s="220">
        <v>1</v>
      </c>
      <c r="X451" s="220">
        <v>3</v>
      </c>
      <c r="Y451" s="220"/>
      <c r="Z451" s="221">
        <v>3</v>
      </c>
      <c r="AA451" s="220" t="s">
        <v>517</v>
      </c>
    </row>
    <row r="452" spans="1:29" ht="16.5" customHeight="1" x14ac:dyDescent="0.3">
      <c r="A452" s="49"/>
      <c r="B452" s="130" t="str">
        <f ca="1">'Translation Table'!H2172</f>
        <v>Sweetening: Selexol</v>
      </c>
      <c r="C452" s="54" t="str">
        <f ca="1">'Translation Table'!H2172</f>
        <v>Sweetening: Selexol</v>
      </c>
      <c r="D452" s="219">
        <v>4</v>
      </c>
      <c r="E452" s="221">
        <v>0</v>
      </c>
      <c r="F452" s="221"/>
      <c r="G452" s="221"/>
      <c r="H452" s="221"/>
      <c r="I452" s="221"/>
      <c r="J452" s="221"/>
      <c r="K452" s="219">
        <f t="shared" si="7"/>
        <v>104</v>
      </c>
      <c r="L452" s="219">
        <v>104</v>
      </c>
      <c r="M452" s="219"/>
      <c r="N452" s="219">
        <v>248</v>
      </c>
      <c r="O452" s="219">
        <v>2</v>
      </c>
      <c r="P452" s="221"/>
      <c r="Q452" s="221"/>
      <c r="R452" s="221"/>
      <c r="S452" s="221"/>
      <c r="T452" s="221"/>
      <c r="U452" s="221"/>
      <c r="V452" s="221">
        <v>6</v>
      </c>
      <c r="W452" s="220">
        <v>26</v>
      </c>
      <c r="X452" s="220">
        <v>62</v>
      </c>
      <c r="Y452" s="220"/>
      <c r="Z452" s="221">
        <v>3</v>
      </c>
      <c r="AA452" s="220" t="s">
        <v>517</v>
      </c>
    </row>
    <row r="453" spans="1:29" ht="16.5" customHeight="1" x14ac:dyDescent="0.3">
      <c r="A453" s="49"/>
      <c r="B453" s="54" t="str">
        <f ca="1">'Translation Table'!H2173</f>
        <v>Sweetening: Sulfacheck</v>
      </c>
      <c r="C453" s="54" t="str">
        <f ca="1">'Translation Table'!H2173</f>
        <v>Sweetening: Sulfacheck</v>
      </c>
      <c r="D453" s="219">
        <v>2</v>
      </c>
      <c r="E453" s="221">
        <v>3</v>
      </c>
      <c r="F453" s="221"/>
      <c r="G453" s="221"/>
      <c r="H453" s="221"/>
      <c r="I453" s="221"/>
      <c r="J453" s="221"/>
      <c r="K453" s="219">
        <f t="shared" si="7"/>
        <v>60</v>
      </c>
      <c r="L453" s="219">
        <v>60</v>
      </c>
      <c r="M453" s="219"/>
      <c r="N453" s="219">
        <v>702</v>
      </c>
      <c r="O453" s="219">
        <v>2</v>
      </c>
      <c r="P453" s="221"/>
      <c r="Q453" s="221"/>
      <c r="R453" s="221"/>
      <c r="S453" s="221"/>
      <c r="T453" s="221"/>
      <c r="U453" s="221"/>
      <c r="V453" s="221">
        <v>13</v>
      </c>
      <c r="W453" s="220">
        <v>1</v>
      </c>
      <c r="X453" s="220">
        <v>3</v>
      </c>
      <c r="Y453" s="220"/>
      <c r="Z453" s="221">
        <v>3</v>
      </c>
      <c r="AA453" s="220" t="s">
        <v>517</v>
      </c>
    </row>
    <row r="454" spans="1:29" ht="16.5" customHeight="1" x14ac:dyDescent="0.3">
      <c r="A454" s="49"/>
      <c r="B454" s="130" t="str">
        <f ca="1">'Translation Table'!H2174</f>
        <v>Sweetening: Sulfinol</v>
      </c>
      <c r="C454" s="54" t="str">
        <f ca="1">'Translation Table'!H2174</f>
        <v>Sweetening: Sulfinol</v>
      </c>
      <c r="D454" s="219">
        <v>2</v>
      </c>
      <c r="E454" s="221">
        <v>3</v>
      </c>
      <c r="F454" s="221"/>
      <c r="G454" s="221"/>
      <c r="H454" s="221"/>
      <c r="I454" s="221"/>
      <c r="J454" s="221"/>
      <c r="K454" s="219">
        <f t="shared" si="7"/>
        <v>60</v>
      </c>
      <c r="L454" s="219">
        <v>60</v>
      </c>
      <c r="M454" s="219"/>
      <c r="N454" s="219">
        <v>702</v>
      </c>
      <c r="O454" s="219">
        <v>2</v>
      </c>
      <c r="P454" s="221"/>
      <c r="Q454" s="221"/>
      <c r="R454" s="221"/>
      <c r="S454" s="221"/>
      <c r="T454" s="221"/>
      <c r="U454" s="221"/>
      <c r="V454" s="221">
        <v>12</v>
      </c>
      <c r="W454" s="220">
        <v>1</v>
      </c>
      <c r="X454" s="220">
        <v>3</v>
      </c>
      <c r="Y454" s="220"/>
      <c r="Z454" s="221">
        <v>3</v>
      </c>
      <c r="AA454" s="220" t="s">
        <v>517</v>
      </c>
    </row>
    <row r="455" spans="1:29" ht="16.5" customHeight="1" x14ac:dyDescent="0.3">
      <c r="A455" s="49"/>
      <c r="B455" s="54" t="str">
        <f ca="1">'Translation Table'!H2175</f>
        <v>Vapor Recovery Unit: Offshore</v>
      </c>
      <c r="C455" s="54" t="str">
        <f ca="1">'Translation Table'!H2175</f>
        <v>Vapor Recovery Unit: Offshore</v>
      </c>
      <c r="D455" s="219">
        <v>1</v>
      </c>
      <c r="E455" s="221">
        <v>8</v>
      </c>
      <c r="F455" s="221"/>
      <c r="G455" s="221"/>
      <c r="H455" s="221"/>
      <c r="I455" s="221"/>
      <c r="J455" s="221"/>
      <c r="K455" s="219">
        <f t="shared" ref="K455:K519" si="8">L455+M455</f>
        <v>41</v>
      </c>
      <c r="L455" s="219">
        <v>41</v>
      </c>
      <c r="M455" s="219"/>
      <c r="N455" s="219">
        <v>162</v>
      </c>
      <c r="O455" s="219">
        <v>2</v>
      </c>
      <c r="P455" s="221"/>
      <c r="Q455" s="221"/>
      <c r="R455" s="221"/>
      <c r="S455" s="221"/>
      <c r="T455" s="221"/>
      <c r="U455" s="221"/>
      <c r="V455" s="221">
        <v>1</v>
      </c>
      <c r="W455" s="220">
        <v>0</v>
      </c>
      <c r="X455" s="220">
        <v>0</v>
      </c>
      <c r="Y455" s="220"/>
      <c r="Z455" s="221">
        <v>1</v>
      </c>
      <c r="AA455" s="220" t="s">
        <v>2081</v>
      </c>
    </row>
    <row r="456" spans="1:29" ht="16.5" customHeight="1" x14ac:dyDescent="0.3">
      <c r="A456" s="49"/>
      <c r="B456" s="130" t="str">
        <f ca="1">'Translation Table'!H2176</f>
        <v>Vapor Recovery Unit: Onshore</v>
      </c>
      <c r="C456" s="54" t="str">
        <f ca="1">'Translation Table'!H2176</f>
        <v>Vapor Recovery Unit: Onshore</v>
      </c>
      <c r="D456" s="219">
        <v>1</v>
      </c>
      <c r="E456" s="221">
        <v>3</v>
      </c>
      <c r="F456" s="221"/>
      <c r="G456" s="221"/>
      <c r="H456" s="221"/>
      <c r="I456" s="221"/>
      <c r="J456" s="221"/>
      <c r="K456" s="219">
        <f t="shared" si="8"/>
        <v>10</v>
      </c>
      <c r="L456" s="219">
        <v>10</v>
      </c>
      <c r="M456" s="219"/>
      <c r="N456" s="219">
        <v>78</v>
      </c>
      <c r="O456" s="219">
        <v>2</v>
      </c>
      <c r="P456" s="221"/>
      <c r="Q456" s="221"/>
      <c r="R456" s="221"/>
      <c r="S456" s="221"/>
      <c r="T456" s="221"/>
      <c r="U456" s="221"/>
      <c r="V456" s="221">
        <v>1</v>
      </c>
      <c r="W456" s="220">
        <v>0</v>
      </c>
      <c r="X456" s="220">
        <v>0</v>
      </c>
      <c r="Y456" s="220"/>
      <c r="Z456" s="221">
        <v>1</v>
      </c>
      <c r="AA456" s="220" t="s">
        <v>2081</v>
      </c>
    </row>
    <row r="457" spans="1:29" ht="16.5" customHeight="1" x14ac:dyDescent="0.3">
      <c r="A457" s="49"/>
      <c r="B457" s="54" t="str">
        <f ca="1">'Translation Table'!H2177</f>
        <v>Well: Conventional Oil</v>
      </c>
      <c r="C457" s="54" t="str">
        <f ca="1">'Translation Table'!H2177</f>
        <v>Well: Conventional Oil</v>
      </c>
      <c r="D457" s="219">
        <v>1</v>
      </c>
      <c r="E457" s="221">
        <v>2</v>
      </c>
      <c r="F457" s="221"/>
      <c r="G457" s="221"/>
      <c r="H457" s="221"/>
      <c r="I457" s="221"/>
      <c r="J457" s="221"/>
      <c r="K457" s="219">
        <f t="shared" si="8"/>
        <v>13</v>
      </c>
      <c r="L457" s="219">
        <v>13</v>
      </c>
      <c r="M457" s="219"/>
      <c r="N457" s="219">
        <v>53</v>
      </c>
      <c r="O457" s="219">
        <v>0</v>
      </c>
      <c r="P457" s="221"/>
      <c r="Q457" s="221"/>
      <c r="R457" s="221"/>
      <c r="S457" s="221"/>
      <c r="T457" s="221"/>
      <c r="U457" s="221"/>
      <c r="V457" s="221">
        <v>0</v>
      </c>
      <c r="W457" s="220">
        <v>0</v>
      </c>
      <c r="X457" s="220">
        <v>0</v>
      </c>
      <c r="Y457" s="220"/>
      <c r="Z457" s="221">
        <v>0</v>
      </c>
      <c r="AA457" s="220" t="s">
        <v>2082</v>
      </c>
    </row>
    <row r="458" spans="1:29" ht="16.5" customHeight="1" x14ac:dyDescent="0.3">
      <c r="A458" s="49"/>
      <c r="B458" s="130" t="str">
        <f ca="1">'Translation Table'!H2178</f>
        <v>Well: Conventional Oil (Gas Lift)</v>
      </c>
      <c r="C458" s="54" t="str">
        <f ca="1">'Translation Table'!H2178</f>
        <v>Well: Conventional Oil (Gas Lift)</v>
      </c>
      <c r="D458" s="219">
        <v>0</v>
      </c>
      <c r="E458" s="221">
        <v>1</v>
      </c>
      <c r="F458" s="221"/>
      <c r="G458" s="221"/>
      <c r="H458" s="221">
        <v>0</v>
      </c>
      <c r="I458" s="221"/>
      <c r="J458" s="221"/>
      <c r="K458" s="219">
        <f t="shared" si="8"/>
        <v>15</v>
      </c>
      <c r="L458" s="219">
        <f>6+9</f>
        <v>15</v>
      </c>
      <c r="M458" s="219"/>
      <c r="N458" s="219">
        <f>17+21</f>
        <v>38</v>
      </c>
      <c r="O458" s="219">
        <v>0</v>
      </c>
      <c r="P458" s="221"/>
      <c r="Q458" s="221"/>
      <c r="R458" s="221"/>
      <c r="S458" s="221"/>
      <c r="T458" s="221"/>
      <c r="U458" s="221"/>
      <c r="V458" s="221">
        <v>0</v>
      </c>
      <c r="W458" s="220">
        <v>0</v>
      </c>
      <c r="X458" s="220">
        <v>0</v>
      </c>
      <c r="Y458" s="220"/>
      <c r="Z458" s="221">
        <v>0</v>
      </c>
      <c r="AA458" s="691" t="s">
        <v>2474</v>
      </c>
    </row>
    <row r="459" spans="1:29" ht="16.5" customHeight="1" x14ac:dyDescent="0.3">
      <c r="A459" s="49"/>
      <c r="B459" s="54" t="str">
        <f ca="1">'Translation Table'!H2179</f>
        <v>Well: Gas</v>
      </c>
      <c r="C459" s="54" t="str">
        <f ca="1">'Translation Table'!H2179</f>
        <v>Well: Gas</v>
      </c>
      <c r="D459" s="219">
        <v>0</v>
      </c>
      <c r="E459" s="221">
        <v>3</v>
      </c>
      <c r="F459" s="221"/>
      <c r="G459" s="221"/>
      <c r="H459" s="221"/>
      <c r="I459" s="221"/>
      <c r="J459" s="221"/>
      <c r="K459" s="219">
        <f t="shared" si="8"/>
        <v>16</v>
      </c>
      <c r="L459" s="219">
        <v>16</v>
      </c>
      <c r="M459" s="219"/>
      <c r="N459" s="219">
        <v>60</v>
      </c>
      <c r="O459" s="219">
        <v>2</v>
      </c>
      <c r="P459" s="221"/>
      <c r="Q459" s="221"/>
      <c r="R459" s="221"/>
      <c r="S459" s="221"/>
      <c r="T459" s="221"/>
      <c r="U459" s="221"/>
      <c r="V459" s="221">
        <v>1</v>
      </c>
      <c r="W459" s="220">
        <v>0</v>
      </c>
      <c r="X459" s="220">
        <v>0</v>
      </c>
      <c r="Y459" s="220"/>
      <c r="Z459" s="221">
        <v>0</v>
      </c>
      <c r="AA459" s="220" t="s">
        <v>2081</v>
      </c>
    </row>
    <row r="460" spans="1:29" ht="16.5" customHeight="1" x14ac:dyDescent="0.3">
      <c r="A460" s="49"/>
      <c r="B460" s="130" t="str">
        <f ca="1">'Translation Table'!H2180</f>
        <v>Well: Gas (Low-Pressure)</v>
      </c>
      <c r="C460" s="54" t="str">
        <f ca="1">'Translation Table'!H2180</f>
        <v>Well: Gas (Low-Pressure)</v>
      </c>
      <c r="D460" s="219">
        <v>0</v>
      </c>
      <c r="E460" s="221">
        <v>3</v>
      </c>
      <c r="F460" s="221"/>
      <c r="G460" s="221"/>
      <c r="H460" s="221"/>
      <c r="I460" s="221"/>
      <c r="J460" s="221"/>
      <c r="K460" s="219">
        <f t="shared" si="8"/>
        <v>16</v>
      </c>
      <c r="L460" s="219">
        <v>16</v>
      </c>
      <c r="M460" s="219"/>
      <c r="N460" s="219">
        <v>60</v>
      </c>
      <c r="O460" s="219">
        <v>2</v>
      </c>
      <c r="P460" s="221"/>
      <c r="Q460" s="221"/>
      <c r="R460" s="221"/>
      <c r="S460" s="221"/>
      <c r="T460" s="221"/>
      <c r="U460" s="221"/>
      <c r="V460" s="221">
        <v>1</v>
      </c>
      <c r="W460" s="220">
        <v>0</v>
      </c>
      <c r="X460" s="220">
        <v>0</v>
      </c>
      <c r="Y460" s="220"/>
      <c r="Z460" s="221">
        <v>0</v>
      </c>
      <c r="AA460" s="220" t="s">
        <v>2081</v>
      </c>
    </row>
    <row r="461" spans="1:29" ht="16.5" customHeight="1" x14ac:dyDescent="0.3">
      <c r="A461" s="49"/>
      <c r="B461" s="54" t="str">
        <f ca="1">'Translation Table'!H2181</f>
        <v>Well: Heavy Oil</v>
      </c>
      <c r="C461" s="54" t="str">
        <f ca="1">'Translation Table'!H2181</f>
        <v>Well: Heavy Oil</v>
      </c>
      <c r="D461" s="219">
        <v>0</v>
      </c>
      <c r="E461" s="221">
        <v>3</v>
      </c>
      <c r="F461" s="221"/>
      <c r="G461" s="221"/>
      <c r="H461" s="221"/>
      <c r="I461" s="221"/>
      <c r="J461" s="221"/>
      <c r="K461" s="219">
        <f t="shared" si="8"/>
        <v>8</v>
      </c>
      <c r="L461" s="219">
        <v>8</v>
      </c>
      <c r="M461" s="219"/>
      <c r="N461" s="219">
        <v>44</v>
      </c>
      <c r="O461" s="219">
        <v>0</v>
      </c>
      <c r="P461" s="221"/>
      <c r="Q461" s="221"/>
      <c r="R461" s="221"/>
      <c r="S461" s="221"/>
      <c r="T461" s="221"/>
      <c r="U461" s="221"/>
      <c r="V461" s="221">
        <v>0</v>
      </c>
      <c r="W461" s="220">
        <v>0</v>
      </c>
      <c r="X461" s="220">
        <v>0</v>
      </c>
      <c r="Y461" s="220"/>
      <c r="Z461" s="221">
        <v>0</v>
      </c>
      <c r="AA461" s="220" t="s">
        <v>2082</v>
      </c>
    </row>
    <row r="462" spans="1:29" ht="16.5" customHeight="1" x14ac:dyDescent="0.3">
      <c r="A462" s="49"/>
      <c r="B462" s="130" t="str">
        <f ca="1">'Translation Table'!H2182</f>
        <v>Well: Offshore</v>
      </c>
      <c r="C462" s="54" t="str">
        <f ca="1">'Translation Table'!H2182</f>
        <v>Well: Offshore</v>
      </c>
      <c r="D462" s="219">
        <v>0</v>
      </c>
      <c r="E462" s="221">
        <v>3</v>
      </c>
      <c r="F462" s="221"/>
      <c r="G462" s="221"/>
      <c r="H462" s="221"/>
      <c r="I462" s="221"/>
      <c r="J462" s="221"/>
      <c r="K462" s="219">
        <f t="shared" si="8"/>
        <v>16</v>
      </c>
      <c r="L462" s="219">
        <v>16</v>
      </c>
      <c r="M462" s="219"/>
      <c r="N462" s="219">
        <v>60</v>
      </c>
      <c r="O462" s="219">
        <v>2</v>
      </c>
      <c r="P462" s="221"/>
      <c r="Q462" s="221"/>
      <c r="R462" s="221"/>
      <c r="S462" s="221"/>
      <c r="T462" s="221"/>
      <c r="U462" s="221"/>
      <c r="V462" s="221">
        <v>1</v>
      </c>
      <c r="W462" s="220">
        <v>0</v>
      </c>
      <c r="X462" s="220">
        <v>0</v>
      </c>
      <c r="Y462" s="220"/>
      <c r="Z462" s="221">
        <v>0</v>
      </c>
      <c r="AA462" s="220" t="s">
        <v>2474</v>
      </c>
    </row>
    <row r="463" spans="1:29" ht="16.5" customHeight="1" x14ac:dyDescent="0.3">
      <c r="A463" s="49" t="str">
        <f ca="1">'Translation Table'!H1722</f>
        <v>Gas Transmission</v>
      </c>
      <c r="B463" s="54" t="str">
        <f ca="1">'Translation Table'!H2183</f>
        <v>Blowdown System: Generic (Pit or Vent)</v>
      </c>
      <c r="C463" s="54" t="str">
        <f ca="1">'Translation Table'!H2183</f>
        <v>Blowdown System: Generic (Pit or Vent)</v>
      </c>
      <c r="D463" s="219">
        <v>0</v>
      </c>
      <c r="E463" s="221">
        <v>0</v>
      </c>
      <c r="F463" s="221"/>
      <c r="G463" s="221"/>
      <c r="H463" s="221">
        <v>1</v>
      </c>
      <c r="I463" s="221"/>
      <c r="J463" s="221"/>
      <c r="K463" s="219">
        <f t="shared" si="8"/>
        <v>2</v>
      </c>
      <c r="L463" s="219">
        <v>1</v>
      </c>
      <c r="M463" s="219">
        <v>1</v>
      </c>
      <c r="N463" s="219">
        <v>2</v>
      </c>
      <c r="O463" s="219"/>
      <c r="P463" s="221"/>
      <c r="Q463" s="221"/>
      <c r="R463" s="221"/>
      <c r="S463" s="221"/>
      <c r="T463" s="221"/>
      <c r="U463" s="221"/>
      <c r="V463" s="221">
        <v>1</v>
      </c>
      <c r="W463" s="220">
        <v>0</v>
      </c>
      <c r="X463" s="220">
        <v>0</v>
      </c>
      <c r="Y463" s="220"/>
      <c r="Z463" s="221">
        <v>0</v>
      </c>
      <c r="AA463" s="220" t="s">
        <v>2474</v>
      </c>
      <c r="AC463" s="46">
        <v>0</v>
      </c>
    </row>
    <row r="464" spans="1:29" ht="16.5" customHeight="1" x14ac:dyDescent="0.3">
      <c r="A464" s="49"/>
      <c r="B464" s="130" t="str">
        <f ca="1">'Translation Table'!H2184</f>
        <v>Aerial Cooler: Natural Gas Service</v>
      </c>
      <c r="C464" s="54" t="str">
        <f ca="1">'Translation Table'!H2184</f>
        <v>Aerial Cooler: Natural Gas Service</v>
      </c>
      <c r="D464" s="219">
        <v>0</v>
      </c>
      <c r="E464" s="219">
        <v>0</v>
      </c>
      <c r="F464" s="219"/>
      <c r="G464" s="219"/>
      <c r="H464" s="219"/>
      <c r="I464" s="219"/>
      <c r="J464" s="219"/>
      <c r="K464" s="219">
        <f t="shared" si="8"/>
        <v>4</v>
      </c>
      <c r="L464" s="219">
        <v>4</v>
      </c>
      <c r="M464" s="219"/>
      <c r="N464" s="219">
        <v>428</v>
      </c>
      <c r="O464" s="219"/>
      <c r="P464" s="219"/>
      <c r="Q464" s="219"/>
      <c r="R464" s="219"/>
      <c r="S464" s="219"/>
      <c r="T464" s="219"/>
      <c r="U464" s="219"/>
      <c r="V464" s="219">
        <v>1</v>
      </c>
      <c r="W464" s="219"/>
      <c r="X464" s="219"/>
      <c r="Y464" s="219"/>
      <c r="Z464" s="219">
        <v>0</v>
      </c>
      <c r="AA464" s="220" t="s">
        <v>2474</v>
      </c>
    </row>
    <row r="465" spans="1:29" ht="16.5" customHeight="1" x14ac:dyDescent="0.3">
      <c r="A465" s="49"/>
      <c r="B465" s="54" t="str">
        <f ca="1">'Translation Table'!H2185</f>
        <v>Aerial Cooler: Hydrocarbon Liquid Service</v>
      </c>
      <c r="C465" s="54" t="str">
        <f ca="1">'Translation Table'!H2185</f>
        <v>Aerial Cooler: Hydrocarbon Liquid Service</v>
      </c>
      <c r="D465" s="219">
        <v>0</v>
      </c>
      <c r="E465" s="219">
        <v>0</v>
      </c>
      <c r="F465" s="219"/>
      <c r="G465" s="219"/>
      <c r="H465" s="219"/>
      <c r="I465" s="219"/>
      <c r="J465" s="219"/>
      <c r="K465" s="219">
        <f t="shared" si="8"/>
        <v>0</v>
      </c>
      <c r="L465" s="219"/>
      <c r="M465" s="219"/>
      <c r="N465" s="219"/>
      <c r="O465" s="219"/>
      <c r="P465" s="219"/>
      <c r="Q465" s="219"/>
      <c r="R465" s="219"/>
      <c r="S465" s="219"/>
      <c r="T465" s="219"/>
      <c r="U465" s="219"/>
      <c r="V465" s="219">
        <v>1</v>
      </c>
      <c r="W465" s="219">
        <v>4</v>
      </c>
      <c r="X465" s="219">
        <v>428</v>
      </c>
      <c r="Y465" s="219"/>
      <c r="Z465" s="219">
        <v>0</v>
      </c>
      <c r="AA465" s="220" t="s">
        <v>2474</v>
      </c>
    </row>
    <row r="466" spans="1:29" ht="16.5" customHeight="1" x14ac:dyDescent="0.3">
      <c r="A466" s="49"/>
      <c r="B466" s="130" t="str">
        <f ca="1">'Translation Table'!H2186</f>
        <v>Chemical Injection Pump: Pneumatic (Diaphragm Type)</v>
      </c>
      <c r="C466" s="54" t="str">
        <f ca="1">'Translation Table'!H2186</f>
        <v>Chemical Injection Pump: Pneumatic (Diaphragm Type)</v>
      </c>
      <c r="D466" s="219">
        <v>0</v>
      </c>
      <c r="E466" s="221">
        <v>1</v>
      </c>
      <c r="F466" s="221"/>
      <c r="G466" s="221"/>
      <c r="H466" s="221">
        <v>0</v>
      </c>
      <c r="I466" s="221"/>
      <c r="J466" s="221"/>
      <c r="K466" s="219">
        <f t="shared" si="8"/>
        <v>1</v>
      </c>
      <c r="L466" s="219">
        <v>1</v>
      </c>
      <c r="M466" s="219">
        <v>0</v>
      </c>
      <c r="N466" s="219">
        <v>6</v>
      </c>
      <c r="O466" s="219">
        <v>1</v>
      </c>
      <c r="P466" s="221"/>
      <c r="Q466" s="221"/>
      <c r="R466" s="221"/>
      <c r="S466" s="221"/>
      <c r="T466" s="221"/>
      <c r="U466" s="221"/>
      <c r="V466" s="221">
        <v>0</v>
      </c>
      <c r="W466" s="220">
        <v>0</v>
      </c>
      <c r="X466" s="220">
        <v>0</v>
      </c>
      <c r="Y466" s="220"/>
      <c r="Z466" s="221">
        <v>0</v>
      </c>
      <c r="AA466" s="220" t="s">
        <v>269</v>
      </c>
      <c r="AC466" s="46">
        <v>0</v>
      </c>
    </row>
    <row r="467" spans="1:29" ht="16.5" customHeight="1" x14ac:dyDescent="0.3">
      <c r="A467" s="49"/>
      <c r="B467" s="54" t="str">
        <f ca="1">'Translation Table'!H2187</f>
        <v>Chemical Injection Pump: Pneumatic (Piston Type)</v>
      </c>
      <c r="C467" s="54" t="str">
        <f ca="1">'Translation Table'!H2187</f>
        <v>Chemical Injection Pump: Pneumatic (Piston Type)</v>
      </c>
      <c r="D467" s="219">
        <v>0</v>
      </c>
      <c r="E467" s="221">
        <v>1</v>
      </c>
      <c r="F467" s="221"/>
      <c r="G467" s="221"/>
      <c r="H467" s="221">
        <v>0</v>
      </c>
      <c r="I467" s="221"/>
      <c r="J467" s="221"/>
      <c r="K467" s="219">
        <f t="shared" si="8"/>
        <v>1</v>
      </c>
      <c r="L467" s="219">
        <v>1</v>
      </c>
      <c r="M467" s="219"/>
      <c r="N467" s="219">
        <v>6</v>
      </c>
      <c r="O467" s="219">
        <v>1</v>
      </c>
      <c r="P467" s="221"/>
      <c r="Q467" s="221"/>
      <c r="R467" s="221"/>
      <c r="S467" s="221"/>
      <c r="T467" s="221"/>
      <c r="U467" s="221"/>
      <c r="V467" s="221">
        <v>0</v>
      </c>
      <c r="W467" s="220">
        <v>0</v>
      </c>
      <c r="X467" s="220">
        <v>0</v>
      </c>
      <c r="Y467" s="220"/>
      <c r="Z467" s="221">
        <v>0</v>
      </c>
      <c r="AA467" s="220" t="s">
        <v>269</v>
      </c>
      <c r="AC467" s="46">
        <v>0</v>
      </c>
    </row>
    <row r="468" spans="1:29" ht="16.5" customHeight="1" x14ac:dyDescent="0.3">
      <c r="A468" s="49"/>
      <c r="B468" s="130" t="str">
        <f ca="1">'Translation Table'!H2188</f>
        <v>Chemical Injection Pump: Pneumatic (Unknown Type)</v>
      </c>
      <c r="C468" s="54" t="str">
        <f ca="1">'Translation Table'!H2188</f>
        <v>Chemical Injection Pump: Pneumatic (Unknown Type)</v>
      </c>
      <c r="D468" s="219">
        <v>0</v>
      </c>
      <c r="E468" s="221">
        <v>1</v>
      </c>
      <c r="F468" s="221"/>
      <c r="G468" s="221"/>
      <c r="H468" s="221">
        <v>0</v>
      </c>
      <c r="I468" s="221"/>
      <c r="J468" s="221"/>
      <c r="K468" s="219">
        <f t="shared" si="8"/>
        <v>1</v>
      </c>
      <c r="L468" s="219">
        <v>1</v>
      </c>
      <c r="M468" s="219"/>
      <c r="N468" s="219">
        <v>6</v>
      </c>
      <c r="O468" s="219">
        <v>1</v>
      </c>
      <c r="P468" s="221"/>
      <c r="Q468" s="221"/>
      <c r="R468" s="221"/>
      <c r="S468" s="221"/>
      <c r="T468" s="221"/>
      <c r="U468" s="221"/>
      <c r="V468" s="221">
        <v>0</v>
      </c>
      <c r="W468" s="220">
        <v>0</v>
      </c>
      <c r="X468" s="220">
        <v>0</v>
      </c>
      <c r="Y468" s="220"/>
      <c r="Z468" s="221">
        <v>0</v>
      </c>
      <c r="AA468" s="220" t="s">
        <v>269</v>
      </c>
      <c r="AC468" s="46">
        <v>0</v>
      </c>
    </row>
    <row r="469" spans="1:29" ht="16.5" customHeight="1" x14ac:dyDescent="0.3">
      <c r="A469" s="49"/>
      <c r="B469" s="54" t="str">
        <f ca="1">'Translation Table'!H2189</f>
        <v>Compressor: Centrifugal: (Stages: 1) (Seals: Wet) (Driver: Electric Motor)</v>
      </c>
      <c r="C469" s="54" t="str">
        <f ca="1">'Translation Table'!H2189</f>
        <v>Compressor: Centrifugal: (Stages: 1) (Seals: Wet) (Driver: Electric Motor)</v>
      </c>
      <c r="D469" s="219">
        <v>1</v>
      </c>
      <c r="E469" s="221">
        <v>3</v>
      </c>
      <c r="F469" s="221"/>
      <c r="G469" s="221"/>
      <c r="H469" s="221">
        <v>1</v>
      </c>
      <c r="I469" s="221"/>
      <c r="J469" s="221"/>
      <c r="K469" s="219">
        <f t="shared" si="8"/>
        <v>48.75</v>
      </c>
      <c r="L469" s="219">
        <v>42.5</v>
      </c>
      <c r="M469" s="219">
        <v>6.25</v>
      </c>
      <c r="N469" s="219">
        <v>1415.25</v>
      </c>
      <c r="O469" s="219">
        <v>1</v>
      </c>
      <c r="P469" s="221"/>
      <c r="Q469" s="221">
        <v>2</v>
      </c>
      <c r="R469" s="221"/>
      <c r="S469" s="221"/>
      <c r="T469" s="221">
        <v>1</v>
      </c>
      <c r="U469" s="221"/>
      <c r="V469" s="221">
        <v>1</v>
      </c>
      <c r="W469" s="220">
        <v>3</v>
      </c>
      <c r="X469" s="220">
        <v>8</v>
      </c>
      <c r="Y469" s="220"/>
      <c r="Z469" s="221">
        <v>1</v>
      </c>
      <c r="AA469" s="220" t="s">
        <v>2474</v>
      </c>
      <c r="AC469" s="46">
        <v>0</v>
      </c>
    </row>
    <row r="470" spans="1:29" ht="16.5" customHeight="1" x14ac:dyDescent="0.3">
      <c r="A470" s="49"/>
      <c r="B470" s="130" t="str">
        <f ca="1">'Translation Table'!H2190</f>
        <v>Compressor: Centrifugal: (Stages: 1) (Seals: Wet) (Driver: Gas Turbine)</v>
      </c>
      <c r="C470" s="54" t="str">
        <f ca="1">'Translation Table'!H2190</f>
        <v>Compressor: Centrifugal: (Stages: 1) (Seals: Wet) (Driver: Gas Turbine)</v>
      </c>
      <c r="D470" s="219">
        <v>2.29</v>
      </c>
      <c r="E470" s="221">
        <v>3.43</v>
      </c>
      <c r="F470" s="221"/>
      <c r="G470" s="221"/>
      <c r="H470" s="221">
        <v>1</v>
      </c>
      <c r="I470" s="221"/>
      <c r="J470" s="221"/>
      <c r="K470" s="219">
        <f t="shared" si="8"/>
        <v>68.61</v>
      </c>
      <c r="L470" s="219">
        <v>62.36</v>
      </c>
      <c r="M470" s="219">
        <v>6.25</v>
      </c>
      <c r="N470" s="219">
        <v>1510.96</v>
      </c>
      <c r="O470" s="219">
        <v>5</v>
      </c>
      <c r="P470" s="221"/>
      <c r="Q470" s="221">
        <v>2</v>
      </c>
      <c r="R470" s="221"/>
      <c r="S470" s="221"/>
      <c r="T470" s="221">
        <v>1</v>
      </c>
      <c r="U470" s="221"/>
      <c r="V470" s="221">
        <v>5</v>
      </c>
      <c r="W470" s="220">
        <v>5</v>
      </c>
      <c r="X470" s="220">
        <v>11</v>
      </c>
      <c r="Y470" s="220"/>
      <c r="Z470" s="221">
        <v>2</v>
      </c>
      <c r="AA470" s="220" t="s">
        <v>2474</v>
      </c>
      <c r="AC470" s="46">
        <v>0</v>
      </c>
    </row>
    <row r="471" spans="1:29" ht="16.5" customHeight="1" x14ac:dyDescent="0.3">
      <c r="A471" s="49"/>
      <c r="B471" s="54" t="str">
        <f ca="1">'Translation Table'!H2191</f>
        <v>Compressor: Centrifugal: (Stages: 2) (Seals: Wet) (Driver: Electric Motor)</v>
      </c>
      <c r="C471" s="54" t="str">
        <f ca="1">'Translation Table'!H2191</f>
        <v>Compressor: Centrifugal: (Stages: 2) (Seals: Wet) (Driver: Electric Motor)</v>
      </c>
      <c r="D471" s="219">
        <v>2</v>
      </c>
      <c r="E471" s="221">
        <v>4.5</v>
      </c>
      <c r="F471" s="221"/>
      <c r="G471" s="221"/>
      <c r="H471" s="221">
        <v>1</v>
      </c>
      <c r="I471" s="221"/>
      <c r="J471" s="221"/>
      <c r="K471" s="219">
        <f t="shared" si="8"/>
        <v>76.5</v>
      </c>
      <c r="L471" s="219">
        <v>69.25</v>
      </c>
      <c r="M471" s="219">
        <v>7.25</v>
      </c>
      <c r="N471" s="219">
        <v>2736.75</v>
      </c>
      <c r="O471" s="219">
        <v>1</v>
      </c>
      <c r="P471" s="221"/>
      <c r="Q471" s="221">
        <v>4</v>
      </c>
      <c r="R471" s="221"/>
      <c r="S471" s="221"/>
      <c r="T471" s="221">
        <v>1</v>
      </c>
      <c r="U471" s="221"/>
      <c r="V471" s="221">
        <v>5</v>
      </c>
      <c r="W471" s="220">
        <v>6</v>
      </c>
      <c r="X471" s="220">
        <v>16</v>
      </c>
      <c r="Y471" s="220"/>
      <c r="Z471" s="221">
        <v>2</v>
      </c>
      <c r="AA471" s="220" t="s">
        <v>2474</v>
      </c>
      <c r="AC471" s="46">
        <v>0</v>
      </c>
    </row>
    <row r="472" spans="1:29" ht="16.5" customHeight="1" x14ac:dyDescent="0.3">
      <c r="A472" s="49"/>
      <c r="B472" s="130" t="str">
        <f ca="1">'Translation Table'!H2192</f>
        <v>Compressor: Centrifugal: (Stages: 2) (Seals: Wet) (Driver: Gas Turbine)</v>
      </c>
      <c r="C472" s="54" t="str">
        <f ca="1">'Translation Table'!H2192</f>
        <v>Compressor: Centrifugal: (Stages: 2) (Seals: Wet) (Driver: Gas Turbine)</v>
      </c>
      <c r="D472" s="219">
        <v>5</v>
      </c>
      <c r="E472" s="221">
        <v>4.93</v>
      </c>
      <c r="F472" s="221"/>
      <c r="G472" s="221"/>
      <c r="H472" s="221">
        <v>1</v>
      </c>
      <c r="I472" s="221"/>
      <c r="J472" s="221"/>
      <c r="K472" s="219">
        <f t="shared" si="8"/>
        <v>96.46</v>
      </c>
      <c r="L472" s="219">
        <v>89.11</v>
      </c>
      <c r="M472" s="219">
        <v>7.35</v>
      </c>
      <c r="N472" s="219">
        <v>2832.46</v>
      </c>
      <c r="O472" s="219">
        <v>5</v>
      </c>
      <c r="P472" s="221"/>
      <c r="Q472" s="221">
        <v>4</v>
      </c>
      <c r="R472" s="221"/>
      <c r="S472" s="221"/>
      <c r="T472" s="221">
        <v>1</v>
      </c>
      <c r="U472" s="221"/>
      <c r="V472" s="221">
        <v>5</v>
      </c>
      <c r="W472" s="220">
        <v>6</v>
      </c>
      <c r="X472" s="220">
        <v>16</v>
      </c>
      <c r="Y472" s="220"/>
      <c r="Z472" s="221">
        <v>3</v>
      </c>
      <c r="AA472" s="220" t="s">
        <v>2474</v>
      </c>
      <c r="AC472" s="46">
        <v>0</v>
      </c>
    </row>
    <row r="473" spans="1:29" ht="16.5" customHeight="1" x14ac:dyDescent="0.3">
      <c r="A473" s="49"/>
      <c r="B473" s="54" t="str">
        <f ca="1">'Translation Table'!H2193</f>
        <v>Compressor: Centrifugal: (Stages: 1) (Seals: Dry) (Driver: Electric Motor)</v>
      </c>
      <c r="C473" s="54" t="str">
        <f ca="1">'Translation Table'!H2193</f>
        <v>Compressor: Centrifugal: (Stages: 1) (Seals: Dry) (Driver: Electric Motor)</v>
      </c>
      <c r="D473" s="219">
        <v>1</v>
      </c>
      <c r="E473" s="221">
        <v>3</v>
      </c>
      <c r="F473" s="221"/>
      <c r="G473" s="221"/>
      <c r="H473" s="221">
        <v>1</v>
      </c>
      <c r="I473" s="221"/>
      <c r="J473" s="221"/>
      <c r="K473" s="219">
        <f t="shared" si="8"/>
        <v>48.75</v>
      </c>
      <c r="L473" s="219">
        <v>42.5</v>
      </c>
      <c r="M473" s="219">
        <v>6.25</v>
      </c>
      <c r="N473" s="219">
        <v>1415.25</v>
      </c>
      <c r="O473" s="219">
        <v>1</v>
      </c>
      <c r="P473" s="221"/>
      <c r="Q473" s="221"/>
      <c r="R473" s="221">
        <v>2</v>
      </c>
      <c r="S473" s="221"/>
      <c r="T473" s="221">
        <v>1</v>
      </c>
      <c r="U473" s="221"/>
      <c r="V473" s="221">
        <v>1</v>
      </c>
      <c r="W473" s="220">
        <v>3</v>
      </c>
      <c r="X473" s="220">
        <v>8</v>
      </c>
      <c r="Y473" s="220"/>
      <c r="Z473" s="221">
        <v>1</v>
      </c>
      <c r="AA473" s="220" t="s">
        <v>2474</v>
      </c>
      <c r="AC473" s="46">
        <v>0</v>
      </c>
    </row>
    <row r="474" spans="1:29" ht="16.5" customHeight="1" x14ac:dyDescent="0.3">
      <c r="A474" s="49"/>
      <c r="B474" s="130" t="str">
        <f ca="1">'Translation Table'!H2194</f>
        <v>Compressor: Centrifugal: (Stages: 1) (Seals: Dry) (Driver: Gas Turbine)</v>
      </c>
      <c r="C474" s="54" t="str">
        <f ca="1">'Translation Table'!H2194</f>
        <v>Compressor: Centrifugal: (Stages: 1) (Seals: Dry) (Driver: Gas Turbine)</v>
      </c>
      <c r="D474" s="219">
        <v>2.29</v>
      </c>
      <c r="E474" s="221">
        <v>3.43</v>
      </c>
      <c r="F474" s="221"/>
      <c r="G474" s="221"/>
      <c r="H474" s="221">
        <v>1</v>
      </c>
      <c r="I474" s="221"/>
      <c r="J474" s="221"/>
      <c r="K474" s="219">
        <f t="shared" si="8"/>
        <v>68.61</v>
      </c>
      <c r="L474" s="219">
        <v>62.36</v>
      </c>
      <c r="M474" s="219">
        <v>6.25</v>
      </c>
      <c r="N474" s="219">
        <v>1510.96</v>
      </c>
      <c r="O474" s="219">
        <v>5</v>
      </c>
      <c r="P474" s="221"/>
      <c r="Q474" s="221"/>
      <c r="R474" s="221">
        <v>2</v>
      </c>
      <c r="S474" s="221"/>
      <c r="T474" s="221">
        <v>1</v>
      </c>
      <c r="U474" s="221"/>
      <c r="V474" s="221">
        <v>5</v>
      </c>
      <c r="W474" s="220">
        <v>5</v>
      </c>
      <c r="X474" s="220">
        <v>11</v>
      </c>
      <c r="Y474" s="220"/>
      <c r="Z474" s="221">
        <v>2</v>
      </c>
      <c r="AA474" s="220" t="s">
        <v>2474</v>
      </c>
      <c r="AC474" s="46">
        <v>0</v>
      </c>
    </row>
    <row r="475" spans="1:29" ht="16.5" customHeight="1" x14ac:dyDescent="0.3">
      <c r="A475" s="49"/>
      <c r="B475" s="54" t="str">
        <f ca="1">'Translation Table'!H2195</f>
        <v>Compressor: Centrifugal: (Stages: 2) (Seals: Dry) (Driver: Electric Motor)</v>
      </c>
      <c r="C475" s="54" t="str">
        <f ca="1">'Translation Table'!H2195</f>
        <v>Compressor: Centrifugal: (Stages: 2) (Seals: Dry) (Driver: Electric Motor)</v>
      </c>
      <c r="D475" s="219">
        <v>2</v>
      </c>
      <c r="E475" s="221">
        <v>4.5</v>
      </c>
      <c r="F475" s="221"/>
      <c r="G475" s="221"/>
      <c r="H475" s="221">
        <v>1</v>
      </c>
      <c r="I475" s="221"/>
      <c r="J475" s="221"/>
      <c r="K475" s="219">
        <f t="shared" si="8"/>
        <v>76.5</v>
      </c>
      <c r="L475" s="219">
        <v>69.25</v>
      </c>
      <c r="M475" s="219">
        <v>7.25</v>
      </c>
      <c r="N475" s="219">
        <v>2736.75</v>
      </c>
      <c r="O475" s="219">
        <v>1</v>
      </c>
      <c r="P475" s="221"/>
      <c r="Q475" s="221"/>
      <c r="R475" s="221">
        <v>4</v>
      </c>
      <c r="S475" s="221"/>
      <c r="T475" s="221">
        <v>1</v>
      </c>
      <c r="U475" s="221"/>
      <c r="V475" s="221">
        <v>5</v>
      </c>
      <c r="W475" s="220">
        <v>6</v>
      </c>
      <c r="X475" s="220">
        <v>16</v>
      </c>
      <c r="Y475" s="220"/>
      <c r="Z475" s="221">
        <v>2</v>
      </c>
      <c r="AA475" s="220" t="s">
        <v>2474</v>
      </c>
      <c r="AC475" s="46">
        <v>0</v>
      </c>
    </row>
    <row r="476" spans="1:29" ht="16.5" customHeight="1" x14ac:dyDescent="0.3">
      <c r="A476" s="49"/>
      <c r="B476" s="130" t="str">
        <f ca="1">'Translation Table'!H2196</f>
        <v>Compressor: Centrifugal: (Stages: 2) (Seals: Dry) (Driver: Gas Turbine)</v>
      </c>
      <c r="C476" s="54" t="str">
        <f ca="1">'Translation Table'!H2196</f>
        <v>Compressor: Centrifugal: (Stages: 2) (Seals: Dry) (Driver: Gas Turbine)</v>
      </c>
      <c r="D476" s="219">
        <v>5</v>
      </c>
      <c r="E476" s="221">
        <v>4.93</v>
      </c>
      <c r="F476" s="221"/>
      <c r="G476" s="221"/>
      <c r="H476" s="221">
        <v>1</v>
      </c>
      <c r="I476" s="221"/>
      <c r="J476" s="221"/>
      <c r="K476" s="219">
        <f t="shared" si="8"/>
        <v>96.46</v>
      </c>
      <c r="L476" s="219">
        <v>89.11</v>
      </c>
      <c r="M476" s="219">
        <v>7.35</v>
      </c>
      <c r="N476" s="219">
        <v>2832.46</v>
      </c>
      <c r="O476" s="219">
        <v>5</v>
      </c>
      <c r="P476" s="221"/>
      <c r="Q476" s="221"/>
      <c r="R476" s="221">
        <v>4</v>
      </c>
      <c r="S476" s="221"/>
      <c r="T476" s="221">
        <v>1</v>
      </c>
      <c r="U476" s="221"/>
      <c r="V476" s="221">
        <v>5</v>
      </c>
      <c r="W476" s="220">
        <v>6</v>
      </c>
      <c r="X476" s="220">
        <v>16</v>
      </c>
      <c r="Y476" s="220"/>
      <c r="Z476" s="221">
        <v>3</v>
      </c>
      <c r="AA476" s="220" t="s">
        <v>2474</v>
      </c>
      <c r="AC476" s="46">
        <v>0</v>
      </c>
    </row>
    <row r="477" spans="1:29" ht="16.5" customHeight="1" x14ac:dyDescent="0.3">
      <c r="A477" s="49"/>
      <c r="B477" s="54" t="str">
        <f ca="1">'Translation Table'!H2197</f>
        <v>Compressor: Reciprocating: (Stages: 1) (Driver: Electric Motor)</v>
      </c>
      <c r="C477" s="54" t="str">
        <f ca="1">'Translation Table'!H2197</f>
        <v>Compressor: Reciprocating: (Stages: 1) (Driver: Electric Motor)</v>
      </c>
      <c r="D477" s="219">
        <v>3</v>
      </c>
      <c r="E477" s="221">
        <v>3</v>
      </c>
      <c r="F477" s="221"/>
      <c r="G477" s="221"/>
      <c r="H477" s="221">
        <v>0</v>
      </c>
      <c r="I477" s="221"/>
      <c r="J477" s="221"/>
      <c r="K477" s="219">
        <f t="shared" si="8"/>
        <v>38.17</v>
      </c>
      <c r="L477" s="219">
        <v>33.5</v>
      </c>
      <c r="M477" s="219">
        <v>4.67</v>
      </c>
      <c r="N477" s="219">
        <v>489.83</v>
      </c>
      <c r="O477" s="219">
        <v>1.33</v>
      </c>
      <c r="P477" s="221">
        <v>4</v>
      </c>
      <c r="Q477" s="221"/>
      <c r="R477" s="221"/>
      <c r="S477" s="221">
        <v>1</v>
      </c>
      <c r="T477" s="221">
        <v>1</v>
      </c>
      <c r="U477" s="221">
        <v>0</v>
      </c>
      <c r="V477" s="221">
        <v>3</v>
      </c>
      <c r="W477" s="220">
        <v>4</v>
      </c>
      <c r="X477" s="220">
        <v>20</v>
      </c>
      <c r="Y477" s="220"/>
      <c r="Z477" s="221">
        <v>1</v>
      </c>
      <c r="AA477" s="220" t="s">
        <v>2474</v>
      </c>
      <c r="AC477" s="46">
        <v>0</v>
      </c>
    </row>
    <row r="478" spans="1:29" ht="16.5" customHeight="1" x14ac:dyDescent="0.3">
      <c r="A478" s="49"/>
      <c r="B478" s="130" t="str">
        <f ca="1">'Translation Table'!H2198</f>
        <v>Compressor: Reciprocating: (Stages: 1) (Driver: Recip Engine)</v>
      </c>
      <c r="C478" s="54" t="str">
        <f ca="1">'Translation Table'!H2198</f>
        <v>Compressor: Reciprocating: (Stages: 1) (Driver: Recip Engine)</v>
      </c>
      <c r="D478" s="219">
        <v>3.79</v>
      </c>
      <c r="E478" s="221">
        <v>3.43</v>
      </c>
      <c r="F478" s="221"/>
      <c r="G478" s="221"/>
      <c r="H478" s="221">
        <v>0</v>
      </c>
      <c r="I478" s="221"/>
      <c r="J478" s="221"/>
      <c r="K478" s="219">
        <f t="shared" si="8"/>
        <v>50.53</v>
      </c>
      <c r="L478" s="219">
        <v>44.86</v>
      </c>
      <c r="M478" s="219">
        <v>5.67</v>
      </c>
      <c r="N478" s="219">
        <v>592.29999999999995</v>
      </c>
      <c r="O478" s="219">
        <v>2.33</v>
      </c>
      <c r="P478" s="221">
        <v>4</v>
      </c>
      <c r="Q478" s="221"/>
      <c r="R478" s="221"/>
      <c r="S478" s="221">
        <v>1</v>
      </c>
      <c r="T478" s="221">
        <v>1</v>
      </c>
      <c r="U478" s="221">
        <v>0</v>
      </c>
      <c r="V478" s="221">
        <v>3</v>
      </c>
      <c r="W478" s="220">
        <v>4</v>
      </c>
      <c r="X478" s="220">
        <v>20</v>
      </c>
      <c r="Y478" s="220"/>
      <c r="Z478" s="221">
        <v>1</v>
      </c>
      <c r="AA478" s="220" t="s">
        <v>2474</v>
      </c>
      <c r="AC478" s="46">
        <v>0</v>
      </c>
    </row>
    <row r="479" spans="1:29" ht="16.5" customHeight="1" x14ac:dyDescent="0.3">
      <c r="A479" s="49"/>
      <c r="B479" s="54" t="str">
        <f ca="1">'Translation Table'!H2199</f>
        <v>Compressor: Reciprocating: (Stages: 2) (Driver: Electric Motor)</v>
      </c>
      <c r="C479" s="54" t="str">
        <f ca="1">'Translation Table'!H2199</f>
        <v>Compressor: Reciprocating: (Stages: 2) (Driver: Electric Motor)</v>
      </c>
      <c r="D479" s="219">
        <v>3</v>
      </c>
      <c r="E479" s="221">
        <v>3.33</v>
      </c>
      <c r="F479" s="221"/>
      <c r="G479" s="221"/>
      <c r="H479" s="221">
        <v>0</v>
      </c>
      <c r="I479" s="221"/>
      <c r="J479" s="221"/>
      <c r="K479" s="219">
        <f t="shared" si="8"/>
        <v>43.83</v>
      </c>
      <c r="L479" s="219">
        <v>38.83</v>
      </c>
      <c r="M479" s="219">
        <v>5</v>
      </c>
      <c r="N479" s="219">
        <v>786.17</v>
      </c>
      <c r="O479" s="219">
        <v>1.67</v>
      </c>
      <c r="P479" s="221">
        <v>4</v>
      </c>
      <c r="Q479" s="221"/>
      <c r="R479" s="221"/>
      <c r="S479" s="221">
        <v>1</v>
      </c>
      <c r="T479" s="221">
        <v>1</v>
      </c>
      <c r="U479" s="221">
        <v>0</v>
      </c>
      <c r="V479" s="221">
        <v>4</v>
      </c>
      <c r="W479" s="220">
        <v>8</v>
      </c>
      <c r="X479" s="220">
        <v>40</v>
      </c>
      <c r="Y479" s="220"/>
      <c r="Z479" s="221">
        <v>2</v>
      </c>
      <c r="AA479" s="220" t="s">
        <v>2474</v>
      </c>
      <c r="AC479" s="46">
        <v>0</v>
      </c>
    </row>
    <row r="480" spans="1:29" ht="16.5" customHeight="1" x14ac:dyDescent="0.3">
      <c r="A480" s="49"/>
      <c r="B480" s="130" t="str">
        <f ca="1">'Translation Table'!H2200</f>
        <v>Compressor: Reciprocating: (Stages: 2) (Driver: Recip Engine)</v>
      </c>
      <c r="C480" s="54" t="str">
        <f ca="1">'Translation Table'!H2200</f>
        <v>Compressor: Reciprocating: (Stages: 2) (Driver: Recip Engine)</v>
      </c>
      <c r="D480" s="219">
        <v>3.79</v>
      </c>
      <c r="E480" s="221">
        <v>3.76</v>
      </c>
      <c r="F480" s="221"/>
      <c r="G480" s="221"/>
      <c r="H480" s="221">
        <v>0</v>
      </c>
      <c r="I480" s="221"/>
      <c r="J480" s="221"/>
      <c r="K480" s="219">
        <f t="shared" si="8"/>
        <v>56.19</v>
      </c>
      <c r="L480" s="219">
        <v>50.19</v>
      </c>
      <c r="M480" s="219">
        <v>6</v>
      </c>
      <c r="N480" s="219">
        <v>888.63</v>
      </c>
      <c r="O480" s="219">
        <v>2.67</v>
      </c>
      <c r="P480" s="221">
        <v>4</v>
      </c>
      <c r="Q480" s="221"/>
      <c r="R480" s="221"/>
      <c r="S480" s="221">
        <v>1</v>
      </c>
      <c r="T480" s="221">
        <v>1</v>
      </c>
      <c r="U480" s="221">
        <v>0</v>
      </c>
      <c r="V480" s="221">
        <v>4</v>
      </c>
      <c r="W480" s="220">
        <v>8</v>
      </c>
      <c r="X480" s="220">
        <v>40</v>
      </c>
      <c r="Y480" s="220"/>
      <c r="Z480" s="221">
        <v>2</v>
      </c>
      <c r="AA480" s="220" t="s">
        <v>2474</v>
      </c>
      <c r="AC480" s="46">
        <v>0</v>
      </c>
    </row>
    <row r="481" spans="1:29" ht="16.5" customHeight="1" x14ac:dyDescent="0.3">
      <c r="A481" s="49"/>
      <c r="B481" s="54" t="str">
        <f ca="1">'Translation Table'!H2201</f>
        <v>Compressor: Reciprocating: (Stages: 3) (Driver: Electric Motor)</v>
      </c>
      <c r="C481" s="54" t="str">
        <f ca="1">'Translation Table'!H2201</f>
        <v>Compressor: Reciprocating: (Stages: 3) (Driver: Electric Motor)</v>
      </c>
      <c r="D481" s="219">
        <v>4</v>
      </c>
      <c r="E481" s="221">
        <v>4.33</v>
      </c>
      <c r="F481" s="221"/>
      <c r="G481" s="221"/>
      <c r="H481" s="221">
        <v>0</v>
      </c>
      <c r="I481" s="221"/>
      <c r="J481" s="221"/>
      <c r="K481" s="219">
        <f t="shared" si="8"/>
        <v>56.83</v>
      </c>
      <c r="L481" s="219">
        <v>51.5</v>
      </c>
      <c r="M481" s="219">
        <v>5.33</v>
      </c>
      <c r="N481" s="219">
        <v>1138.5</v>
      </c>
      <c r="O481" s="219">
        <v>2</v>
      </c>
      <c r="P481" s="221">
        <v>6</v>
      </c>
      <c r="Q481" s="221"/>
      <c r="R481" s="221"/>
      <c r="S481" s="221">
        <v>1</v>
      </c>
      <c r="T481" s="221">
        <v>1</v>
      </c>
      <c r="U481" s="221">
        <v>0</v>
      </c>
      <c r="V481" s="221">
        <v>5</v>
      </c>
      <c r="W481" s="220">
        <v>12</v>
      </c>
      <c r="X481" s="220">
        <v>60</v>
      </c>
      <c r="Y481" s="220"/>
      <c r="Z481" s="221">
        <v>3</v>
      </c>
      <c r="AA481" s="220" t="s">
        <v>2474</v>
      </c>
      <c r="AC481" s="46">
        <v>0</v>
      </c>
    </row>
    <row r="482" spans="1:29" ht="16.5" customHeight="1" x14ac:dyDescent="0.3">
      <c r="A482" s="49"/>
      <c r="B482" s="130" t="str">
        <f ca="1">'Translation Table'!H2202</f>
        <v>Compressor: Reciprocating: (Stages: 3) (Driver: Recip Engine)</v>
      </c>
      <c r="C482" s="54" t="str">
        <f ca="1">'Translation Table'!H2202</f>
        <v>Compressor: Reciprocating: (Stages: 3) (Driver: Recip Engine)</v>
      </c>
      <c r="D482" s="219">
        <v>4.29</v>
      </c>
      <c r="E482" s="221">
        <v>4.76</v>
      </c>
      <c r="F482" s="221"/>
      <c r="G482" s="221"/>
      <c r="H482" s="221">
        <v>0</v>
      </c>
      <c r="I482" s="221"/>
      <c r="J482" s="221"/>
      <c r="K482" s="219">
        <f t="shared" si="8"/>
        <v>69.19</v>
      </c>
      <c r="L482" s="219">
        <v>62.86</v>
      </c>
      <c r="M482" s="219">
        <v>6.33</v>
      </c>
      <c r="N482" s="219">
        <v>1240.96</v>
      </c>
      <c r="O482" s="219">
        <v>3</v>
      </c>
      <c r="P482" s="221">
        <v>6</v>
      </c>
      <c r="Q482" s="221"/>
      <c r="R482" s="221"/>
      <c r="S482" s="221">
        <v>1</v>
      </c>
      <c r="T482" s="221">
        <v>1</v>
      </c>
      <c r="U482" s="221">
        <v>0</v>
      </c>
      <c r="V482" s="221">
        <v>5</v>
      </c>
      <c r="W482" s="220">
        <v>12</v>
      </c>
      <c r="X482" s="220">
        <v>60</v>
      </c>
      <c r="Y482" s="220"/>
      <c r="Z482" s="221">
        <v>3</v>
      </c>
      <c r="AA482" s="220" t="s">
        <v>2474</v>
      </c>
      <c r="AC482" s="46">
        <v>0</v>
      </c>
    </row>
    <row r="483" spans="1:29" ht="16.5" customHeight="1" x14ac:dyDescent="0.3">
      <c r="A483" s="49"/>
      <c r="B483" s="54" t="str">
        <f ca="1">'Translation Table'!H2203</f>
        <v>Compressor: Reciprocating: (Stages 4) (Driver: Electric Motor)</v>
      </c>
      <c r="C483" s="54" t="str">
        <f ca="1">'Translation Table'!H2203</f>
        <v>Compressor: Reciprocating: (Stages 4) (Driver: Electric Motor)</v>
      </c>
      <c r="D483" s="219">
        <v>7</v>
      </c>
      <c r="E483" s="221">
        <v>5.33</v>
      </c>
      <c r="F483" s="221"/>
      <c r="G483" s="221"/>
      <c r="H483" s="221">
        <v>0</v>
      </c>
      <c r="I483" s="221"/>
      <c r="J483" s="221"/>
      <c r="K483" s="219">
        <f t="shared" si="8"/>
        <v>69.84</v>
      </c>
      <c r="L483" s="219">
        <v>64.17</v>
      </c>
      <c r="M483" s="219">
        <v>5.67</v>
      </c>
      <c r="N483" s="219">
        <v>1490.83</v>
      </c>
      <c r="O483" s="219">
        <v>2.33</v>
      </c>
      <c r="P483" s="221">
        <v>8</v>
      </c>
      <c r="Q483" s="221"/>
      <c r="R483" s="221"/>
      <c r="S483" s="221">
        <v>1</v>
      </c>
      <c r="T483" s="221">
        <v>1</v>
      </c>
      <c r="U483" s="221">
        <v>0</v>
      </c>
      <c r="V483" s="221">
        <v>6</v>
      </c>
      <c r="W483" s="220">
        <v>16</v>
      </c>
      <c r="X483" s="220">
        <v>80</v>
      </c>
      <c r="Y483" s="220"/>
      <c r="Z483" s="221">
        <v>4</v>
      </c>
      <c r="AA483" s="220" t="s">
        <v>2474</v>
      </c>
    </row>
    <row r="484" spans="1:29" ht="16.5" customHeight="1" x14ac:dyDescent="0.3">
      <c r="A484" s="49"/>
      <c r="B484" s="130" t="str">
        <f ca="1">'Translation Table'!H2204</f>
        <v>Compressor: Reciprocating: (Stages 4) (Driver: Recip Engine)</v>
      </c>
      <c r="C484" s="54" t="str">
        <f ca="1">'Translation Table'!H2204</f>
        <v>Compressor: Reciprocating: (Stages 4) (Driver: Recip Engine)</v>
      </c>
      <c r="D484" s="219">
        <v>7.79</v>
      </c>
      <c r="E484" s="221">
        <v>5.76</v>
      </c>
      <c r="F484" s="221"/>
      <c r="G484" s="221"/>
      <c r="H484" s="221">
        <v>0</v>
      </c>
      <c r="I484" s="221"/>
      <c r="J484" s="221"/>
      <c r="K484" s="219">
        <f t="shared" si="8"/>
        <v>82.19</v>
      </c>
      <c r="L484" s="219">
        <v>75.52</v>
      </c>
      <c r="M484" s="219">
        <v>6.67</v>
      </c>
      <c r="N484" s="219">
        <v>1593.3</v>
      </c>
      <c r="O484" s="219">
        <v>3.33</v>
      </c>
      <c r="P484" s="221">
        <v>8</v>
      </c>
      <c r="Q484" s="221"/>
      <c r="R484" s="221"/>
      <c r="S484" s="221">
        <v>1</v>
      </c>
      <c r="T484" s="221">
        <v>1</v>
      </c>
      <c r="U484" s="221">
        <v>0</v>
      </c>
      <c r="V484" s="221">
        <v>6</v>
      </c>
      <c r="W484" s="220">
        <v>16</v>
      </c>
      <c r="X484" s="220">
        <v>80</v>
      </c>
      <c r="Y484" s="220"/>
      <c r="Z484" s="221">
        <v>4</v>
      </c>
      <c r="AA484" s="220" t="s">
        <v>2474</v>
      </c>
    </row>
    <row r="485" spans="1:29" ht="16.5" customHeight="1" x14ac:dyDescent="0.3">
      <c r="A485" s="49"/>
      <c r="B485" s="54" t="str">
        <f ca="1">'Translation Table'!H2205</f>
        <v>Drain Tank</v>
      </c>
      <c r="C485" s="54" t="str">
        <f ca="1">'Translation Table'!H2205</f>
        <v>Drain Tank</v>
      </c>
      <c r="D485" s="219">
        <v>0</v>
      </c>
      <c r="E485" s="221">
        <v>1</v>
      </c>
      <c r="F485" s="221"/>
      <c r="G485" s="221"/>
      <c r="H485" s="221">
        <v>0</v>
      </c>
      <c r="I485" s="221"/>
      <c r="J485" s="221"/>
      <c r="K485" s="219">
        <f t="shared" si="8"/>
        <v>1</v>
      </c>
      <c r="L485" s="219">
        <v>1</v>
      </c>
      <c r="M485" s="219"/>
      <c r="N485" s="219">
        <v>2</v>
      </c>
      <c r="O485" s="219">
        <v>0</v>
      </c>
      <c r="P485" s="221"/>
      <c r="Q485" s="221"/>
      <c r="R485" s="221"/>
      <c r="S485" s="221"/>
      <c r="T485" s="221"/>
      <c r="U485" s="221"/>
      <c r="V485" s="221">
        <v>0</v>
      </c>
      <c r="W485" s="220"/>
      <c r="X485" s="220"/>
      <c r="Y485" s="220"/>
      <c r="Z485" s="221">
        <v>0</v>
      </c>
      <c r="AA485" s="220" t="s">
        <v>2474</v>
      </c>
    </row>
    <row r="486" spans="1:29" ht="16.5" customHeight="1" x14ac:dyDescent="0.3">
      <c r="A486" s="49"/>
      <c r="B486" s="130" t="str">
        <f ca="1">'Translation Table'!H2206</f>
        <v>Flare System: Generic (Including Knock-out Drum)</v>
      </c>
      <c r="C486" s="54" t="str">
        <f ca="1">'Translation Table'!H2206</f>
        <v>Flare System: Generic (Including Knock-out Drum)</v>
      </c>
      <c r="D486" s="219"/>
      <c r="E486" s="221">
        <v>5</v>
      </c>
      <c r="F486" s="221"/>
      <c r="G486" s="221"/>
      <c r="H486" s="221">
        <v>0</v>
      </c>
      <c r="I486" s="221"/>
      <c r="J486" s="221"/>
      <c r="K486" s="219">
        <f t="shared" si="8"/>
        <v>35</v>
      </c>
      <c r="L486" s="219">
        <v>35</v>
      </c>
      <c r="M486" s="219"/>
      <c r="N486" s="219">
        <v>114</v>
      </c>
      <c r="O486" s="219">
        <v>1</v>
      </c>
      <c r="P486" s="221"/>
      <c r="Q486" s="221"/>
      <c r="R486" s="221"/>
      <c r="S486" s="221"/>
      <c r="T486" s="221"/>
      <c r="U486" s="221"/>
      <c r="V486" s="221">
        <v>1</v>
      </c>
      <c r="W486" s="220">
        <v>0</v>
      </c>
      <c r="X486" s="220">
        <v>0</v>
      </c>
      <c r="Y486" s="220"/>
      <c r="Z486" s="221">
        <v>1</v>
      </c>
      <c r="AA486" s="220" t="s">
        <v>2082</v>
      </c>
    </row>
    <row r="487" spans="1:29" ht="16.5" customHeight="1" x14ac:dyDescent="0.3">
      <c r="A487" s="49"/>
      <c r="B487" s="54" t="str">
        <f ca="1">'Translation Table'!H2207</f>
        <v>Heater/Boiler/Reboiler: Line (Burner Assemblies: 1)</v>
      </c>
      <c r="C487" s="54" t="str">
        <f ca="1">'Translation Table'!H2207</f>
        <v>Heater/Boiler/Reboiler: Line (Burner Assemblies: 1)</v>
      </c>
      <c r="D487" s="219">
        <v>2.29</v>
      </c>
      <c r="E487" s="221">
        <v>0.43</v>
      </c>
      <c r="F487" s="221"/>
      <c r="G487" s="221"/>
      <c r="H487" s="221">
        <v>1</v>
      </c>
      <c r="I487" s="221"/>
      <c r="J487" s="221"/>
      <c r="K487" s="219">
        <f t="shared" si="8"/>
        <v>31.21</v>
      </c>
      <c r="L487" s="219">
        <v>29.71</v>
      </c>
      <c r="M487" s="219">
        <v>1.5</v>
      </c>
      <c r="N487" s="219">
        <v>222.61</v>
      </c>
      <c r="O487" s="219">
        <v>5.76</v>
      </c>
      <c r="P487" s="221"/>
      <c r="Q487" s="221"/>
      <c r="R487" s="221"/>
      <c r="S487" s="221"/>
      <c r="T487" s="221"/>
      <c r="U487" s="221"/>
      <c r="V487" s="221">
        <v>0</v>
      </c>
      <c r="W487" s="220">
        <v>0</v>
      </c>
      <c r="X487" s="220">
        <v>0</v>
      </c>
      <c r="Y487" s="220"/>
      <c r="Z487" s="221">
        <v>1</v>
      </c>
      <c r="AA487" s="220" t="s">
        <v>2474</v>
      </c>
    </row>
    <row r="488" spans="1:29" ht="16.5" customHeight="1" x14ac:dyDescent="0.3">
      <c r="A488" s="49"/>
      <c r="B488" s="130" t="str">
        <f ca="1">'Translation Table'!H2208</f>
        <v>Heater/Boiler/Reboiler: Line (Burner Assemblies: 2)</v>
      </c>
      <c r="C488" s="54" t="str">
        <f ca="1">'Translation Table'!H2208</f>
        <v>Heater/Boiler/Reboiler: Line (Burner Assemblies: 2)</v>
      </c>
      <c r="D488" s="219">
        <v>7.59</v>
      </c>
      <c r="E488" s="221">
        <v>0.43</v>
      </c>
      <c r="F488" s="221"/>
      <c r="G488" s="221"/>
      <c r="H488" s="221">
        <v>1</v>
      </c>
      <c r="I488" s="221"/>
      <c r="J488" s="221"/>
      <c r="K488" s="219">
        <f t="shared" si="8"/>
        <v>44.510000000000005</v>
      </c>
      <c r="L488" s="219">
        <v>41.31</v>
      </c>
      <c r="M488" s="219">
        <v>3.2</v>
      </c>
      <c r="N488" s="219">
        <v>252.51</v>
      </c>
      <c r="O488" s="219">
        <v>7.59</v>
      </c>
      <c r="P488" s="221"/>
      <c r="Q488" s="221"/>
      <c r="R488" s="221"/>
      <c r="S488" s="221"/>
      <c r="T488" s="221"/>
      <c r="U488" s="221"/>
      <c r="V488" s="221">
        <v>0</v>
      </c>
      <c r="W488" s="220">
        <v>0</v>
      </c>
      <c r="X488" s="220">
        <v>0</v>
      </c>
      <c r="Y488" s="220"/>
      <c r="Z488" s="221">
        <v>1</v>
      </c>
      <c r="AA488" s="220" t="s">
        <v>2474</v>
      </c>
    </row>
    <row r="489" spans="1:29" ht="16.5" customHeight="1" x14ac:dyDescent="0.3">
      <c r="A489" s="49"/>
      <c r="B489" s="54" t="str">
        <f ca="1">'Translation Table'!H2209</f>
        <v>Heater/Boiler/Reboiler: Line (Burner Assemblies: 3)</v>
      </c>
      <c r="C489" s="54" t="str">
        <f ca="1">'Translation Table'!H2209</f>
        <v>Heater/Boiler/Reboiler: Line (Burner Assemblies: 3)</v>
      </c>
      <c r="D489" s="219">
        <v>12.89</v>
      </c>
      <c r="E489" s="221">
        <v>0.43</v>
      </c>
      <c r="F489" s="221"/>
      <c r="G489" s="221"/>
      <c r="H489" s="221">
        <v>1</v>
      </c>
      <c r="I489" s="221"/>
      <c r="J489" s="221"/>
      <c r="K489" s="219">
        <f t="shared" si="8"/>
        <v>57.809999999999995</v>
      </c>
      <c r="L489" s="219">
        <v>52.91</v>
      </c>
      <c r="M489" s="219">
        <v>4.9000000000000004</v>
      </c>
      <c r="N489" s="219">
        <v>282.41000000000003</v>
      </c>
      <c r="O489" s="219">
        <v>9.42</v>
      </c>
      <c r="P489" s="221"/>
      <c r="Q489" s="221"/>
      <c r="R489" s="221"/>
      <c r="S489" s="221"/>
      <c r="T489" s="221"/>
      <c r="U489" s="221"/>
      <c r="V489" s="221">
        <v>0</v>
      </c>
      <c r="W489" s="220">
        <v>0</v>
      </c>
      <c r="X489" s="220">
        <v>0</v>
      </c>
      <c r="Y489" s="220"/>
      <c r="Z489" s="221">
        <v>1</v>
      </c>
      <c r="AA489" s="220" t="s">
        <v>2474</v>
      </c>
    </row>
    <row r="490" spans="1:29" ht="16.5" customHeight="1" x14ac:dyDescent="0.3">
      <c r="A490" s="49"/>
      <c r="B490" s="130" t="str">
        <f ca="1">'Translation Table'!H2210</f>
        <v>Inlet/Outlet Header: Gas Facilities (Fittings Per Pipeline)</v>
      </c>
      <c r="C490" s="54" t="str">
        <f ca="1">'Translation Table'!H2210</f>
        <v>Inlet/Outlet Header: Gas Facilities (Fittings Per Pipeline)</v>
      </c>
      <c r="D490" s="219">
        <v>0</v>
      </c>
      <c r="E490" s="221">
        <v>0</v>
      </c>
      <c r="F490" s="221"/>
      <c r="G490" s="221"/>
      <c r="H490" s="221">
        <v>1</v>
      </c>
      <c r="I490" s="221"/>
      <c r="J490" s="221"/>
      <c r="K490" s="219">
        <f t="shared" si="8"/>
        <v>7</v>
      </c>
      <c r="L490" s="219">
        <v>6</v>
      </c>
      <c r="M490" s="219">
        <v>1</v>
      </c>
      <c r="N490" s="219">
        <v>16</v>
      </c>
      <c r="O490" s="219">
        <v>0</v>
      </c>
      <c r="P490" s="221"/>
      <c r="Q490" s="221"/>
      <c r="R490" s="221"/>
      <c r="S490" s="221"/>
      <c r="T490" s="221"/>
      <c r="U490" s="221"/>
      <c r="V490" s="221">
        <v>0</v>
      </c>
      <c r="W490" s="220">
        <v>0</v>
      </c>
      <c r="X490" s="220">
        <v>0</v>
      </c>
      <c r="Y490" s="220"/>
      <c r="Z490" s="221">
        <v>0</v>
      </c>
      <c r="AA490" s="220" t="s">
        <v>2474</v>
      </c>
    </row>
    <row r="491" spans="1:29" ht="16.5" customHeight="1" x14ac:dyDescent="0.3">
      <c r="A491" s="49"/>
      <c r="B491" s="54" t="str">
        <f ca="1">'Translation Table'!H2211</f>
        <v>Mainline Block Valve</v>
      </c>
      <c r="C491" s="54" t="str">
        <f ca="1">'Translation Table'!H2211</f>
        <v>Mainline Block Valve</v>
      </c>
      <c r="D491" s="219"/>
      <c r="E491" s="221">
        <v>1</v>
      </c>
      <c r="F491" s="221"/>
      <c r="G491" s="221"/>
      <c r="H491" s="221">
        <v>0</v>
      </c>
      <c r="I491" s="221"/>
      <c r="J491" s="221"/>
      <c r="K491" s="219">
        <f t="shared" si="8"/>
        <v>36</v>
      </c>
      <c r="L491" s="219">
        <v>36</v>
      </c>
      <c r="M491" s="219"/>
      <c r="N491" s="219">
        <v>200</v>
      </c>
      <c r="O491" s="219">
        <v>2</v>
      </c>
      <c r="P491" s="221"/>
      <c r="Q491" s="221"/>
      <c r="R491" s="221"/>
      <c r="S491" s="221"/>
      <c r="T491" s="221"/>
      <c r="U491" s="221"/>
      <c r="V491" s="221">
        <v>1</v>
      </c>
      <c r="W491" s="220"/>
      <c r="X491" s="220"/>
      <c r="Y491" s="220"/>
      <c r="Z491" s="221">
        <v>0</v>
      </c>
      <c r="AA491" s="220" t="s">
        <v>217</v>
      </c>
    </row>
    <row r="492" spans="1:29" ht="16.5" customHeight="1" x14ac:dyDescent="0.3">
      <c r="A492" s="49"/>
      <c r="B492" s="130" t="str">
        <f ca="1">'Translation Table'!H2212</f>
        <v>Meter Run: Generic</v>
      </c>
      <c r="C492" s="54" t="str">
        <f ca="1">'Translation Table'!H2212</f>
        <v>Meter Run: Generic</v>
      </c>
      <c r="D492" s="219"/>
      <c r="E492" s="221"/>
      <c r="F492" s="221"/>
      <c r="G492" s="221"/>
      <c r="H492" s="221">
        <v>0</v>
      </c>
      <c r="I492" s="221"/>
      <c r="J492" s="221"/>
      <c r="K492" s="219">
        <f t="shared" si="8"/>
        <v>0</v>
      </c>
      <c r="L492" s="219"/>
      <c r="M492" s="219"/>
      <c r="N492" s="219"/>
      <c r="O492" s="219"/>
      <c r="P492" s="221"/>
      <c r="Q492" s="221"/>
      <c r="R492" s="221"/>
      <c r="S492" s="221"/>
      <c r="T492" s="221"/>
      <c r="U492" s="221"/>
      <c r="V492" s="221">
        <v>0</v>
      </c>
      <c r="W492" s="220"/>
      <c r="X492" s="220"/>
      <c r="Y492" s="220"/>
      <c r="Z492" s="221">
        <v>0</v>
      </c>
      <c r="AA492" s="220" t="s">
        <v>2474</v>
      </c>
    </row>
    <row r="493" spans="1:29" ht="16.5" customHeight="1" x14ac:dyDescent="0.3">
      <c r="A493" s="49"/>
      <c r="B493" s="54" t="str">
        <f ca="1">'Translation Table'!H2213</f>
        <v>Meter Set: Commercial</v>
      </c>
      <c r="C493" s="54" t="str">
        <f ca="1">'Translation Table'!H2213</f>
        <v>Meter Set: Commercial</v>
      </c>
      <c r="D493" s="219">
        <v>1</v>
      </c>
      <c r="E493" s="221">
        <v>0</v>
      </c>
      <c r="F493" s="221"/>
      <c r="G493" s="221"/>
      <c r="H493" s="221">
        <v>0</v>
      </c>
      <c r="I493" s="221"/>
      <c r="J493" s="221"/>
      <c r="K493" s="219">
        <f t="shared" si="8"/>
        <v>17</v>
      </c>
      <c r="L493" s="219">
        <v>17</v>
      </c>
      <c r="M493" s="219"/>
      <c r="N493" s="219">
        <v>90</v>
      </c>
      <c r="O493" s="219">
        <v>3</v>
      </c>
      <c r="P493" s="221"/>
      <c r="Q493" s="221"/>
      <c r="R493" s="221"/>
      <c r="S493" s="221"/>
      <c r="T493" s="221"/>
      <c r="U493" s="221">
        <v>2</v>
      </c>
      <c r="V493" s="221">
        <v>0</v>
      </c>
      <c r="W493" s="220"/>
      <c r="X493" s="220"/>
      <c r="Y493" s="220"/>
      <c r="Z493" s="221">
        <v>0</v>
      </c>
      <c r="AA493" s="220" t="s">
        <v>217</v>
      </c>
    </row>
    <row r="494" spans="1:29" ht="16.5" customHeight="1" x14ac:dyDescent="0.3">
      <c r="A494" s="49"/>
      <c r="B494" s="130" t="str">
        <f ca="1">'Translation Table'!H2214</f>
        <v>Meter Set: Farm Tap</v>
      </c>
      <c r="C494" s="54" t="str">
        <f ca="1">'Translation Table'!H2214</f>
        <v>Meter Set: Farm Tap</v>
      </c>
      <c r="D494" s="219">
        <v>2</v>
      </c>
      <c r="E494" s="221">
        <v>0</v>
      </c>
      <c r="F494" s="221"/>
      <c r="G494" s="221"/>
      <c r="H494" s="221">
        <v>0</v>
      </c>
      <c r="I494" s="221"/>
      <c r="J494" s="221"/>
      <c r="K494" s="219">
        <f t="shared" si="8"/>
        <v>13</v>
      </c>
      <c r="L494" s="219">
        <v>13</v>
      </c>
      <c r="M494" s="219"/>
      <c r="N494" s="219">
        <v>48</v>
      </c>
      <c r="O494" s="219">
        <v>2</v>
      </c>
      <c r="P494" s="221"/>
      <c r="Q494" s="221"/>
      <c r="R494" s="221"/>
      <c r="S494" s="221"/>
      <c r="T494" s="221"/>
      <c r="U494" s="221"/>
      <c r="V494" s="221">
        <v>0</v>
      </c>
      <c r="W494" s="220"/>
      <c r="X494" s="220"/>
      <c r="Y494" s="220"/>
      <c r="Z494" s="221">
        <v>0</v>
      </c>
      <c r="AA494" s="220" t="s">
        <v>217</v>
      </c>
    </row>
    <row r="495" spans="1:29" ht="16.5" customHeight="1" x14ac:dyDescent="0.3">
      <c r="A495" s="49"/>
      <c r="B495" s="54" t="str">
        <f ca="1">'Translation Table'!H2215</f>
        <v>Meter Set: Industrial</v>
      </c>
      <c r="C495" s="54" t="str">
        <f ca="1">'Translation Table'!H2215</f>
        <v>Meter Set: Industrial</v>
      </c>
      <c r="D495" s="219">
        <v>1</v>
      </c>
      <c r="E495" s="221">
        <v>0</v>
      </c>
      <c r="F495" s="221"/>
      <c r="G495" s="221"/>
      <c r="H495" s="221">
        <v>0</v>
      </c>
      <c r="I495" s="221"/>
      <c r="J495" s="221"/>
      <c r="K495" s="219">
        <f t="shared" si="8"/>
        <v>26</v>
      </c>
      <c r="L495" s="219">
        <v>26</v>
      </c>
      <c r="M495" s="219"/>
      <c r="N495" s="219">
        <v>111</v>
      </c>
      <c r="O495" s="219">
        <v>4</v>
      </c>
      <c r="P495" s="221"/>
      <c r="Q495" s="221"/>
      <c r="R495" s="221"/>
      <c r="S495" s="221"/>
      <c r="T495" s="221"/>
      <c r="U495" s="221">
        <v>1</v>
      </c>
      <c r="V495" s="221">
        <v>0</v>
      </c>
      <c r="W495" s="220"/>
      <c r="X495" s="220"/>
      <c r="Y495" s="220"/>
      <c r="Z495" s="221">
        <v>0</v>
      </c>
      <c r="AA495" s="220" t="s">
        <v>217</v>
      </c>
    </row>
    <row r="496" spans="1:29" ht="16.5" customHeight="1" x14ac:dyDescent="0.3">
      <c r="A496" s="49"/>
      <c r="B496" s="130" t="str">
        <f ca="1">'Translation Table'!H2216</f>
        <v>Meter Station: Border</v>
      </c>
      <c r="C496" s="54" t="str">
        <f ca="1">'Translation Table'!H2216</f>
        <v>Meter Station: Border</v>
      </c>
      <c r="D496" s="219">
        <v>3</v>
      </c>
      <c r="E496" s="221">
        <v>4</v>
      </c>
      <c r="F496" s="221"/>
      <c r="G496" s="221"/>
      <c r="H496" s="221">
        <v>0</v>
      </c>
      <c r="I496" s="221"/>
      <c r="J496" s="221"/>
      <c r="K496" s="219">
        <f t="shared" si="8"/>
        <v>63</v>
      </c>
      <c r="L496" s="219">
        <v>63</v>
      </c>
      <c r="M496" s="219"/>
      <c r="N496" s="219">
        <v>381</v>
      </c>
      <c r="O496" s="219">
        <v>8</v>
      </c>
      <c r="P496" s="221"/>
      <c r="Q496" s="221"/>
      <c r="R496" s="221"/>
      <c r="S496" s="221"/>
      <c r="T496" s="221"/>
      <c r="U496" s="221"/>
      <c r="V496" s="221">
        <v>1</v>
      </c>
      <c r="W496" s="220"/>
      <c r="X496" s="220"/>
      <c r="Y496" s="220"/>
      <c r="Z496" s="221">
        <v>0</v>
      </c>
      <c r="AA496" s="220" t="s">
        <v>217</v>
      </c>
    </row>
    <row r="497" spans="1:29" ht="16.5" customHeight="1" x14ac:dyDescent="0.3">
      <c r="A497" s="49"/>
      <c r="B497" s="54" t="str">
        <f ca="1">'Translation Table'!H2217</f>
        <v>Meter Station: Receipt/Sales</v>
      </c>
      <c r="C497" s="54" t="str">
        <f ca="1">'Translation Table'!H2217</f>
        <v>Meter Station: Receipt/Sales</v>
      </c>
      <c r="D497" s="219">
        <v>0</v>
      </c>
      <c r="E497" s="221">
        <v>0</v>
      </c>
      <c r="F497" s="221"/>
      <c r="G497" s="221"/>
      <c r="H497" s="221">
        <v>0</v>
      </c>
      <c r="I497" s="221"/>
      <c r="J497" s="221"/>
      <c r="K497" s="219">
        <f t="shared" si="8"/>
        <v>7</v>
      </c>
      <c r="L497" s="219">
        <v>7</v>
      </c>
      <c r="M497" s="219"/>
      <c r="N497" s="219">
        <v>33</v>
      </c>
      <c r="O497" s="219">
        <v>1</v>
      </c>
      <c r="P497" s="221"/>
      <c r="Q497" s="221"/>
      <c r="R497" s="221"/>
      <c r="S497" s="221"/>
      <c r="T497" s="221"/>
      <c r="U497" s="221">
        <v>1</v>
      </c>
      <c r="V497" s="221">
        <v>1</v>
      </c>
      <c r="W497" s="220"/>
      <c r="X497" s="220"/>
      <c r="Y497" s="220"/>
      <c r="Z497" s="221">
        <v>0</v>
      </c>
      <c r="AA497" s="220" t="s">
        <v>217</v>
      </c>
    </row>
    <row r="498" spans="1:29" ht="16.5" customHeight="1" x14ac:dyDescent="0.3">
      <c r="A498" s="49"/>
      <c r="B498" s="130" t="str">
        <f ca="1">'Translation Table'!H2218</f>
        <v>PIG Receiver or Sender</v>
      </c>
      <c r="C498" s="54" t="str">
        <f ca="1">'Translation Table'!H2218</f>
        <v>PIG Receiver or Sender</v>
      </c>
      <c r="D498" s="219">
        <v>0</v>
      </c>
      <c r="E498" s="221">
        <v>0</v>
      </c>
      <c r="F498" s="221"/>
      <c r="G498" s="221"/>
      <c r="H498" s="221">
        <v>0</v>
      </c>
      <c r="I498" s="221"/>
      <c r="J498" s="221"/>
      <c r="K498" s="219">
        <f t="shared" si="8"/>
        <v>3</v>
      </c>
      <c r="L498" s="219">
        <v>3</v>
      </c>
      <c r="M498" s="219"/>
      <c r="N498" s="219">
        <v>241</v>
      </c>
      <c r="O498" s="219">
        <v>0</v>
      </c>
      <c r="P498" s="221"/>
      <c r="Q498" s="221"/>
      <c r="R498" s="221"/>
      <c r="S498" s="221"/>
      <c r="T498" s="221"/>
      <c r="U498" s="221"/>
      <c r="V498" s="221">
        <v>0</v>
      </c>
      <c r="W498" s="220"/>
      <c r="X498" s="220"/>
      <c r="Y498" s="220"/>
      <c r="Z498" s="221">
        <v>1</v>
      </c>
      <c r="AA498" s="220" t="s">
        <v>517</v>
      </c>
    </row>
    <row r="499" spans="1:29" ht="16.5" customHeight="1" x14ac:dyDescent="0.3">
      <c r="A499" s="49"/>
      <c r="B499" s="54" t="str">
        <f ca="1">'Translation Table'!H2219</f>
        <v>Power Generator: Natural Gas Fuelled (Driver: Gas Turbine)</v>
      </c>
      <c r="C499" s="54" t="str">
        <f ca="1">'Translation Table'!H2219</f>
        <v>Power Generator: Natural Gas Fuelled (Driver: Gas Turbine)</v>
      </c>
      <c r="D499" s="219">
        <v>1.62</v>
      </c>
      <c r="E499" s="221">
        <v>1.93</v>
      </c>
      <c r="F499" s="221"/>
      <c r="G499" s="221"/>
      <c r="H499" s="221">
        <v>0</v>
      </c>
      <c r="I499" s="221"/>
      <c r="J499" s="221"/>
      <c r="K499" s="219">
        <f t="shared" si="8"/>
        <v>39.86</v>
      </c>
      <c r="L499" s="219">
        <v>32.94</v>
      </c>
      <c r="M499" s="219">
        <v>6.92</v>
      </c>
      <c r="N499" s="219">
        <v>203.8</v>
      </c>
      <c r="O499" s="219">
        <v>4.33</v>
      </c>
      <c r="P499" s="221"/>
      <c r="Q499" s="221"/>
      <c r="R499" s="221"/>
      <c r="S499" s="221"/>
      <c r="T499" s="221"/>
      <c r="U499" s="221"/>
      <c r="V499" s="221">
        <v>2</v>
      </c>
      <c r="W499" s="220">
        <v>0</v>
      </c>
      <c r="X499" s="220">
        <v>0</v>
      </c>
      <c r="Y499" s="220">
        <v>0</v>
      </c>
      <c r="Z499" s="221">
        <v>1</v>
      </c>
      <c r="AA499" s="220" t="s">
        <v>2474</v>
      </c>
    </row>
    <row r="500" spans="1:29" ht="16.5" customHeight="1" x14ac:dyDescent="0.3">
      <c r="A500" s="49"/>
      <c r="B500" s="130" t="str">
        <f ca="1">'Translation Table'!H2220</f>
        <v>Power Generator: Natural Gas Fuelled (Driver: Recip. Engine)</v>
      </c>
      <c r="C500" s="54" t="str">
        <f ca="1">'Translation Table'!H2220</f>
        <v>Power Generator: Natural Gas Fuelled (Driver: Recip. Engine)</v>
      </c>
      <c r="D500" s="219">
        <v>3.29</v>
      </c>
      <c r="E500" s="221">
        <v>1.76</v>
      </c>
      <c r="F500" s="221"/>
      <c r="G500" s="221"/>
      <c r="H500" s="221">
        <v>0</v>
      </c>
      <c r="I500" s="221"/>
      <c r="J500" s="221"/>
      <c r="K500" s="219">
        <f t="shared" si="8"/>
        <v>26.189999999999998</v>
      </c>
      <c r="L500" s="219">
        <v>20.86</v>
      </c>
      <c r="M500" s="219">
        <v>5.33</v>
      </c>
      <c r="N500" s="219">
        <v>157.71</v>
      </c>
      <c r="O500" s="219">
        <v>1.5</v>
      </c>
      <c r="P500" s="221"/>
      <c r="Q500" s="221"/>
      <c r="R500" s="221"/>
      <c r="S500" s="221"/>
      <c r="T500" s="221"/>
      <c r="U500" s="221"/>
      <c r="V500" s="221">
        <v>2</v>
      </c>
      <c r="W500" s="220">
        <v>0</v>
      </c>
      <c r="X500" s="220">
        <v>0</v>
      </c>
      <c r="Y500" s="220">
        <v>0</v>
      </c>
      <c r="Z500" s="221">
        <v>1</v>
      </c>
      <c r="AA500" s="220" t="s">
        <v>2474</v>
      </c>
    </row>
    <row r="501" spans="1:29" ht="16.5" customHeight="1" x14ac:dyDescent="0.3">
      <c r="A501" s="49"/>
      <c r="B501" s="54" t="str">
        <f ca="1">'Translation Table'!H2221</f>
        <v>Separator: Filter Separator</v>
      </c>
      <c r="C501" s="54" t="str">
        <f ca="1">'Translation Table'!H2221</f>
        <v>Separator: Filter Separator</v>
      </c>
      <c r="D501" s="219">
        <v>0.5</v>
      </c>
      <c r="E501" s="221">
        <v>1.5</v>
      </c>
      <c r="F501" s="221"/>
      <c r="G501" s="221"/>
      <c r="H501" s="221">
        <v>0</v>
      </c>
      <c r="I501" s="221"/>
      <c r="J501" s="221"/>
      <c r="K501" s="219">
        <f t="shared" si="8"/>
        <v>14</v>
      </c>
      <c r="L501" s="219">
        <v>13</v>
      </c>
      <c r="M501" s="219">
        <v>1</v>
      </c>
      <c r="N501" s="219">
        <v>64</v>
      </c>
      <c r="O501" s="219">
        <v>0.5</v>
      </c>
      <c r="P501" s="221"/>
      <c r="Q501" s="221"/>
      <c r="R501" s="221"/>
      <c r="S501" s="221"/>
      <c r="T501" s="221"/>
      <c r="U501" s="221"/>
      <c r="V501" s="221">
        <v>2</v>
      </c>
      <c r="W501" s="220">
        <v>6</v>
      </c>
      <c r="X501" s="220">
        <v>19.5</v>
      </c>
      <c r="Y501" s="220">
        <v>0</v>
      </c>
      <c r="Z501" s="221">
        <v>1</v>
      </c>
      <c r="AA501" s="220" t="s">
        <v>2474</v>
      </c>
    </row>
    <row r="502" spans="1:29" ht="16.5" customHeight="1" x14ac:dyDescent="0.3">
      <c r="A502" s="49"/>
      <c r="B502" s="130" t="str">
        <f ca="1">'Translation Table'!H2222</f>
        <v>Separator: Horizontal (Phases: 2)</v>
      </c>
      <c r="C502" s="54" t="str">
        <f ca="1">'Translation Table'!H2222</f>
        <v>Separator: Horizontal (Phases: 2)</v>
      </c>
      <c r="D502" s="219">
        <v>1</v>
      </c>
      <c r="E502" s="221">
        <v>0</v>
      </c>
      <c r="F502" s="221"/>
      <c r="G502" s="221"/>
      <c r="H502" s="221">
        <v>0</v>
      </c>
      <c r="I502" s="221"/>
      <c r="J502" s="221"/>
      <c r="K502" s="219">
        <f t="shared" si="8"/>
        <v>12</v>
      </c>
      <c r="L502" s="219">
        <v>12</v>
      </c>
      <c r="M502" s="219">
        <v>0</v>
      </c>
      <c r="N502" s="219">
        <v>40</v>
      </c>
      <c r="O502" s="219">
        <v>2</v>
      </c>
      <c r="P502" s="221"/>
      <c r="Q502" s="221"/>
      <c r="R502" s="221"/>
      <c r="S502" s="221"/>
      <c r="T502" s="221"/>
      <c r="U502" s="221"/>
      <c r="V502" s="221">
        <v>2</v>
      </c>
      <c r="W502" s="220">
        <v>17</v>
      </c>
      <c r="X502" s="220">
        <v>58</v>
      </c>
      <c r="Y502" s="220"/>
      <c r="Z502" s="221">
        <v>1</v>
      </c>
      <c r="AA502" s="220" t="s">
        <v>517</v>
      </c>
    </row>
    <row r="503" spans="1:29" ht="16.5" customHeight="1" x14ac:dyDescent="0.3">
      <c r="A503" s="49"/>
      <c r="B503" s="54" t="str">
        <f ca="1">'Translation Table'!H2223</f>
        <v>Separator: Horizontal (Phases: 3)</v>
      </c>
      <c r="C503" s="54" t="str">
        <f ca="1">'Translation Table'!H2223</f>
        <v>Separator: Horizontal (Phases: 3)</v>
      </c>
      <c r="D503" s="219">
        <v>1</v>
      </c>
      <c r="E503" s="221">
        <v>0</v>
      </c>
      <c r="F503" s="221"/>
      <c r="G503" s="221"/>
      <c r="H503" s="221">
        <v>0</v>
      </c>
      <c r="I503" s="221"/>
      <c r="J503" s="221"/>
      <c r="K503" s="219">
        <f t="shared" si="8"/>
        <v>12</v>
      </c>
      <c r="L503" s="219">
        <v>12</v>
      </c>
      <c r="M503" s="219">
        <v>0</v>
      </c>
      <c r="N503" s="219">
        <v>40</v>
      </c>
      <c r="O503" s="219">
        <v>2</v>
      </c>
      <c r="P503" s="221"/>
      <c r="Q503" s="221"/>
      <c r="R503" s="221"/>
      <c r="S503" s="221"/>
      <c r="T503" s="221"/>
      <c r="U503" s="221"/>
      <c r="V503" s="221">
        <v>2</v>
      </c>
      <c r="W503" s="220">
        <v>17</v>
      </c>
      <c r="X503" s="220">
        <v>58</v>
      </c>
      <c r="Y503" s="220"/>
      <c r="Z503" s="221">
        <v>1</v>
      </c>
      <c r="AA503" s="220" t="s">
        <v>2474</v>
      </c>
    </row>
    <row r="504" spans="1:29" ht="16.5" customHeight="1" x14ac:dyDescent="0.3">
      <c r="A504" s="49"/>
      <c r="B504" s="130" t="str">
        <f ca="1">'Translation Table'!H2224</f>
        <v>Separator: Vertical (Phases: 2)</v>
      </c>
      <c r="C504" s="54" t="str">
        <f ca="1">'Translation Table'!H2224</f>
        <v>Separator: Vertical (Phases: 2)</v>
      </c>
      <c r="D504" s="219">
        <v>1</v>
      </c>
      <c r="E504" s="221">
        <v>0</v>
      </c>
      <c r="F504" s="221"/>
      <c r="G504" s="221"/>
      <c r="H504" s="221">
        <v>0</v>
      </c>
      <c r="I504" s="221"/>
      <c r="J504" s="221"/>
      <c r="K504" s="219">
        <f t="shared" si="8"/>
        <v>12</v>
      </c>
      <c r="L504" s="219">
        <v>12</v>
      </c>
      <c r="M504" s="219">
        <v>0</v>
      </c>
      <c r="N504" s="219">
        <v>40</v>
      </c>
      <c r="O504" s="219">
        <v>2</v>
      </c>
      <c r="P504" s="221"/>
      <c r="Q504" s="221"/>
      <c r="R504" s="221"/>
      <c r="S504" s="221"/>
      <c r="T504" s="221"/>
      <c r="U504" s="221"/>
      <c r="V504" s="221">
        <v>2</v>
      </c>
      <c r="W504" s="220">
        <v>17</v>
      </c>
      <c r="X504" s="220">
        <v>58</v>
      </c>
      <c r="Y504" s="220"/>
      <c r="Z504" s="221">
        <v>1</v>
      </c>
      <c r="AA504" s="220" t="s">
        <v>517</v>
      </c>
    </row>
    <row r="505" spans="1:29" ht="16.5" customHeight="1" x14ac:dyDescent="0.3">
      <c r="A505" s="49"/>
      <c r="B505" s="54" t="str">
        <f ca="1">'Translation Table'!H2225</f>
        <v>Separator: Vertical (Phases: 3)</v>
      </c>
      <c r="C505" s="54" t="str">
        <f ca="1">'Translation Table'!H2225</f>
        <v>Separator: Vertical (Phases: 3)</v>
      </c>
      <c r="D505" s="219">
        <v>1</v>
      </c>
      <c r="E505" s="221">
        <v>0</v>
      </c>
      <c r="F505" s="221"/>
      <c r="G505" s="221"/>
      <c r="H505" s="221">
        <v>0</v>
      </c>
      <c r="I505" s="221"/>
      <c r="J505" s="221"/>
      <c r="K505" s="219">
        <f t="shared" si="8"/>
        <v>12</v>
      </c>
      <c r="L505" s="219">
        <v>12</v>
      </c>
      <c r="M505" s="219">
        <v>0</v>
      </c>
      <c r="N505" s="219">
        <v>40</v>
      </c>
      <c r="O505" s="219">
        <v>2</v>
      </c>
      <c r="P505" s="221"/>
      <c r="Q505" s="221"/>
      <c r="R505" s="221"/>
      <c r="S505" s="221"/>
      <c r="T505" s="221"/>
      <c r="U505" s="221"/>
      <c r="V505" s="221">
        <v>2</v>
      </c>
      <c r="W505" s="220">
        <v>17</v>
      </c>
      <c r="X505" s="220">
        <v>58</v>
      </c>
      <c r="Y505" s="220"/>
      <c r="Z505" s="221">
        <v>1</v>
      </c>
      <c r="AA505" s="220" t="s">
        <v>2474</v>
      </c>
      <c r="AC505" s="46">
        <v>0</v>
      </c>
    </row>
    <row r="506" spans="1:29" ht="16.5" customHeight="1" x14ac:dyDescent="0.3">
      <c r="A506" s="49" t="str">
        <f ca="1">'Translation Table'!H1723</f>
        <v>Gas Storage</v>
      </c>
      <c r="B506" s="130" t="str">
        <f ca="1">'Translation Table'!H2226</f>
        <v>Blowdown System: Generic (Pit or Vent)</v>
      </c>
      <c r="C506" s="54" t="str">
        <f ca="1">'Translation Table'!H2226</f>
        <v>Blowdown System: Generic (Pit or Vent)</v>
      </c>
      <c r="D506" s="219">
        <v>0</v>
      </c>
      <c r="E506" s="221">
        <v>0</v>
      </c>
      <c r="F506" s="221"/>
      <c r="G506" s="221"/>
      <c r="H506" s="221">
        <v>1</v>
      </c>
      <c r="I506" s="221"/>
      <c r="J506" s="221"/>
      <c r="K506" s="219">
        <f t="shared" si="8"/>
        <v>2</v>
      </c>
      <c r="L506" s="219">
        <v>1</v>
      </c>
      <c r="M506" s="219">
        <v>1</v>
      </c>
      <c r="N506" s="219">
        <v>2</v>
      </c>
      <c r="O506" s="219"/>
      <c r="P506" s="221"/>
      <c r="Q506" s="221"/>
      <c r="R506" s="221"/>
      <c r="S506" s="221"/>
      <c r="T506" s="221"/>
      <c r="U506" s="221"/>
      <c r="V506" s="221">
        <v>1</v>
      </c>
      <c r="W506" s="220">
        <v>0</v>
      </c>
      <c r="X506" s="220">
        <v>0</v>
      </c>
      <c r="Y506" s="220"/>
      <c r="Z506" s="221">
        <v>0</v>
      </c>
      <c r="AA506" s="220" t="s">
        <v>2474</v>
      </c>
      <c r="AC506" s="46">
        <v>0</v>
      </c>
    </row>
    <row r="507" spans="1:29" ht="16.5" customHeight="1" x14ac:dyDescent="0.3">
      <c r="A507" s="49"/>
      <c r="B507" s="54" t="str">
        <f ca="1">'Translation Table'!H2227</f>
        <v>Aerial Cooler: Natural Gas Service</v>
      </c>
      <c r="C507" s="54" t="str">
        <f ca="1">'Translation Table'!H2227</f>
        <v>Aerial Cooler: Natural Gas Service</v>
      </c>
      <c r="D507" s="219">
        <v>0</v>
      </c>
      <c r="E507" s="219">
        <v>0</v>
      </c>
      <c r="F507" s="219"/>
      <c r="G507" s="219"/>
      <c r="H507" s="219"/>
      <c r="I507" s="219"/>
      <c r="J507" s="219"/>
      <c r="K507" s="219">
        <f t="shared" si="8"/>
        <v>4</v>
      </c>
      <c r="L507" s="219">
        <v>4</v>
      </c>
      <c r="M507" s="219"/>
      <c r="N507" s="219">
        <v>428</v>
      </c>
      <c r="O507" s="219"/>
      <c r="P507" s="219"/>
      <c r="Q507" s="219"/>
      <c r="R507" s="219"/>
      <c r="S507" s="219"/>
      <c r="T507" s="219"/>
      <c r="U507" s="219"/>
      <c r="V507" s="219">
        <v>1</v>
      </c>
      <c r="W507" s="219"/>
      <c r="X507" s="219"/>
      <c r="Y507" s="219"/>
      <c r="Z507" s="219">
        <v>0</v>
      </c>
      <c r="AA507" s="220" t="s">
        <v>2474</v>
      </c>
    </row>
    <row r="508" spans="1:29" ht="16.5" customHeight="1" x14ac:dyDescent="0.3">
      <c r="A508" s="49"/>
      <c r="B508" s="130" t="str">
        <f ca="1">'Translation Table'!H2228</f>
        <v>Aerial Cooler: Hydrocarbon Liquid Service</v>
      </c>
      <c r="C508" s="54" t="str">
        <f ca="1">'Translation Table'!H2228</f>
        <v>Aerial Cooler: Hydrocarbon Liquid Service</v>
      </c>
      <c r="D508" s="219">
        <v>0</v>
      </c>
      <c r="E508" s="219">
        <v>0</v>
      </c>
      <c r="F508" s="219"/>
      <c r="G508" s="219"/>
      <c r="H508" s="219"/>
      <c r="I508" s="219"/>
      <c r="J508" s="219"/>
      <c r="K508" s="219">
        <f t="shared" si="8"/>
        <v>0</v>
      </c>
      <c r="L508" s="219"/>
      <c r="M508" s="219"/>
      <c r="N508" s="219"/>
      <c r="O508" s="219"/>
      <c r="P508" s="219"/>
      <c r="Q508" s="219"/>
      <c r="R508" s="219"/>
      <c r="S508" s="219"/>
      <c r="T508" s="219"/>
      <c r="U508" s="219"/>
      <c r="V508" s="219">
        <v>1</v>
      </c>
      <c r="W508" s="219">
        <v>4</v>
      </c>
      <c r="X508" s="219">
        <v>428</v>
      </c>
      <c r="Y508" s="219"/>
      <c r="Z508" s="219">
        <v>0</v>
      </c>
      <c r="AA508" s="220" t="s">
        <v>2474</v>
      </c>
    </row>
    <row r="509" spans="1:29" ht="16.5" customHeight="1" x14ac:dyDescent="0.3">
      <c r="A509" s="49"/>
      <c r="B509" s="54" t="str">
        <f ca="1">'Translation Table'!H2229</f>
        <v>Chemical Injection Pump: Pneumatic (Diaphragm Type)</v>
      </c>
      <c r="C509" s="54" t="str">
        <f ca="1">'Translation Table'!H2229</f>
        <v>Chemical Injection Pump: Pneumatic (Diaphragm Type)</v>
      </c>
      <c r="D509" s="219">
        <v>0</v>
      </c>
      <c r="E509" s="221">
        <v>1</v>
      </c>
      <c r="F509" s="221"/>
      <c r="G509" s="221"/>
      <c r="H509" s="221">
        <v>0</v>
      </c>
      <c r="I509" s="221"/>
      <c r="J509" s="221"/>
      <c r="K509" s="219">
        <f t="shared" si="8"/>
        <v>1</v>
      </c>
      <c r="L509" s="219">
        <v>1</v>
      </c>
      <c r="M509" s="219">
        <v>0</v>
      </c>
      <c r="N509" s="219">
        <v>6</v>
      </c>
      <c r="O509" s="219">
        <v>1</v>
      </c>
      <c r="P509" s="221"/>
      <c r="Q509" s="221"/>
      <c r="R509" s="221"/>
      <c r="S509" s="221"/>
      <c r="T509" s="221"/>
      <c r="U509" s="221"/>
      <c r="V509" s="221">
        <v>0</v>
      </c>
      <c r="W509" s="220">
        <v>0</v>
      </c>
      <c r="X509" s="220">
        <v>0</v>
      </c>
      <c r="Y509" s="220"/>
      <c r="Z509" s="221">
        <v>0</v>
      </c>
      <c r="AA509" s="220" t="s">
        <v>269</v>
      </c>
      <c r="AC509" s="46">
        <v>0</v>
      </c>
    </row>
    <row r="510" spans="1:29" ht="16.5" customHeight="1" x14ac:dyDescent="0.3">
      <c r="A510" s="49"/>
      <c r="B510" s="130" t="str">
        <f ca="1">'Translation Table'!H2230</f>
        <v>Chemical Injection Pump: Pneumatic (Piston Type)</v>
      </c>
      <c r="C510" s="54" t="str">
        <f ca="1">'Translation Table'!H2230</f>
        <v>Chemical Injection Pump: Pneumatic (Piston Type)</v>
      </c>
      <c r="D510" s="219">
        <v>0</v>
      </c>
      <c r="E510" s="221">
        <v>1</v>
      </c>
      <c r="F510" s="221"/>
      <c r="G510" s="221"/>
      <c r="H510" s="221">
        <v>0</v>
      </c>
      <c r="I510" s="221"/>
      <c r="J510" s="221"/>
      <c r="K510" s="219">
        <f t="shared" si="8"/>
        <v>1</v>
      </c>
      <c r="L510" s="219">
        <v>1</v>
      </c>
      <c r="M510" s="219"/>
      <c r="N510" s="219">
        <v>6</v>
      </c>
      <c r="O510" s="219">
        <v>1</v>
      </c>
      <c r="P510" s="221"/>
      <c r="Q510" s="221"/>
      <c r="R510" s="221"/>
      <c r="S510" s="221"/>
      <c r="T510" s="221"/>
      <c r="U510" s="221"/>
      <c r="V510" s="221">
        <v>0</v>
      </c>
      <c r="W510" s="220">
        <v>0</v>
      </c>
      <c r="X510" s="220">
        <v>0</v>
      </c>
      <c r="Y510" s="220"/>
      <c r="Z510" s="221">
        <v>0</v>
      </c>
      <c r="AA510" s="220" t="s">
        <v>269</v>
      </c>
      <c r="AC510" s="46">
        <v>0</v>
      </c>
    </row>
    <row r="511" spans="1:29" ht="16.5" customHeight="1" x14ac:dyDescent="0.3">
      <c r="A511" s="49"/>
      <c r="B511" s="54" t="str">
        <f ca="1">'Translation Table'!H2231</f>
        <v>Chemical Injection Pump: Pneumatic (Unknown Type)</v>
      </c>
      <c r="C511" s="54" t="str">
        <f ca="1">'Translation Table'!H2231</f>
        <v>Chemical Injection Pump: Pneumatic (Unknown Type)</v>
      </c>
      <c r="D511" s="219">
        <v>0</v>
      </c>
      <c r="E511" s="221">
        <v>1</v>
      </c>
      <c r="F511" s="221"/>
      <c r="G511" s="221"/>
      <c r="H511" s="221">
        <v>0</v>
      </c>
      <c r="I511" s="221"/>
      <c r="J511" s="221"/>
      <c r="K511" s="219">
        <f t="shared" si="8"/>
        <v>1</v>
      </c>
      <c r="L511" s="219">
        <v>1</v>
      </c>
      <c r="M511" s="219"/>
      <c r="N511" s="219">
        <v>6</v>
      </c>
      <c r="O511" s="219">
        <v>1</v>
      </c>
      <c r="P511" s="221"/>
      <c r="Q511" s="221"/>
      <c r="R511" s="221"/>
      <c r="S511" s="221"/>
      <c r="T511" s="221"/>
      <c r="U511" s="221"/>
      <c r="V511" s="221">
        <v>0</v>
      </c>
      <c r="W511" s="220">
        <v>0</v>
      </c>
      <c r="X511" s="220">
        <v>0</v>
      </c>
      <c r="Y511" s="220"/>
      <c r="Z511" s="221">
        <v>0</v>
      </c>
      <c r="AA511" s="220" t="s">
        <v>269</v>
      </c>
      <c r="AC511" s="46">
        <v>0</v>
      </c>
    </row>
    <row r="512" spans="1:29" ht="16.5" customHeight="1" x14ac:dyDescent="0.3">
      <c r="A512" s="49"/>
      <c r="B512" s="130" t="str">
        <f ca="1">'Translation Table'!H2232</f>
        <v>Compressor: Centrifugal: (Stages: 1) (Seals: Wet) (Driver: Electric Motor)</v>
      </c>
      <c r="C512" s="54" t="str">
        <f ca="1">'Translation Table'!H2232</f>
        <v>Compressor: Centrifugal: (Stages: 1) (Seals: Wet) (Driver: Electric Motor)</v>
      </c>
      <c r="D512" s="219">
        <v>1</v>
      </c>
      <c r="E512" s="221">
        <v>3</v>
      </c>
      <c r="F512" s="221"/>
      <c r="G512" s="221"/>
      <c r="H512" s="221">
        <v>1</v>
      </c>
      <c r="I512" s="221"/>
      <c r="J512" s="221"/>
      <c r="K512" s="219">
        <f t="shared" si="8"/>
        <v>48.75</v>
      </c>
      <c r="L512" s="219">
        <v>42.5</v>
      </c>
      <c r="M512" s="219">
        <v>6.25</v>
      </c>
      <c r="N512" s="219">
        <v>1415.25</v>
      </c>
      <c r="O512" s="219">
        <v>1</v>
      </c>
      <c r="P512" s="221"/>
      <c r="Q512" s="221">
        <v>2</v>
      </c>
      <c r="R512" s="221"/>
      <c r="S512" s="221"/>
      <c r="T512" s="221">
        <v>1</v>
      </c>
      <c r="U512" s="221"/>
      <c r="V512" s="221">
        <v>1</v>
      </c>
      <c r="W512" s="220">
        <v>3</v>
      </c>
      <c r="X512" s="220">
        <v>8</v>
      </c>
      <c r="Y512" s="220"/>
      <c r="Z512" s="221">
        <v>1</v>
      </c>
      <c r="AA512" s="220" t="s">
        <v>2474</v>
      </c>
      <c r="AC512" s="46">
        <v>0</v>
      </c>
    </row>
    <row r="513" spans="1:29" ht="16.5" customHeight="1" x14ac:dyDescent="0.3">
      <c r="A513" s="49"/>
      <c r="B513" s="54" t="str">
        <f ca="1">'Translation Table'!H2233</f>
        <v>Compressor: Centrifugal: (Stages: 1) (Seals: Wet) (Driver: Gas Turbine)</v>
      </c>
      <c r="C513" s="54" t="str">
        <f ca="1">'Translation Table'!H2233</f>
        <v>Compressor: Centrifugal: (Stages: 1) (Seals: Wet) (Driver: Gas Turbine)</v>
      </c>
      <c r="D513" s="219">
        <v>2.29</v>
      </c>
      <c r="E513" s="221">
        <v>3.43</v>
      </c>
      <c r="F513" s="221"/>
      <c r="G513" s="221"/>
      <c r="H513" s="221">
        <v>1</v>
      </c>
      <c r="I513" s="221"/>
      <c r="J513" s="221"/>
      <c r="K513" s="219">
        <f t="shared" si="8"/>
        <v>68.61</v>
      </c>
      <c r="L513" s="219">
        <v>62.36</v>
      </c>
      <c r="M513" s="219">
        <v>6.25</v>
      </c>
      <c r="N513" s="219">
        <v>1510.96</v>
      </c>
      <c r="O513" s="219">
        <v>5</v>
      </c>
      <c r="P513" s="221"/>
      <c r="Q513" s="221">
        <v>2</v>
      </c>
      <c r="R513" s="221"/>
      <c r="S513" s="221"/>
      <c r="T513" s="221">
        <v>1</v>
      </c>
      <c r="U513" s="221"/>
      <c r="V513" s="221">
        <v>5</v>
      </c>
      <c r="W513" s="220">
        <v>5</v>
      </c>
      <c r="X513" s="220">
        <v>11</v>
      </c>
      <c r="Y513" s="220"/>
      <c r="Z513" s="221">
        <v>2</v>
      </c>
      <c r="AA513" s="220" t="s">
        <v>2474</v>
      </c>
      <c r="AC513" s="46">
        <v>0</v>
      </c>
    </row>
    <row r="514" spans="1:29" ht="16.5" customHeight="1" x14ac:dyDescent="0.3">
      <c r="A514" s="49"/>
      <c r="B514" s="130" t="str">
        <f ca="1">'Translation Table'!H2234</f>
        <v>Compressor: Centrifugal: (Stages: 2) (Seals: Wet) (Driver: Electric Motor)</v>
      </c>
      <c r="C514" s="54" t="str">
        <f ca="1">'Translation Table'!H2234</f>
        <v>Compressor: Centrifugal: (Stages: 2) (Seals: Wet) (Driver: Electric Motor)</v>
      </c>
      <c r="D514" s="219">
        <v>2</v>
      </c>
      <c r="E514" s="221">
        <v>4.5</v>
      </c>
      <c r="F514" s="221"/>
      <c r="G514" s="221"/>
      <c r="H514" s="221">
        <v>1</v>
      </c>
      <c r="I514" s="221"/>
      <c r="J514" s="221"/>
      <c r="K514" s="219">
        <f t="shared" si="8"/>
        <v>76.5</v>
      </c>
      <c r="L514" s="219">
        <v>69.25</v>
      </c>
      <c r="M514" s="219">
        <v>7.25</v>
      </c>
      <c r="N514" s="219">
        <v>2736.75</v>
      </c>
      <c r="O514" s="219">
        <v>1</v>
      </c>
      <c r="P514" s="221"/>
      <c r="Q514" s="221">
        <v>4</v>
      </c>
      <c r="R514" s="221"/>
      <c r="S514" s="221"/>
      <c r="T514" s="221">
        <v>1</v>
      </c>
      <c r="U514" s="221"/>
      <c r="V514" s="221">
        <v>5</v>
      </c>
      <c r="W514" s="220">
        <v>6</v>
      </c>
      <c r="X514" s="220">
        <v>16</v>
      </c>
      <c r="Y514" s="220"/>
      <c r="Z514" s="221">
        <v>2</v>
      </c>
      <c r="AA514" s="220" t="s">
        <v>2474</v>
      </c>
      <c r="AC514" s="46">
        <v>0</v>
      </c>
    </row>
    <row r="515" spans="1:29" ht="16.5" customHeight="1" x14ac:dyDescent="0.3">
      <c r="A515" s="49"/>
      <c r="B515" s="54" t="str">
        <f ca="1">'Translation Table'!H2235</f>
        <v>Compressor: Centrifugal: (Stages: 2) (Seals: Wet) (Driver: Gas Turbine)</v>
      </c>
      <c r="C515" s="54" t="str">
        <f ca="1">'Translation Table'!H2235</f>
        <v>Compressor: Centrifugal: (Stages: 2) (Seals: Wet) (Driver: Gas Turbine)</v>
      </c>
      <c r="D515" s="219">
        <v>5</v>
      </c>
      <c r="E515" s="221">
        <v>4.93</v>
      </c>
      <c r="F515" s="221"/>
      <c r="G515" s="221"/>
      <c r="H515" s="221">
        <v>1</v>
      </c>
      <c r="I515" s="221"/>
      <c r="J515" s="221"/>
      <c r="K515" s="219">
        <f t="shared" si="8"/>
        <v>96.46</v>
      </c>
      <c r="L515" s="219">
        <v>89.11</v>
      </c>
      <c r="M515" s="219">
        <v>7.35</v>
      </c>
      <c r="N515" s="219">
        <v>2832.46</v>
      </c>
      <c r="O515" s="219">
        <v>5</v>
      </c>
      <c r="P515" s="221"/>
      <c r="Q515" s="221">
        <v>4</v>
      </c>
      <c r="R515" s="221"/>
      <c r="S515" s="221"/>
      <c r="T515" s="221">
        <v>1</v>
      </c>
      <c r="U515" s="221"/>
      <c r="V515" s="221">
        <v>5</v>
      </c>
      <c r="W515" s="220">
        <v>6</v>
      </c>
      <c r="X515" s="220">
        <v>16</v>
      </c>
      <c r="Y515" s="220"/>
      <c r="Z515" s="221">
        <v>3</v>
      </c>
      <c r="AA515" s="220" t="s">
        <v>2474</v>
      </c>
      <c r="AC515" s="46">
        <v>0</v>
      </c>
    </row>
    <row r="516" spans="1:29" ht="16.5" customHeight="1" x14ac:dyDescent="0.3">
      <c r="A516" s="49"/>
      <c r="B516" s="130" t="str">
        <f ca="1">'Translation Table'!H2236</f>
        <v>Compressor: Centrifugal: (Stages: 1) (Seals: Dry) (Driver: Electric Motor)</v>
      </c>
      <c r="C516" s="54" t="str">
        <f ca="1">'Translation Table'!H2236</f>
        <v>Compressor: Centrifugal: (Stages: 1) (Seals: Dry) (Driver: Electric Motor)</v>
      </c>
      <c r="D516" s="219">
        <v>1</v>
      </c>
      <c r="E516" s="221">
        <v>3</v>
      </c>
      <c r="F516" s="221"/>
      <c r="G516" s="221"/>
      <c r="H516" s="221">
        <v>1</v>
      </c>
      <c r="I516" s="221"/>
      <c r="J516" s="221"/>
      <c r="K516" s="219">
        <f t="shared" si="8"/>
        <v>48.75</v>
      </c>
      <c r="L516" s="219">
        <v>42.5</v>
      </c>
      <c r="M516" s="219">
        <v>6.25</v>
      </c>
      <c r="N516" s="219">
        <v>1415.25</v>
      </c>
      <c r="O516" s="219">
        <v>1</v>
      </c>
      <c r="P516" s="221"/>
      <c r="Q516" s="221"/>
      <c r="R516" s="221">
        <v>2</v>
      </c>
      <c r="S516" s="221"/>
      <c r="T516" s="221">
        <v>1</v>
      </c>
      <c r="U516" s="221"/>
      <c r="V516" s="221">
        <v>1</v>
      </c>
      <c r="W516" s="220">
        <v>3</v>
      </c>
      <c r="X516" s="220">
        <v>8</v>
      </c>
      <c r="Y516" s="220"/>
      <c r="Z516" s="221">
        <v>1</v>
      </c>
      <c r="AA516" s="220" t="s">
        <v>2474</v>
      </c>
      <c r="AC516" s="46">
        <v>0</v>
      </c>
    </row>
    <row r="517" spans="1:29" ht="16.5" customHeight="1" x14ac:dyDescent="0.3">
      <c r="A517" s="49"/>
      <c r="B517" s="54" t="str">
        <f ca="1">'Translation Table'!H2237</f>
        <v>Compressor: Centrifugal: (Stages: 1) (Seals: Dry) (Driver: Gas Turbine)</v>
      </c>
      <c r="C517" s="54" t="str">
        <f ca="1">'Translation Table'!H2237</f>
        <v>Compressor: Centrifugal: (Stages: 1) (Seals: Dry) (Driver: Gas Turbine)</v>
      </c>
      <c r="D517" s="219">
        <v>2.29</v>
      </c>
      <c r="E517" s="221">
        <v>3.43</v>
      </c>
      <c r="F517" s="221"/>
      <c r="G517" s="221"/>
      <c r="H517" s="221">
        <v>1</v>
      </c>
      <c r="I517" s="221"/>
      <c r="J517" s="221"/>
      <c r="K517" s="219">
        <f t="shared" si="8"/>
        <v>68.61</v>
      </c>
      <c r="L517" s="219">
        <v>62.36</v>
      </c>
      <c r="M517" s="219">
        <v>6.25</v>
      </c>
      <c r="N517" s="219">
        <v>1510.96</v>
      </c>
      <c r="O517" s="219">
        <v>5</v>
      </c>
      <c r="P517" s="221"/>
      <c r="Q517" s="221"/>
      <c r="R517" s="221">
        <v>2</v>
      </c>
      <c r="S517" s="221"/>
      <c r="T517" s="221">
        <v>1</v>
      </c>
      <c r="U517" s="221"/>
      <c r="V517" s="221">
        <v>5</v>
      </c>
      <c r="W517" s="220">
        <v>5</v>
      </c>
      <c r="X517" s="220">
        <v>11</v>
      </c>
      <c r="Y517" s="220"/>
      <c r="Z517" s="221">
        <v>2</v>
      </c>
      <c r="AA517" s="220" t="s">
        <v>2474</v>
      </c>
      <c r="AC517" s="46">
        <v>0</v>
      </c>
    </row>
    <row r="518" spans="1:29" ht="16.5" customHeight="1" x14ac:dyDescent="0.3">
      <c r="A518" s="49"/>
      <c r="B518" s="130" t="str">
        <f ca="1">'Translation Table'!H2238</f>
        <v>Compressor: Centrifugal: (Stages: 2) (Seals: Dry) (Driver: Electric Motor)</v>
      </c>
      <c r="C518" s="54" t="str">
        <f ca="1">'Translation Table'!H2238</f>
        <v>Compressor: Centrifugal: (Stages: 2) (Seals: Dry) (Driver: Electric Motor)</v>
      </c>
      <c r="D518" s="219">
        <v>2</v>
      </c>
      <c r="E518" s="221">
        <v>4.5</v>
      </c>
      <c r="F518" s="221"/>
      <c r="G518" s="221"/>
      <c r="H518" s="221">
        <v>1</v>
      </c>
      <c r="I518" s="221"/>
      <c r="J518" s="221"/>
      <c r="K518" s="219">
        <f t="shared" si="8"/>
        <v>76.5</v>
      </c>
      <c r="L518" s="219">
        <v>69.25</v>
      </c>
      <c r="M518" s="219">
        <v>7.25</v>
      </c>
      <c r="N518" s="219">
        <v>2736.75</v>
      </c>
      <c r="O518" s="219">
        <v>1</v>
      </c>
      <c r="P518" s="221"/>
      <c r="Q518" s="221"/>
      <c r="R518" s="221">
        <v>4</v>
      </c>
      <c r="S518" s="221"/>
      <c r="T518" s="221">
        <v>1</v>
      </c>
      <c r="U518" s="221"/>
      <c r="V518" s="221">
        <v>5</v>
      </c>
      <c r="W518" s="220">
        <v>6</v>
      </c>
      <c r="X518" s="220">
        <v>16</v>
      </c>
      <c r="Y518" s="220"/>
      <c r="Z518" s="221">
        <v>2</v>
      </c>
      <c r="AA518" s="220" t="s">
        <v>2474</v>
      </c>
      <c r="AC518" s="46">
        <v>0</v>
      </c>
    </row>
    <row r="519" spans="1:29" ht="16.5" customHeight="1" x14ac:dyDescent="0.3">
      <c r="A519" s="49"/>
      <c r="B519" s="54" t="str">
        <f ca="1">'Translation Table'!H2239</f>
        <v>Compressor: Centrifugal: (Stages: 2) (Seals: Dry) (Driver: Gas Turbine)</v>
      </c>
      <c r="C519" s="54" t="str">
        <f ca="1">'Translation Table'!H2239</f>
        <v>Compressor: Centrifugal: (Stages: 2) (Seals: Dry) (Driver: Gas Turbine)</v>
      </c>
      <c r="D519" s="219">
        <v>5</v>
      </c>
      <c r="E519" s="221">
        <v>4.93</v>
      </c>
      <c r="F519" s="221"/>
      <c r="G519" s="221"/>
      <c r="H519" s="221">
        <v>1</v>
      </c>
      <c r="I519" s="221"/>
      <c r="J519" s="221"/>
      <c r="K519" s="219">
        <f t="shared" si="8"/>
        <v>96.46</v>
      </c>
      <c r="L519" s="219">
        <v>89.11</v>
      </c>
      <c r="M519" s="219">
        <v>7.35</v>
      </c>
      <c r="N519" s="219">
        <v>2832.46</v>
      </c>
      <c r="O519" s="219">
        <v>5</v>
      </c>
      <c r="P519" s="221"/>
      <c r="Q519" s="221"/>
      <c r="R519" s="221">
        <v>4</v>
      </c>
      <c r="S519" s="221"/>
      <c r="T519" s="221">
        <v>1</v>
      </c>
      <c r="U519" s="221"/>
      <c r="V519" s="221">
        <v>5</v>
      </c>
      <c r="W519" s="220">
        <v>6</v>
      </c>
      <c r="X519" s="220">
        <v>16</v>
      </c>
      <c r="Y519" s="220"/>
      <c r="Z519" s="221">
        <v>3</v>
      </c>
      <c r="AA519" s="220" t="s">
        <v>2474</v>
      </c>
      <c r="AC519" s="46">
        <v>0</v>
      </c>
    </row>
    <row r="520" spans="1:29" ht="16.5" customHeight="1" x14ac:dyDescent="0.3">
      <c r="A520" s="49"/>
      <c r="B520" s="130" t="str">
        <f ca="1">'Translation Table'!H2240</f>
        <v>Compressor: Reciprocating: (Stages: 1) (Driver: Electric Motor)</v>
      </c>
      <c r="C520" s="54" t="str">
        <f ca="1">'Translation Table'!H2240</f>
        <v>Compressor: Reciprocating: (Stages: 1) (Driver: Electric Motor)</v>
      </c>
      <c r="D520" s="219">
        <v>3</v>
      </c>
      <c r="E520" s="221">
        <v>3</v>
      </c>
      <c r="F520" s="221"/>
      <c r="G520" s="221"/>
      <c r="H520" s="221">
        <v>0</v>
      </c>
      <c r="I520" s="221"/>
      <c r="J520" s="221"/>
      <c r="K520" s="219">
        <f t="shared" ref="K520:K527" si="9">L520+M520</f>
        <v>38.17</v>
      </c>
      <c r="L520" s="219">
        <v>33.5</v>
      </c>
      <c r="M520" s="219">
        <v>4.67</v>
      </c>
      <c r="N520" s="219">
        <v>489.83</v>
      </c>
      <c r="O520" s="219">
        <v>1.33</v>
      </c>
      <c r="P520" s="221">
        <v>4</v>
      </c>
      <c r="Q520" s="221"/>
      <c r="R520" s="221"/>
      <c r="S520" s="221">
        <v>1</v>
      </c>
      <c r="T520" s="221">
        <v>1</v>
      </c>
      <c r="U520" s="221">
        <v>0</v>
      </c>
      <c r="V520" s="221">
        <v>3</v>
      </c>
      <c r="W520" s="220">
        <v>4</v>
      </c>
      <c r="X520" s="220">
        <v>20</v>
      </c>
      <c r="Y520" s="220"/>
      <c r="Z520" s="221">
        <v>1</v>
      </c>
      <c r="AA520" s="220" t="s">
        <v>2474</v>
      </c>
      <c r="AC520" s="46">
        <v>0</v>
      </c>
    </row>
    <row r="521" spans="1:29" ht="16.5" customHeight="1" x14ac:dyDescent="0.3">
      <c r="A521" s="49"/>
      <c r="B521" s="54" t="str">
        <f ca="1">'Translation Table'!H2241</f>
        <v>Compressor: Reciprocating: (Stages: 1) (Driver: Recip Engine)</v>
      </c>
      <c r="C521" s="54" t="str">
        <f ca="1">'Translation Table'!H2241</f>
        <v>Compressor: Reciprocating: (Stages: 1) (Driver: Recip Engine)</v>
      </c>
      <c r="D521" s="219">
        <v>3.79</v>
      </c>
      <c r="E521" s="221">
        <v>3.43</v>
      </c>
      <c r="F521" s="221"/>
      <c r="G521" s="221"/>
      <c r="H521" s="221">
        <v>0</v>
      </c>
      <c r="I521" s="221"/>
      <c r="J521" s="221"/>
      <c r="K521" s="219">
        <f t="shared" si="9"/>
        <v>50.53</v>
      </c>
      <c r="L521" s="219">
        <v>44.86</v>
      </c>
      <c r="M521" s="219">
        <v>5.67</v>
      </c>
      <c r="N521" s="219">
        <v>592.29999999999995</v>
      </c>
      <c r="O521" s="219">
        <v>2.33</v>
      </c>
      <c r="P521" s="221">
        <v>4</v>
      </c>
      <c r="Q521" s="221"/>
      <c r="R521" s="221"/>
      <c r="S521" s="221">
        <v>1</v>
      </c>
      <c r="T521" s="221">
        <v>1</v>
      </c>
      <c r="U521" s="221">
        <v>0</v>
      </c>
      <c r="V521" s="221">
        <v>3</v>
      </c>
      <c r="W521" s="220">
        <v>4</v>
      </c>
      <c r="X521" s="220">
        <v>20</v>
      </c>
      <c r="Y521" s="220"/>
      <c r="Z521" s="221">
        <v>1</v>
      </c>
      <c r="AA521" s="220" t="s">
        <v>2474</v>
      </c>
      <c r="AC521" s="46">
        <v>0</v>
      </c>
    </row>
    <row r="522" spans="1:29" ht="16.5" customHeight="1" x14ac:dyDescent="0.3">
      <c r="A522" s="49"/>
      <c r="B522" s="130" t="str">
        <f ca="1">'Translation Table'!H2242</f>
        <v>Compressor: Reciprocating: (Stages: 2) (Driver: Electric Motor)</v>
      </c>
      <c r="C522" s="54" t="str">
        <f ca="1">'Translation Table'!H2242</f>
        <v>Compressor: Reciprocating: (Stages: 2) (Driver: Electric Motor)</v>
      </c>
      <c r="D522" s="219">
        <v>3</v>
      </c>
      <c r="E522" s="221">
        <v>3.33</v>
      </c>
      <c r="F522" s="221"/>
      <c r="G522" s="221"/>
      <c r="H522" s="221">
        <v>0</v>
      </c>
      <c r="I522" s="221"/>
      <c r="J522" s="221"/>
      <c r="K522" s="219">
        <f t="shared" si="9"/>
        <v>43.83</v>
      </c>
      <c r="L522" s="219">
        <v>38.83</v>
      </c>
      <c r="M522" s="219">
        <v>5</v>
      </c>
      <c r="N522" s="219">
        <v>786.17</v>
      </c>
      <c r="O522" s="219">
        <v>1.67</v>
      </c>
      <c r="P522" s="221">
        <v>4</v>
      </c>
      <c r="Q522" s="221"/>
      <c r="R522" s="221"/>
      <c r="S522" s="221">
        <v>1</v>
      </c>
      <c r="T522" s="221">
        <v>1</v>
      </c>
      <c r="U522" s="221">
        <v>0</v>
      </c>
      <c r="V522" s="221">
        <v>4</v>
      </c>
      <c r="W522" s="220">
        <v>8</v>
      </c>
      <c r="X522" s="220">
        <v>40</v>
      </c>
      <c r="Y522" s="220"/>
      <c r="Z522" s="221">
        <v>2</v>
      </c>
      <c r="AA522" s="220" t="s">
        <v>2474</v>
      </c>
      <c r="AC522" s="46">
        <v>0</v>
      </c>
    </row>
    <row r="523" spans="1:29" ht="16.5" customHeight="1" x14ac:dyDescent="0.3">
      <c r="A523" s="49"/>
      <c r="B523" s="54" t="str">
        <f ca="1">'Translation Table'!H2243</f>
        <v>Compressor: Reciprocating: (Stages: 2) (Driver: Recip Engine)</v>
      </c>
      <c r="C523" s="54" t="str">
        <f ca="1">'Translation Table'!H2243</f>
        <v>Compressor: Reciprocating: (Stages: 2) (Driver: Recip Engine)</v>
      </c>
      <c r="D523" s="219">
        <v>3.79</v>
      </c>
      <c r="E523" s="221">
        <v>3.76</v>
      </c>
      <c r="F523" s="221"/>
      <c r="G523" s="221"/>
      <c r="H523" s="221">
        <v>0</v>
      </c>
      <c r="I523" s="221"/>
      <c r="J523" s="221"/>
      <c r="K523" s="219">
        <f t="shared" si="9"/>
        <v>56.19</v>
      </c>
      <c r="L523" s="219">
        <v>50.19</v>
      </c>
      <c r="M523" s="219">
        <v>6</v>
      </c>
      <c r="N523" s="219">
        <v>888.63</v>
      </c>
      <c r="O523" s="219">
        <v>2.67</v>
      </c>
      <c r="P523" s="221">
        <v>4</v>
      </c>
      <c r="Q523" s="221"/>
      <c r="R523" s="221"/>
      <c r="S523" s="221">
        <v>1</v>
      </c>
      <c r="T523" s="221">
        <v>1</v>
      </c>
      <c r="U523" s="221">
        <v>0</v>
      </c>
      <c r="V523" s="221">
        <v>4</v>
      </c>
      <c r="W523" s="220">
        <v>8</v>
      </c>
      <c r="X523" s="220">
        <v>40</v>
      </c>
      <c r="Y523" s="220"/>
      <c r="Z523" s="221">
        <v>2</v>
      </c>
      <c r="AA523" s="220" t="s">
        <v>2474</v>
      </c>
      <c r="AC523" s="46">
        <v>0</v>
      </c>
    </row>
    <row r="524" spans="1:29" ht="16.5" customHeight="1" x14ac:dyDescent="0.3">
      <c r="A524" s="49"/>
      <c r="B524" s="130" t="str">
        <f ca="1">'Translation Table'!H2244</f>
        <v>Compressor: Reciprocating: (Stages: 3) (Driver: Electric Motor)</v>
      </c>
      <c r="C524" s="54" t="str">
        <f ca="1">'Translation Table'!H2244</f>
        <v>Compressor: Reciprocating: (Stages: 3) (Driver: Electric Motor)</v>
      </c>
      <c r="D524" s="219">
        <v>4</v>
      </c>
      <c r="E524" s="221">
        <v>4.33</v>
      </c>
      <c r="F524" s="221"/>
      <c r="G524" s="221"/>
      <c r="H524" s="221">
        <v>0</v>
      </c>
      <c r="I524" s="221"/>
      <c r="J524" s="221"/>
      <c r="K524" s="219">
        <f t="shared" si="9"/>
        <v>56.83</v>
      </c>
      <c r="L524" s="219">
        <v>51.5</v>
      </c>
      <c r="M524" s="219">
        <v>5.33</v>
      </c>
      <c r="N524" s="219">
        <v>1138.5</v>
      </c>
      <c r="O524" s="219">
        <v>2</v>
      </c>
      <c r="P524" s="221">
        <v>6</v>
      </c>
      <c r="Q524" s="221"/>
      <c r="R524" s="221"/>
      <c r="S524" s="221">
        <v>1</v>
      </c>
      <c r="T524" s="221">
        <v>1</v>
      </c>
      <c r="U524" s="221">
        <v>0</v>
      </c>
      <c r="V524" s="221">
        <v>5</v>
      </c>
      <c r="W524" s="220">
        <v>12</v>
      </c>
      <c r="X524" s="220">
        <v>60</v>
      </c>
      <c r="Y524" s="220"/>
      <c r="Z524" s="221">
        <v>3</v>
      </c>
      <c r="AA524" s="220" t="s">
        <v>2474</v>
      </c>
      <c r="AC524" s="46">
        <v>0</v>
      </c>
    </row>
    <row r="525" spans="1:29" ht="16.5" customHeight="1" x14ac:dyDescent="0.3">
      <c r="A525" s="49"/>
      <c r="B525" s="54" t="str">
        <f ca="1">'Translation Table'!H2245</f>
        <v>Compressor: Reciprocating: (Stages: 3) (Driver: Recip Engine)</v>
      </c>
      <c r="C525" s="54" t="str">
        <f ca="1">'Translation Table'!H2245</f>
        <v>Compressor: Reciprocating: (Stages: 3) (Driver: Recip Engine)</v>
      </c>
      <c r="D525" s="219">
        <v>4.29</v>
      </c>
      <c r="E525" s="221">
        <v>4.76</v>
      </c>
      <c r="F525" s="221"/>
      <c r="G525" s="221"/>
      <c r="H525" s="221">
        <v>0</v>
      </c>
      <c r="I525" s="221"/>
      <c r="J525" s="221"/>
      <c r="K525" s="219">
        <f t="shared" si="9"/>
        <v>69.19</v>
      </c>
      <c r="L525" s="219">
        <v>62.86</v>
      </c>
      <c r="M525" s="219">
        <v>6.33</v>
      </c>
      <c r="N525" s="219">
        <v>1240.96</v>
      </c>
      <c r="O525" s="219">
        <v>3</v>
      </c>
      <c r="P525" s="221">
        <v>6</v>
      </c>
      <c r="Q525" s="221"/>
      <c r="R525" s="221"/>
      <c r="S525" s="221">
        <v>1</v>
      </c>
      <c r="T525" s="221">
        <v>1</v>
      </c>
      <c r="U525" s="221">
        <v>0</v>
      </c>
      <c r="V525" s="221">
        <v>5</v>
      </c>
      <c r="W525" s="220">
        <v>12</v>
      </c>
      <c r="X525" s="220">
        <v>60</v>
      </c>
      <c r="Y525" s="220"/>
      <c r="Z525" s="221">
        <v>3</v>
      </c>
      <c r="AA525" s="220" t="s">
        <v>2474</v>
      </c>
      <c r="AC525" s="46">
        <v>0</v>
      </c>
    </row>
    <row r="526" spans="1:29" ht="16.5" customHeight="1" x14ac:dyDescent="0.3">
      <c r="A526" s="49"/>
      <c r="B526" s="130" t="str">
        <f ca="1">'Translation Table'!H2246</f>
        <v>Compressor: Reciprocating: (Stages 4) (Driver: Electric Motor)</v>
      </c>
      <c r="C526" s="54" t="str">
        <f ca="1">'Translation Table'!H2246</f>
        <v>Compressor: Reciprocating: (Stages 4) (Driver: Electric Motor)</v>
      </c>
      <c r="D526" s="219">
        <v>7</v>
      </c>
      <c r="E526" s="221">
        <v>5.33</v>
      </c>
      <c r="F526" s="221"/>
      <c r="G526" s="221"/>
      <c r="H526" s="221">
        <v>0</v>
      </c>
      <c r="I526" s="221"/>
      <c r="J526" s="221"/>
      <c r="K526" s="219">
        <f t="shared" si="9"/>
        <v>69.84</v>
      </c>
      <c r="L526" s="219">
        <v>64.17</v>
      </c>
      <c r="M526" s="219">
        <v>5.67</v>
      </c>
      <c r="N526" s="219">
        <v>1490.83</v>
      </c>
      <c r="O526" s="219">
        <v>2.33</v>
      </c>
      <c r="P526" s="221">
        <v>8</v>
      </c>
      <c r="Q526" s="221"/>
      <c r="R526" s="221"/>
      <c r="S526" s="221">
        <v>1</v>
      </c>
      <c r="T526" s="221">
        <v>1</v>
      </c>
      <c r="U526" s="221">
        <v>0</v>
      </c>
      <c r="V526" s="221">
        <v>6</v>
      </c>
      <c r="W526" s="220">
        <v>16</v>
      </c>
      <c r="X526" s="220">
        <v>80</v>
      </c>
      <c r="Y526" s="220"/>
      <c r="Z526" s="221">
        <v>4</v>
      </c>
      <c r="AA526" s="220" t="s">
        <v>2474</v>
      </c>
    </row>
    <row r="527" spans="1:29" ht="16.5" customHeight="1" x14ac:dyDescent="0.3">
      <c r="A527" s="49"/>
      <c r="B527" s="54" t="str">
        <f ca="1">'Translation Table'!H2247</f>
        <v>Compressor: Reciprocating: (Stages 4) (Driver: Recip Engine)</v>
      </c>
      <c r="C527" s="54" t="str">
        <f ca="1">'Translation Table'!H2247</f>
        <v>Compressor: Reciprocating: (Stages 4) (Driver: Recip Engine)</v>
      </c>
      <c r="D527" s="219">
        <v>7.79</v>
      </c>
      <c r="E527" s="221">
        <v>5.76</v>
      </c>
      <c r="F527" s="221"/>
      <c r="G527" s="221"/>
      <c r="H527" s="221">
        <v>0</v>
      </c>
      <c r="I527" s="221"/>
      <c r="J527" s="221"/>
      <c r="K527" s="219">
        <f t="shared" si="9"/>
        <v>82.19</v>
      </c>
      <c r="L527" s="219">
        <v>75.52</v>
      </c>
      <c r="M527" s="219">
        <v>6.67</v>
      </c>
      <c r="N527" s="219">
        <v>1593.3</v>
      </c>
      <c r="O527" s="219">
        <v>3.33</v>
      </c>
      <c r="P527" s="221">
        <v>8</v>
      </c>
      <c r="Q527" s="221"/>
      <c r="R527" s="221"/>
      <c r="S527" s="221">
        <v>1</v>
      </c>
      <c r="T527" s="221">
        <v>1</v>
      </c>
      <c r="U527" s="221">
        <v>0</v>
      </c>
      <c r="V527" s="221">
        <v>6</v>
      </c>
      <c r="W527" s="220">
        <v>16</v>
      </c>
      <c r="X527" s="220">
        <v>80</v>
      </c>
      <c r="Y527" s="220"/>
      <c r="Z527" s="221">
        <v>4</v>
      </c>
      <c r="AA527" s="220" t="s">
        <v>2474</v>
      </c>
    </row>
    <row r="528" spans="1:29" ht="16.5" customHeight="1" x14ac:dyDescent="0.3">
      <c r="A528" s="49"/>
      <c r="B528" s="130" t="str">
        <f ca="1">'Translation Table'!H2248</f>
        <v>Dehydration: Desiccant (Adsorber Columns: 2)</v>
      </c>
      <c r="C528" s="54" t="str">
        <f ca="1">'Translation Table'!H2248</f>
        <v>Dehydration: Desiccant (Adsorber Columns: 2)</v>
      </c>
      <c r="D528" s="219">
        <v>2</v>
      </c>
      <c r="E528" s="221">
        <v>0</v>
      </c>
      <c r="F528" s="221"/>
      <c r="G528" s="221"/>
      <c r="H528" s="221">
        <v>1</v>
      </c>
      <c r="I528" s="221"/>
      <c r="J528" s="221"/>
      <c r="K528" s="219">
        <f t="shared" ref="K528:K583" si="10">L528+M528</f>
        <v>24</v>
      </c>
      <c r="L528" s="219">
        <v>24</v>
      </c>
      <c r="M528" s="219"/>
      <c r="N528" s="219">
        <v>100</v>
      </c>
      <c r="O528" s="219">
        <v>2</v>
      </c>
      <c r="P528" s="221"/>
      <c r="Q528" s="221"/>
      <c r="R528" s="221"/>
      <c r="S528" s="221"/>
      <c r="T528" s="221"/>
      <c r="U528" s="221"/>
      <c r="V528" s="221">
        <v>5</v>
      </c>
      <c r="W528" s="220">
        <v>7</v>
      </c>
      <c r="X528" s="220">
        <v>14</v>
      </c>
      <c r="Y528" s="220"/>
      <c r="Z528" s="221">
        <v>3</v>
      </c>
      <c r="AA528" s="220" t="s">
        <v>517</v>
      </c>
      <c r="AC528" s="46">
        <v>0</v>
      </c>
    </row>
    <row r="529" spans="1:29" ht="16.5" customHeight="1" x14ac:dyDescent="0.3">
      <c r="A529" s="49"/>
      <c r="B529" s="54" t="str">
        <f ca="1">'Translation Table'!H2249</f>
        <v>Dehydration: Desiccant (Adsorber Columns: 3)</v>
      </c>
      <c r="C529" s="54" t="str">
        <f ca="1">'Translation Table'!H2249</f>
        <v>Dehydration: Desiccant (Adsorber Columns: 3)</v>
      </c>
      <c r="D529" s="219">
        <v>3</v>
      </c>
      <c r="E529" s="221">
        <v>0</v>
      </c>
      <c r="F529" s="221"/>
      <c r="G529" s="221"/>
      <c r="H529" s="221">
        <v>1</v>
      </c>
      <c r="I529" s="221"/>
      <c r="J529" s="221"/>
      <c r="K529" s="219">
        <f t="shared" si="10"/>
        <v>30</v>
      </c>
      <c r="L529" s="219">
        <v>30</v>
      </c>
      <c r="M529" s="219"/>
      <c r="N529" s="219">
        <v>84</v>
      </c>
      <c r="O529" s="219">
        <v>2</v>
      </c>
      <c r="P529" s="221"/>
      <c r="Q529" s="221"/>
      <c r="R529" s="221"/>
      <c r="S529" s="221"/>
      <c r="T529" s="221"/>
      <c r="U529" s="221"/>
      <c r="V529" s="221">
        <v>5</v>
      </c>
      <c r="W529" s="220">
        <v>10</v>
      </c>
      <c r="X529" s="220">
        <v>20</v>
      </c>
      <c r="Y529" s="220"/>
      <c r="Z529" s="221">
        <v>4</v>
      </c>
      <c r="AA529" s="220" t="s">
        <v>2474</v>
      </c>
      <c r="AC529" s="46">
        <v>0</v>
      </c>
    </row>
    <row r="530" spans="1:29" ht="16.5" customHeight="1" x14ac:dyDescent="0.3">
      <c r="A530" s="49"/>
      <c r="B530" s="130" t="str">
        <f ca="1">'Translation Table'!H2250</f>
        <v>Dehydration: Glycol (with Gas-assisted Pump)</v>
      </c>
      <c r="C530" s="54" t="str">
        <f ca="1">'Translation Table'!H2250</f>
        <v>Dehydration: Glycol (with Gas-assisted Pump)</v>
      </c>
      <c r="D530" s="219">
        <v>1</v>
      </c>
      <c r="E530" s="221">
        <v>1</v>
      </c>
      <c r="F530" s="221">
        <v>0</v>
      </c>
      <c r="G530" s="221"/>
      <c r="H530" s="221">
        <v>1</v>
      </c>
      <c r="I530" s="221"/>
      <c r="J530" s="221"/>
      <c r="K530" s="219">
        <f t="shared" si="10"/>
        <v>24</v>
      </c>
      <c r="L530" s="219">
        <v>24</v>
      </c>
      <c r="M530" s="219"/>
      <c r="N530" s="219">
        <v>100</v>
      </c>
      <c r="O530" s="219">
        <v>2</v>
      </c>
      <c r="P530" s="221"/>
      <c r="Q530" s="221"/>
      <c r="R530" s="221"/>
      <c r="S530" s="221"/>
      <c r="T530" s="221"/>
      <c r="U530" s="221"/>
      <c r="V530" s="221">
        <v>5</v>
      </c>
      <c r="W530" s="220">
        <v>5</v>
      </c>
      <c r="X530" s="220">
        <v>7</v>
      </c>
      <c r="Y530" s="220">
        <v>14</v>
      </c>
      <c r="Z530" s="221">
        <v>2</v>
      </c>
      <c r="AA530" s="220" t="s">
        <v>198</v>
      </c>
    </row>
    <row r="531" spans="1:29" ht="16.5" customHeight="1" x14ac:dyDescent="0.3">
      <c r="A531" s="49"/>
      <c r="B531" s="54" t="str">
        <f ca="1">'Translation Table'!H2251</f>
        <v>Dehydration: Glycol (without Gas-assisted Pump)</v>
      </c>
      <c r="C531" s="54" t="str">
        <f ca="1">'Translation Table'!H2251</f>
        <v>Dehydration: Glycol (without Gas-assisted Pump)</v>
      </c>
      <c r="D531" s="219">
        <v>1</v>
      </c>
      <c r="E531" s="221">
        <v>1</v>
      </c>
      <c r="F531" s="221">
        <v>0</v>
      </c>
      <c r="G531" s="221"/>
      <c r="H531" s="221">
        <v>1</v>
      </c>
      <c r="I531" s="221"/>
      <c r="J531" s="221"/>
      <c r="K531" s="219">
        <f t="shared" si="10"/>
        <v>24</v>
      </c>
      <c r="L531" s="219">
        <v>24</v>
      </c>
      <c r="M531" s="219"/>
      <c r="N531" s="219">
        <v>100</v>
      </c>
      <c r="O531" s="219">
        <v>2</v>
      </c>
      <c r="P531" s="221"/>
      <c r="Q531" s="221"/>
      <c r="R531" s="221"/>
      <c r="S531" s="221"/>
      <c r="T531" s="221"/>
      <c r="U531" s="221"/>
      <c r="V531" s="221">
        <v>5</v>
      </c>
      <c r="W531" s="220">
        <v>5</v>
      </c>
      <c r="X531" s="220">
        <v>7</v>
      </c>
      <c r="Y531" s="220">
        <v>14</v>
      </c>
      <c r="Z531" s="221">
        <v>2</v>
      </c>
      <c r="AA531" s="220" t="s">
        <v>198</v>
      </c>
    </row>
    <row r="532" spans="1:29" ht="16.5" customHeight="1" x14ac:dyDescent="0.3">
      <c r="A532" s="49"/>
      <c r="B532" s="130" t="str">
        <f ca="1">'Translation Table'!H2252</f>
        <v>Drain Tank</v>
      </c>
      <c r="C532" s="54" t="str">
        <f ca="1">'Translation Table'!H2252</f>
        <v>Drain Tank</v>
      </c>
      <c r="D532" s="219">
        <v>0</v>
      </c>
      <c r="E532" s="221">
        <v>1</v>
      </c>
      <c r="F532" s="221"/>
      <c r="G532" s="221"/>
      <c r="H532" s="221">
        <v>0</v>
      </c>
      <c r="I532" s="221"/>
      <c r="J532" s="221"/>
      <c r="K532" s="219">
        <f t="shared" si="10"/>
        <v>1</v>
      </c>
      <c r="L532" s="219">
        <v>1</v>
      </c>
      <c r="M532" s="219"/>
      <c r="N532" s="219">
        <v>2</v>
      </c>
      <c r="O532" s="219">
        <v>0</v>
      </c>
      <c r="P532" s="221"/>
      <c r="Q532" s="221"/>
      <c r="R532" s="221"/>
      <c r="S532" s="221"/>
      <c r="T532" s="221"/>
      <c r="U532" s="221"/>
      <c r="V532" s="221">
        <v>0</v>
      </c>
      <c r="W532" s="220"/>
      <c r="X532" s="220"/>
      <c r="Y532" s="220"/>
      <c r="Z532" s="221">
        <v>0</v>
      </c>
      <c r="AA532" s="220" t="s">
        <v>2474</v>
      </c>
    </row>
    <row r="533" spans="1:29" ht="16.5" customHeight="1" x14ac:dyDescent="0.3">
      <c r="A533" s="49"/>
      <c r="B533" s="54" t="str">
        <f ca="1">'Translation Table'!H2253</f>
        <v>Flare System: Generic (Including Knock-out Drum)</v>
      </c>
      <c r="C533" s="54" t="str">
        <f ca="1">'Translation Table'!H2253</f>
        <v>Flare System: Generic (Including Knock-out Drum)</v>
      </c>
      <c r="D533" s="219"/>
      <c r="E533" s="221">
        <v>5</v>
      </c>
      <c r="F533" s="221"/>
      <c r="G533" s="221"/>
      <c r="H533" s="221">
        <v>0</v>
      </c>
      <c r="I533" s="221"/>
      <c r="J533" s="221"/>
      <c r="K533" s="219">
        <f t="shared" si="10"/>
        <v>35</v>
      </c>
      <c r="L533" s="219">
        <v>35</v>
      </c>
      <c r="M533" s="219"/>
      <c r="N533" s="219">
        <v>114</v>
      </c>
      <c r="O533" s="219">
        <v>1</v>
      </c>
      <c r="P533" s="221"/>
      <c r="Q533" s="221"/>
      <c r="R533" s="221"/>
      <c r="S533" s="221"/>
      <c r="T533" s="221"/>
      <c r="U533" s="221"/>
      <c r="V533" s="221">
        <v>1</v>
      </c>
      <c r="W533" s="220">
        <v>0</v>
      </c>
      <c r="X533" s="220">
        <v>0</v>
      </c>
      <c r="Y533" s="220"/>
      <c r="Z533" s="221">
        <v>1</v>
      </c>
      <c r="AA533" s="220" t="s">
        <v>2082</v>
      </c>
    </row>
    <row r="534" spans="1:29" ht="16.5" customHeight="1" x14ac:dyDescent="0.3">
      <c r="A534" s="49"/>
      <c r="B534" s="130" t="str">
        <f ca="1">'Translation Table'!H2254</f>
        <v>Heater/Boiler/Reboiler: Line (Burner Assemblies: 1)</v>
      </c>
      <c r="C534" s="54" t="str">
        <f ca="1">'Translation Table'!H2254</f>
        <v>Heater/Boiler/Reboiler: Line (Burner Assemblies: 1)</v>
      </c>
      <c r="D534" s="219">
        <v>2.29</v>
      </c>
      <c r="E534" s="221">
        <v>0.43</v>
      </c>
      <c r="F534" s="221"/>
      <c r="G534" s="221"/>
      <c r="H534" s="221">
        <v>1</v>
      </c>
      <c r="I534" s="221"/>
      <c r="J534" s="221"/>
      <c r="K534" s="219">
        <f t="shared" si="10"/>
        <v>31.21</v>
      </c>
      <c r="L534" s="219">
        <v>29.71</v>
      </c>
      <c r="M534" s="219">
        <v>1.5</v>
      </c>
      <c r="N534" s="219">
        <v>222.61</v>
      </c>
      <c r="O534" s="219">
        <v>5.76</v>
      </c>
      <c r="P534" s="221"/>
      <c r="Q534" s="221"/>
      <c r="R534" s="221"/>
      <c r="S534" s="221"/>
      <c r="T534" s="221"/>
      <c r="U534" s="221"/>
      <c r="V534" s="221">
        <v>0</v>
      </c>
      <c r="W534" s="220">
        <v>0</v>
      </c>
      <c r="X534" s="220">
        <v>0</v>
      </c>
      <c r="Y534" s="220"/>
      <c r="Z534" s="221">
        <v>1</v>
      </c>
      <c r="AA534" s="220" t="s">
        <v>2474</v>
      </c>
    </row>
    <row r="535" spans="1:29" ht="16.5" customHeight="1" x14ac:dyDescent="0.3">
      <c r="A535" s="49"/>
      <c r="B535" s="54" t="str">
        <f ca="1">'Translation Table'!H2255</f>
        <v>Heater/Boiler/Reboiler: Line (Burner Assemblies: 2)</v>
      </c>
      <c r="C535" s="54" t="str">
        <f ca="1">'Translation Table'!H2255</f>
        <v>Heater/Boiler/Reboiler: Line (Burner Assemblies: 2)</v>
      </c>
      <c r="D535" s="219">
        <v>7.59</v>
      </c>
      <c r="E535" s="221">
        <v>0.43</v>
      </c>
      <c r="F535" s="221"/>
      <c r="G535" s="221"/>
      <c r="H535" s="221">
        <v>1</v>
      </c>
      <c r="I535" s="221"/>
      <c r="J535" s="221"/>
      <c r="K535" s="219">
        <f t="shared" si="10"/>
        <v>44.510000000000005</v>
      </c>
      <c r="L535" s="219">
        <v>41.31</v>
      </c>
      <c r="M535" s="219">
        <v>3.2</v>
      </c>
      <c r="N535" s="219">
        <v>252.51</v>
      </c>
      <c r="O535" s="219">
        <v>7.59</v>
      </c>
      <c r="P535" s="221"/>
      <c r="Q535" s="221"/>
      <c r="R535" s="221"/>
      <c r="S535" s="221"/>
      <c r="T535" s="221"/>
      <c r="U535" s="221"/>
      <c r="V535" s="221">
        <v>0</v>
      </c>
      <c r="W535" s="220">
        <v>0</v>
      </c>
      <c r="X535" s="220">
        <v>0</v>
      </c>
      <c r="Y535" s="220"/>
      <c r="Z535" s="221">
        <v>1</v>
      </c>
      <c r="AA535" s="220" t="s">
        <v>2474</v>
      </c>
    </row>
    <row r="536" spans="1:29" ht="16.5" customHeight="1" x14ac:dyDescent="0.3">
      <c r="A536" s="49"/>
      <c r="B536" s="130" t="str">
        <f ca="1">'Translation Table'!H2256</f>
        <v>Heater/Boiler/Reboiler: Line (Burner Assemblies: 3)</v>
      </c>
      <c r="C536" s="54" t="str">
        <f ca="1">'Translation Table'!H2256</f>
        <v>Heater/Boiler/Reboiler: Line (Burner Assemblies: 3)</v>
      </c>
      <c r="D536" s="219">
        <v>12.89</v>
      </c>
      <c r="E536" s="221">
        <v>0.43</v>
      </c>
      <c r="F536" s="221"/>
      <c r="G536" s="221"/>
      <c r="H536" s="221">
        <v>1</v>
      </c>
      <c r="I536" s="221"/>
      <c r="J536" s="221"/>
      <c r="K536" s="219">
        <f t="shared" si="10"/>
        <v>57.809999999999995</v>
      </c>
      <c r="L536" s="219">
        <v>52.91</v>
      </c>
      <c r="M536" s="219">
        <v>4.9000000000000004</v>
      </c>
      <c r="N536" s="219">
        <v>282.41000000000003</v>
      </c>
      <c r="O536" s="219">
        <v>9.42</v>
      </c>
      <c r="P536" s="221"/>
      <c r="Q536" s="221"/>
      <c r="R536" s="221"/>
      <c r="S536" s="221"/>
      <c r="T536" s="221"/>
      <c r="U536" s="221"/>
      <c r="V536" s="221">
        <v>0</v>
      </c>
      <c r="W536" s="220">
        <v>0</v>
      </c>
      <c r="X536" s="220">
        <v>0</v>
      </c>
      <c r="Y536" s="220"/>
      <c r="Z536" s="221">
        <v>1</v>
      </c>
      <c r="AA536" s="220" t="s">
        <v>2474</v>
      </c>
    </row>
    <row r="537" spans="1:29" ht="16.5" customHeight="1" x14ac:dyDescent="0.3">
      <c r="A537" s="49"/>
      <c r="B537" s="54" t="str">
        <f ca="1">'Translation Table'!H2257</f>
        <v>Inlet/Outlet Header: Gas Facilities (Fittings Per Pipeline)</v>
      </c>
      <c r="C537" s="54" t="str">
        <f ca="1">'Translation Table'!H2257</f>
        <v>Inlet/Outlet Header: Gas Facilities (Fittings Per Pipeline)</v>
      </c>
      <c r="D537" s="219">
        <v>0</v>
      </c>
      <c r="E537" s="221">
        <v>0</v>
      </c>
      <c r="F537" s="221"/>
      <c r="G537" s="221"/>
      <c r="H537" s="221">
        <v>1</v>
      </c>
      <c r="I537" s="221"/>
      <c r="J537" s="221"/>
      <c r="K537" s="219">
        <f t="shared" si="10"/>
        <v>7</v>
      </c>
      <c r="L537" s="219">
        <v>6</v>
      </c>
      <c r="M537" s="219">
        <v>1</v>
      </c>
      <c r="N537" s="219">
        <v>16</v>
      </c>
      <c r="O537" s="219">
        <v>0</v>
      </c>
      <c r="P537" s="221"/>
      <c r="Q537" s="221"/>
      <c r="R537" s="221"/>
      <c r="S537" s="221"/>
      <c r="T537" s="221"/>
      <c r="U537" s="221"/>
      <c r="V537" s="221">
        <v>0</v>
      </c>
      <c r="W537" s="220">
        <v>0</v>
      </c>
      <c r="X537" s="220">
        <v>0</v>
      </c>
      <c r="Y537" s="220"/>
      <c r="Z537" s="221">
        <v>0</v>
      </c>
      <c r="AA537" s="220" t="s">
        <v>2474</v>
      </c>
    </row>
    <row r="538" spans="1:29" ht="16.5" customHeight="1" x14ac:dyDescent="0.3">
      <c r="A538" s="49"/>
      <c r="B538" s="130" t="str">
        <f ca="1">'Translation Table'!H2258</f>
        <v>Mainline Block Valve</v>
      </c>
      <c r="C538" s="54" t="str">
        <f ca="1">'Translation Table'!H2258</f>
        <v>Mainline Block Valve</v>
      </c>
      <c r="D538" s="219"/>
      <c r="E538" s="221">
        <v>1</v>
      </c>
      <c r="F538" s="221"/>
      <c r="G538" s="221"/>
      <c r="H538" s="221">
        <v>0</v>
      </c>
      <c r="I538" s="221"/>
      <c r="J538" s="221"/>
      <c r="K538" s="219">
        <f t="shared" si="10"/>
        <v>36</v>
      </c>
      <c r="L538" s="219">
        <v>36</v>
      </c>
      <c r="M538" s="219"/>
      <c r="N538" s="219">
        <v>200</v>
      </c>
      <c r="O538" s="219">
        <v>2</v>
      </c>
      <c r="P538" s="221"/>
      <c r="Q538" s="221"/>
      <c r="R538" s="221"/>
      <c r="S538" s="221"/>
      <c r="T538" s="221"/>
      <c r="U538" s="221"/>
      <c r="V538" s="221">
        <v>1</v>
      </c>
      <c r="W538" s="220"/>
      <c r="X538" s="220"/>
      <c r="Y538" s="220"/>
      <c r="Z538" s="221">
        <v>0</v>
      </c>
      <c r="AA538" s="220" t="s">
        <v>217</v>
      </c>
    </row>
    <row r="539" spans="1:29" ht="16.5" customHeight="1" x14ac:dyDescent="0.3">
      <c r="A539" s="49"/>
      <c r="B539" s="54" t="str">
        <f ca="1">'Translation Table'!H2259</f>
        <v>Meter Run: Generic</v>
      </c>
      <c r="C539" s="54" t="str">
        <f ca="1">'Translation Table'!H2259</f>
        <v>Meter Run: Generic</v>
      </c>
      <c r="D539" s="219"/>
      <c r="E539" s="221"/>
      <c r="F539" s="221"/>
      <c r="G539" s="221"/>
      <c r="H539" s="221">
        <v>0</v>
      </c>
      <c r="I539" s="221"/>
      <c r="J539" s="221"/>
      <c r="K539" s="219">
        <f t="shared" si="10"/>
        <v>0</v>
      </c>
      <c r="L539" s="219"/>
      <c r="M539" s="219"/>
      <c r="N539" s="219"/>
      <c r="O539" s="219"/>
      <c r="P539" s="221"/>
      <c r="Q539" s="221"/>
      <c r="R539" s="221"/>
      <c r="S539" s="221"/>
      <c r="T539" s="221"/>
      <c r="U539" s="221"/>
      <c r="V539" s="221">
        <v>0</v>
      </c>
      <c r="W539" s="220"/>
      <c r="X539" s="220"/>
      <c r="Y539" s="220"/>
      <c r="Z539" s="221">
        <v>0</v>
      </c>
      <c r="AA539" s="220" t="s">
        <v>2474</v>
      </c>
    </row>
    <row r="540" spans="1:29" ht="16.5" customHeight="1" x14ac:dyDescent="0.3">
      <c r="A540" s="49"/>
      <c r="B540" s="130" t="str">
        <f ca="1">'Translation Table'!H2260</f>
        <v>PIG Receiver or Sender</v>
      </c>
      <c r="C540" s="54" t="str">
        <f ca="1">'Translation Table'!H2260</f>
        <v>PIG Receiver or Sender</v>
      </c>
      <c r="D540" s="219">
        <v>0</v>
      </c>
      <c r="E540" s="221">
        <v>0</v>
      </c>
      <c r="F540" s="221"/>
      <c r="G540" s="221"/>
      <c r="H540" s="221">
        <v>0</v>
      </c>
      <c r="I540" s="221"/>
      <c r="J540" s="221"/>
      <c r="K540" s="219">
        <f t="shared" si="10"/>
        <v>3</v>
      </c>
      <c r="L540" s="219">
        <v>3</v>
      </c>
      <c r="M540" s="219"/>
      <c r="N540" s="219">
        <v>241</v>
      </c>
      <c r="O540" s="219">
        <v>0</v>
      </c>
      <c r="P540" s="221"/>
      <c r="Q540" s="221"/>
      <c r="R540" s="221"/>
      <c r="S540" s="221"/>
      <c r="T540" s="221"/>
      <c r="U540" s="221"/>
      <c r="V540" s="221">
        <v>0</v>
      </c>
      <c r="W540" s="220"/>
      <c r="X540" s="220"/>
      <c r="Y540" s="220"/>
      <c r="Z540" s="221">
        <v>1</v>
      </c>
      <c r="AA540" s="220" t="s">
        <v>517</v>
      </c>
    </row>
    <row r="541" spans="1:29" ht="16.5" customHeight="1" x14ac:dyDescent="0.3">
      <c r="A541" s="49"/>
      <c r="B541" s="54" t="str">
        <f ca="1">'Translation Table'!H2261</f>
        <v>Power Generator: Natural Gas Fuelled (Driver: Gas Turbine)</v>
      </c>
      <c r="C541" s="54" t="str">
        <f ca="1">'Translation Table'!H2261</f>
        <v>Power Generator: Natural Gas Fuelled (Driver: Gas Turbine)</v>
      </c>
      <c r="D541" s="219">
        <v>1.62</v>
      </c>
      <c r="E541" s="221">
        <v>1.93</v>
      </c>
      <c r="F541" s="221"/>
      <c r="G541" s="221"/>
      <c r="H541" s="221">
        <v>0</v>
      </c>
      <c r="I541" s="221"/>
      <c r="J541" s="221"/>
      <c r="K541" s="219">
        <f t="shared" si="10"/>
        <v>39.86</v>
      </c>
      <c r="L541" s="219">
        <v>32.94</v>
      </c>
      <c r="M541" s="219">
        <v>6.92</v>
      </c>
      <c r="N541" s="219">
        <v>203.8</v>
      </c>
      <c r="O541" s="219">
        <v>4.33</v>
      </c>
      <c r="P541" s="221"/>
      <c r="Q541" s="221"/>
      <c r="R541" s="221"/>
      <c r="S541" s="221"/>
      <c r="T541" s="221"/>
      <c r="U541" s="221"/>
      <c r="V541" s="221">
        <v>2</v>
      </c>
      <c r="W541" s="220">
        <v>0</v>
      </c>
      <c r="X541" s="220">
        <v>0</v>
      </c>
      <c r="Y541" s="220">
        <v>0</v>
      </c>
      <c r="Z541" s="221">
        <v>1</v>
      </c>
      <c r="AA541" s="220" t="s">
        <v>2474</v>
      </c>
    </row>
    <row r="542" spans="1:29" ht="16.5" customHeight="1" x14ac:dyDescent="0.3">
      <c r="A542" s="49"/>
      <c r="B542" s="130" t="str">
        <f ca="1">'Translation Table'!H2262</f>
        <v>Power Generator: Natural Gas Fuelled (Driver: Recip. Engine)</v>
      </c>
      <c r="C542" s="54" t="str">
        <f ca="1">'Translation Table'!H2262</f>
        <v>Power Generator: Natural Gas Fuelled (Driver: Recip. Engine)</v>
      </c>
      <c r="D542" s="219">
        <v>3.29</v>
      </c>
      <c r="E542" s="221">
        <v>1.76</v>
      </c>
      <c r="F542" s="221"/>
      <c r="G542" s="221"/>
      <c r="H542" s="221">
        <v>0</v>
      </c>
      <c r="I542" s="221"/>
      <c r="J542" s="221"/>
      <c r="K542" s="219">
        <f t="shared" si="10"/>
        <v>26.189999999999998</v>
      </c>
      <c r="L542" s="219">
        <v>20.86</v>
      </c>
      <c r="M542" s="219">
        <v>5.33</v>
      </c>
      <c r="N542" s="219">
        <v>157.71</v>
      </c>
      <c r="O542" s="219">
        <v>1.5</v>
      </c>
      <c r="P542" s="221"/>
      <c r="Q542" s="221"/>
      <c r="R542" s="221"/>
      <c r="S542" s="221"/>
      <c r="T542" s="221"/>
      <c r="U542" s="221"/>
      <c r="V542" s="221">
        <v>2</v>
      </c>
      <c r="W542" s="220">
        <v>0</v>
      </c>
      <c r="X542" s="220">
        <v>0</v>
      </c>
      <c r="Y542" s="220">
        <v>0</v>
      </c>
      <c r="Z542" s="221">
        <v>1</v>
      </c>
      <c r="AA542" s="220" t="s">
        <v>2474</v>
      </c>
    </row>
    <row r="543" spans="1:29" ht="16.5" customHeight="1" x14ac:dyDescent="0.3">
      <c r="A543" s="49"/>
      <c r="B543" s="54" t="str">
        <f ca="1">'Translation Table'!H2263</f>
        <v>Separator: Filter Separator</v>
      </c>
      <c r="C543" s="54" t="str">
        <f ca="1">'Translation Table'!H2263</f>
        <v>Separator: Filter Separator</v>
      </c>
      <c r="D543" s="219">
        <v>0.5</v>
      </c>
      <c r="E543" s="221">
        <v>1.5</v>
      </c>
      <c r="F543" s="221"/>
      <c r="G543" s="221"/>
      <c r="H543" s="221">
        <v>0</v>
      </c>
      <c r="I543" s="221"/>
      <c r="J543" s="221"/>
      <c r="K543" s="219">
        <f t="shared" si="10"/>
        <v>14</v>
      </c>
      <c r="L543" s="219">
        <v>13</v>
      </c>
      <c r="M543" s="219">
        <v>1</v>
      </c>
      <c r="N543" s="219">
        <v>64</v>
      </c>
      <c r="O543" s="219">
        <v>0.5</v>
      </c>
      <c r="P543" s="221"/>
      <c r="Q543" s="221"/>
      <c r="R543" s="221"/>
      <c r="S543" s="221"/>
      <c r="T543" s="221"/>
      <c r="U543" s="221"/>
      <c r="V543" s="221">
        <v>2</v>
      </c>
      <c r="W543" s="220">
        <v>6</v>
      </c>
      <c r="X543" s="220">
        <v>19.5</v>
      </c>
      <c r="Y543" s="220">
        <v>0</v>
      </c>
      <c r="Z543" s="221">
        <v>1</v>
      </c>
      <c r="AA543" s="220" t="s">
        <v>2474</v>
      </c>
    </row>
    <row r="544" spans="1:29" ht="16.5" customHeight="1" x14ac:dyDescent="0.3">
      <c r="A544" s="49"/>
      <c r="B544" s="130" t="str">
        <f ca="1">'Translation Table'!H2264</f>
        <v>Separator: Horizontal (Phases: 2)</v>
      </c>
      <c r="C544" s="54" t="str">
        <f ca="1">'Translation Table'!H2264</f>
        <v>Separator: Horizontal (Phases: 2)</v>
      </c>
      <c r="D544" s="219">
        <v>1</v>
      </c>
      <c r="E544" s="221">
        <v>0</v>
      </c>
      <c r="F544" s="221"/>
      <c r="G544" s="221"/>
      <c r="H544" s="221">
        <v>0</v>
      </c>
      <c r="I544" s="221"/>
      <c r="J544" s="221"/>
      <c r="K544" s="219">
        <f t="shared" si="10"/>
        <v>12</v>
      </c>
      <c r="L544" s="219">
        <v>12</v>
      </c>
      <c r="M544" s="219">
        <v>0</v>
      </c>
      <c r="N544" s="219">
        <v>40</v>
      </c>
      <c r="O544" s="219">
        <v>2</v>
      </c>
      <c r="P544" s="221"/>
      <c r="Q544" s="221"/>
      <c r="R544" s="221"/>
      <c r="S544" s="221"/>
      <c r="T544" s="221"/>
      <c r="U544" s="221"/>
      <c r="V544" s="221">
        <v>2</v>
      </c>
      <c r="W544" s="220">
        <v>17</v>
      </c>
      <c r="X544" s="220">
        <v>58</v>
      </c>
      <c r="Y544" s="220"/>
      <c r="Z544" s="221">
        <v>1</v>
      </c>
      <c r="AA544" s="220" t="s">
        <v>517</v>
      </c>
    </row>
    <row r="545" spans="1:29" ht="16.5" customHeight="1" x14ac:dyDescent="0.3">
      <c r="A545" s="49"/>
      <c r="B545" s="54" t="str">
        <f ca="1">'Translation Table'!H2265</f>
        <v>Separator: Horizontal (Phases: 3)</v>
      </c>
      <c r="C545" s="54" t="str">
        <f ca="1">'Translation Table'!H2265</f>
        <v>Separator: Horizontal (Phases: 3)</v>
      </c>
      <c r="D545" s="219">
        <v>1</v>
      </c>
      <c r="E545" s="221">
        <v>0</v>
      </c>
      <c r="F545" s="221"/>
      <c r="G545" s="221"/>
      <c r="H545" s="221">
        <v>0</v>
      </c>
      <c r="I545" s="221"/>
      <c r="J545" s="221"/>
      <c r="K545" s="219">
        <f t="shared" si="10"/>
        <v>12</v>
      </c>
      <c r="L545" s="219">
        <v>12</v>
      </c>
      <c r="M545" s="219">
        <v>0</v>
      </c>
      <c r="N545" s="219">
        <v>40</v>
      </c>
      <c r="O545" s="219">
        <v>2</v>
      </c>
      <c r="P545" s="221"/>
      <c r="Q545" s="221"/>
      <c r="R545" s="221"/>
      <c r="S545" s="221"/>
      <c r="T545" s="221"/>
      <c r="U545" s="221"/>
      <c r="V545" s="221">
        <v>2</v>
      </c>
      <c r="W545" s="220">
        <v>17</v>
      </c>
      <c r="X545" s="220">
        <v>58</v>
      </c>
      <c r="Y545" s="220"/>
      <c r="Z545" s="221">
        <v>1</v>
      </c>
      <c r="AA545" s="220" t="s">
        <v>2474</v>
      </c>
    </row>
    <row r="546" spans="1:29" ht="16.5" customHeight="1" x14ac:dyDescent="0.3">
      <c r="A546" s="49"/>
      <c r="B546" s="130" t="str">
        <f ca="1">'Translation Table'!H2266</f>
        <v>Separator: Vertical (Phases: 2)</v>
      </c>
      <c r="C546" s="54" t="str">
        <f ca="1">'Translation Table'!H2266</f>
        <v>Separator: Vertical (Phases: 2)</v>
      </c>
      <c r="D546" s="219">
        <v>1</v>
      </c>
      <c r="E546" s="221">
        <v>0</v>
      </c>
      <c r="F546" s="221"/>
      <c r="G546" s="221"/>
      <c r="H546" s="221">
        <v>0</v>
      </c>
      <c r="I546" s="221"/>
      <c r="J546" s="221"/>
      <c r="K546" s="219">
        <f t="shared" si="10"/>
        <v>12</v>
      </c>
      <c r="L546" s="219">
        <v>12</v>
      </c>
      <c r="M546" s="219">
        <v>0</v>
      </c>
      <c r="N546" s="219">
        <v>40</v>
      </c>
      <c r="O546" s="219">
        <v>2</v>
      </c>
      <c r="P546" s="221"/>
      <c r="Q546" s="221"/>
      <c r="R546" s="221"/>
      <c r="S546" s="221"/>
      <c r="T546" s="221"/>
      <c r="U546" s="221"/>
      <c r="V546" s="221">
        <v>2</v>
      </c>
      <c r="W546" s="220">
        <v>17</v>
      </c>
      <c r="X546" s="220">
        <v>58</v>
      </c>
      <c r="Y546" s="220"/>
      <c r="Z546" s="221">
        <v>1</v>
      </c>
      <c r="AA546" s="220" t="s">
        <v>517</v>
      </c>
    </row>
    <row r="547" spans="1:29" ht="16.5" customHeight="1" x14ac:dyDescent="0.3">
      <c r="A547" s="49"/>
      <c r="B547" s="54" t="str">
        <f ca="1">'Translation Table'!H2267</f>
        <v>Separator: Vertical (Phases: 3)</v>
      </c>
      <c r="C547" s="54" t="str">
        <f ca="1">'Translation Table'!H2267</f>
        <v>Separator: Vertical (Phases: 3)</v>
      </c>
      <c r="D547" s="219">
        <v>1</v>
      </c>
      <c r="E547" s="221">
        <v>0</v>
      </c>
      <c r="F547" s="221"/>
      <c r="G547" s="221"/>
      <c r="H547" s="221">
        <v>0</v>
      </c>
      <c r="I547" s="221"/>
      <c r="J547" s="221"/>
      <c r="K547" s="219">
        <f t="shared" si="10"/>
        <v>12</v>
      </c>
      <c r="L547" s="219">
        <v>12</v>
      </c>
      <c r="M547" s="219">
        <v>0</v>
      </c>
      <c r="N547" s="219">
        <v>40</v>
      </c>
      <c r="O547" s="219">
        <v>2</v>
      </c>
      <c r="P547" s="221"/>
      <c r="Q547" s="221"/>
      <c r="R547" s="221"/>
      <c r="S547" s="221"/>
      <c r="T547" s="221"/>
      <c r="U547" s="221"/>
      <c r="V547" s="221">
        <v>2</v>
      </c>
      <c r="W547" s="220">
        <v>17</v>
      </c>
      <c r="X547" s="220">
        <v>58</v>
      </c>
      <c r="Y547" s="220"/>
      <c r="Z547" s="221">
        <v>1</v>
      </c>
      <c r="AA547" s="220" t="s">
        <v>2474</v>
      </c>
      <c r="AC547" s="46">
        <v>0</v>
      </c>
    </row>
    <row r="548" spans="1:29" ht="16.5" customHeight="1" x14ac:dyDescent="0.3">
      <c r="A548" s="49" t="str">
        <f ca="1">'Translation Table'!H1724</f>
        <v>Gas Distribution</v>
      </c>
      <c r="B548" s="130" t="str">
        <f ca="1">'Translation Table'!H2268</f>
        <v>Blowdown System: Generic (Pit or Vent)</v>
      </c>
      <c r="C548" s="54" t="str">
        <f ca="1">'Translation Table'!H2268</f>
        <v>Blowdown System: Generic (Pit or Vent)</v>
      </c>
      <c r="D548" s="219">
        <v>0</v>
      </c>
      <c r="E548" s="221">
        <v>0</v>
      </c>
      <c r="F548" s="221"/>
      <c r="G548" s="221"/>
      <c r="H548" s="221">
        <v>1</v>
      </c>
      <c r="I548" s="221"/>
      <c r="J548" s="221"/>
      <c r="K548" s="219">
        <f t="shared" si="10"/>
        <v>2</v>
      </c>
      <c r="L548" s="219">
        <v>1</v>
      </c>
      <c r="M548" s="219">
        <v>1</v>
      </c>
      <c r="N548" s="219">
        <v>2</v>
      </c>
      <c r="O548" s="219"/>
      <c r="P548" s="221"/>
      <c r="Q548" s="221"/>
      <c r="R548" s="221"/>
      <c r="S548" s="221"/>
      <c r="T548" s="221"/>
      <c r="U548" s="221"/>
      <c r="V548" s="221">
        <v>1</v>
      </c>
      <c r="W548" s="220"/>
      <c r="X548" s="220"/>
      <c r="Y548" s="220"/>
      <c r="Z548" s="221">
        <v>0</v>
      </c>
      <c r="AA548" s="220" t="s">
        <v>2474</v>
      </c>
      <c r="AC548" s="46">
        <v>0</v>
      </c>
    </row>
    <row r="549" spans="1:29" ht="16.5" customHeight="1" x14ac:dyDescent="0.3">
      <c r="A549" s="49"/>
      <c r="B549" s="54" t="str">
        <f ca="1">'Translation Table'!H2269</f>
        <v>Aerial Cooler: Natural Gas Service</v>
      </c>
      <c r="C549" s="54" t="str">
        <f ca="1">'Translation Table'!H2269</f>
        <v>Aerial Cooler: Natural Gas Service</v>
      </c>
      <c r="D549" s="219">
        <v>0</v>
      </c>
      <c r="E549" s="219">
        <v>0</v>
      </c>
      <c r="F549" s="219"/>
      <c r="G549" s="219"/>
      <c r="H549" s="219"/>
      <c r="I549" s="219"/>
      <c r="J549" s="219"/>
      <c r="K549" s="219">
        <f t="shared" si="10"/>
        <v>4</v>
      </c>
      <c r="L549" s="219">
        <v>4</v>
      </c>
      <c r="M549" s="219"/>
      <c r="N549" s="219">
        <v>428</v>
      </c>
      <c r="O549" s="219"/>
      <c r="P549" s="219"/>
      <c r="Q549" s="219"/>
      <c r="R549" s="219"/>
      <c r="S549" s="219"/>
      <c r="T549" s="219"/>
      <c r="U549" s="219"/>
      <c r="V549" s="219">
        <v>1</v>
      </c>
      <c r="W549" s="219"/>
      <c r="X549" s="219"/>
      <c r="Y549" s="219"/>
      <c r="Z549" s="219">
        <v>0</v>
      </c>
      <c r="AA549" s="220" t="s">
        <v>2474</v>
      </c>
    </row>
    <row r="550" spans="1:29" ht="16.5" customHeight="1" x14ac:dyDescent="0.3">
      <c r="A550" s="49"/>
      <c r="B550" s="130" t="str">
        <f ca="1">'Translation Table'!H2270</f>
        <v>Aerial Cooler: Hydrocarbon Liquid Service</v>
      </c>
      <c r="C550" s="54" t="str">
        <f ca="1">'Translation Table'!H2270</f>
        <v>Aerial Cooler: Hydrocarbon Liquid Service</v>
      </c>
      <c r="D550" s="219">
        <v>0</v>
      </c>
      <c r="E550" s="219">
        <v>0</v>
      </c>
      <c r="F550" s="219"/>
      <c r="G550" s="219"/>
      <c r="H550" s="219"/>
      <c r="I550" s="219"/>
      <c r="J550" s="219"/>
      <c r="K550" s="219">
        <f t="shared" si="10"/>
        <v>0</v>
      </c>
      <c r="L550" s="219"/>
      <c r="M550" s="219"/>
      <c r="N550" s="219"/>
      <c r="O550" s="219"/>
      <c r="P550" s="219"/>
      <c r="Q550" s="219"/>
      <c r="R550" s="219"/>
      <c r="S550" s="219"/>
      <c r="T550" s="219"/>
      <c r="U550" s="219"/>
      <c r="V550" s="219">
        <v>1</v>
      </c>
      <c r="W550" s="219">
        <v>4</v>
      </c>
      <c r="X550" s="219">
        <v>428</v>
      </c>
      <c r="Y550" s="219"/>
      <c r="Z550" s="219">
        <v>0</v>
      </c>
      <c r="AA550" s="220" t="s">
        <v>2474</v>
      </c>
    </row>
    <row r="551" spans="1:29" ht="16.5" customHeight="1" x14ac:dyDescent="0.3">
      <c r="A551" s="49"/>
      <c r="B551" s="54" t="str">
        <f ca="1">'Translation Table'!H2271</f>
        <v>Compressor: Centrifugal: (Stages: 1) (Seals: Wet) (Driver: Electric Motor)</v>
      </c>
      <c r="C551" s="54" t="str">
        <f ca="1">'Translation Table'!H2271</f>
        <v>Compressor: Centrifugal: (Stages: 1) (Seals: Wet) (Driver: Electric Motor)</v>
      </c>
      <c r="D551" s="219">
        <v>1</v>
      </c>
      <c r="E551" s="221">
        <v>3</v>
      </c>
      <c r="F551" s="221"/>
      <c r="G551" s="221"/>
      <c r="H551" s="221">
        <v>1</v>
      </c>
      <c r="I551" s="221"/>
      <c r="J551" s="221"/>
      <c r="K551" s="219">
        <f t="shared" si="10"/>
        <v>48.75</v>
      </c>
      <c r="L551" s="219">
        <v>42.5</v>
      </c>
      <c r="M551" s="219">
        <v>6.25</v>
      </c>
      <c r="N551" s="219">
        <v>1415.25</v>
      </c>
      <c r="O551" s="219">
        <v>1</v>
      </c>
      <c r="P551" s="221"/>
      <c r="Q551" s="221">
        <v>2</v>
      </c>
      <c r="R551" s="221"/>
      <c r="S551" s="221"/>
      <c r="T551" s="221">
        <v>1</v>
      </c>
      <c r="U551" s="221"/>
      <c r="V551" s="221">
        <v>1</v>
      </c>
      <c r="W551" s="220">
        <v>3</v>
      </c>
      <c r="X551" s="220">
        <v>8</v>
      </c>
      <c r="Y551" s="220"/>
      <c r="Z551" s="221">
        <v>1</v>
      </c>
      <c r="AA551" s="220" t="s">
        <v>2474</v>
      </c>
      <c r="AC551" s="46">
        <v>0</v>
      </c>
    </row>
    <row r="552" spans="1:29" ht="16.5" customHeight="1" x14ac:dyDescent="0.3">
      <c r="A552" s="49"/>
      <c r="B552" s="130" t="str">
        <f ca="1">'Translation Table'!H2272</f>
        <v>Compressor: Centrifugal: (Stages: 1) (Seals: Wet) (Driver: Gas Turbine)</v>
      </c>
      <c r="C552" s="54" t="str">
        <f ca="1">'Translation Table'!H2272</f>
        <v>Compressor: Centrifugal: (Stages: 1) (Seals: Wet) (Driver: Gas Turbine)</v>
      </c>
      <c r="D552" s="219">
        <v>2.29</v>
      </c>
      <c r="E552" s="221">
        <v>3.43</v>
      </c>
      <c r="F552" s="221"/>
      <c r="G552" s="221"/>
      <c r="H552" s="221">
        <v>1</v>
      </c>
      <c r="I552" s="221"/>
      <c r="J552" s="221"/>
      <c r="K552" s="219">
        <f t="shared" si="10"/>
        <v>68.61</v>
      </c>
      <c r="L552" s="219">
        <v>62.36</v>
      </c>
      <c r="M552" s="219">
        <v>6.25</v>
      </c>
      <c r="N552" s="219">
        <v>1510.96</v>
      </c>
      <c r="O552" s="219">
        <v>5</v>
      </c>
      <c r="P552" s="221"/>
      <c r="Q552" s="221">
        <v>2</v>
      </c>
      <c r="R552" s="221"/>
      <c r="S552" s="221"/>
      <c r="T552" s="221">
        <v>1</v>
      </c>
      <c r="U552" s="221"/>
      <c r="V552" s="221">
        <v>5</v>
      </c>
      <c r="W552" s="220">
        <v>5</v>
      </c>
      <c r="X552" s="220">
        <v>11</v>
      </c>
      <c r="Y552" s="220"/>
      <c r="Z552" s="221">
        <v>2</v>
      </c>
      <c r="AA552" s="220" t="s">
        <v>2474</v>
      </c>
      <c r="AC552" s="46">
        <v>0</v>
      </c>
    </row>
    <row r="553" spans="1:29" ht="16.5" customHeight="1" x14ac:dyDescent="0.3">
      <c r="A553" s="49"/>
      <c r="B553" s="54" t="str">
        <f ca="1">'Translation Table'!H2273</f>
        <v>Compressor: Centrifugal: (Stages: 2) (Seals: Wet) (Driver: Electric Motor)</v>
      </c>
      <c r="C553" s="54" t="str">
        <f ca="1">'Translation Table'!H2273</f>
        <v>Compressor: Centrifugal: (Stages: 2) (Seals: Wet) (Driver: Electric Motor)</v>
      </c>
      <c r="D553" s="219">
        <v>2</v>
      </c>
      <c r="E553" s="221">
        <v>4.5</v>
      </c>
      <c r="F553" s="221"/>
      <c r="G553" s="221"/>
      <c r="H553" s="221">
        <v>1</v>
      </c>
      <c r="I553" s="221"/>
      <c r="J553" s="221"/>
      <c r="K553" s="219">
        <f t="shared" si="10"/>
        <v>76.5</v>
      </c>
      <c r="L553" s="219">
        <v>69.25</v>
      </c>
      <c r="M553" s="219">
        <v>7.25</v>
      </c>
      <c r="N553" s="219">
        <v>2736.75</v>
      </c>
      <c r="O553" s="219">
        <v>1</v>
      </c>
      <c r="P553" s="221"/>
      <c r="Q553" s="221">
        <v>4</v>
      </c>
      <c r="R553" s="221"/>
      <c r="S553" s="221"/>
      <c r="T553" s="221">
        <v>1</v>
      </c>
      <c r="U553" s="221"/>
      <c r="V553" s="221">
        <v>5</v>
      </c>
      <c r="W553" s="220">
        <v>6</v>
      </c>
      <c r="X553" s="220">
        <v>16</v>
      </c>
      <c r="Y553" s="220"/>
      <c r="Z553" s="221">
        <v>2</v>
      </c>
      <c r="AA553" s="220" t="s">
        <v>2474</v>
      </c>
      <c r="AC553" s="46">
        <v>0</v>
      </c>
    </row>
    <row r="554" spans="1:29" ht="16.5" customHeight="1" x14ac:dyDescent="0.3">
      <c r="A554" s="49"/>
      <c r="B554" s="130" t="str">
        <f ca="1">'Translation Table'!H2274</f>
        <v>Compressor: Centrifugal: (Stages: 2) (Seals: Wet) (Driver: Gas Turbine)</v>
      </c>
      <c r="C554" s="54" t="str">
        <f ca="1">'Translation Table'!H2274</f>
        <v>Compressor: Centrifugal: (Stages: 2) (Seals: Wet) (Driver: Gas Turbine)</v>
      </c>
      <c r="D554" s="219">
        <v>5</v>
      </c>
      <c r="E554" s="221">
        <v>4.93</v>
      </c>
      <c r="F554" s="221"/>
      <c r="G554" s="221"/>
      <c r="H554" s="221">
        <v>1</v>
      </c>
      <c r="I554" s="221"/>
      <c r="J554" s="221"/>
      <c r="K554" s="219">
        <f t="shared" si="10"/>
        <v>96.46</v>
      </c>
      <c r="L554" s="219">
        <v>89.11</v>
      </c>
      <c r="M554" s="219">
        <v>7.35</v>
      </c>
      <c r="N554" s="219">
        <v>2832.46</v>
      </c>
      <c r="O554" s="219">
        <v>5</v>
      </c>
      <c r="P554" s="221"/>
      <c r="Q554" s="221">
        <v>4</v>
      </c>
      <c r="R554" s="221"/>
      <c r="S554" s="221"/>
      <c r="T554" s="221">
        <v>1</v>
      </c>
      <c r="U554" s="221"/>
      <c r="V554" s="221">
        <v>5</v>
      </c>
      <c r="W554" s="220">
        <v>6</v>
      </c>
      <c r="X554" s="220">
        <v>16</v>
      </c>
      <c r="Y554" s="220"/>
      <c r="Z554" s="221">
        <v>3</v>
      </c>
      <c r="AA554" s="220" t="s">
        <v>2474</v>
      </c>
      <c r="AC554" s="46">
        <v>0</v>
      </c>
    </row>
    <row r="555" spans="1:29" ht="16.5" customHeight="1" x14ac:dyDescent="0.3">
      <c r="A555" s="49"/>
      <c r="B555" s="54" t="str">
        <f ca="1">'Translation Table'!H2275</f>
        <v>Compressor: Centrifugal: (Stages: 1) (Seals: Dry) (Driver: Electric Motor)</v>
      </c>
      <c r="C555" s="54" t="str">
        <f ca="1">'Translation Table'!H2275</f>
        <v>Compressor: Centrifugal: (Stages: 1) (Seals: Dry) (Driver: Electric Motor)</v>
      </c>
      <c r="D555" s="219">
        <v>1</v>
      </c>
      <c r="E555" s="221">
        <v>3</v>
      </c>
      <c r="F555" s="221"/>
      <c r="G555" s="221"/>
      <c r="H555" s="221">
        <v>1</v>
      </c>
      <c r="I555" s="221"/>
      <c r="J555" s="221"/>
      <c r="K555" s="219">
        <f t="shared" si="10"/>
        <v>48.75</v>
      </c>
      <c r="L555" s="219">
        <v>42.5</v>
      </c>
      <c r="M555" s="219">
        <v>6.25</v>
      </c>
      <c r="N555" s="219">
        <v>1415.25</v>
      </c>
      <c r="O555" s="219">
        <v>1</v>
      </c>
      <c r="P555" s="221"/>
      <c r="Q555" s="221"/>
      <c r="R555" s="221">
        <v>2</v>
      </c>
      <c r="S555" s="221"/>
      <c r="T555" s="221">
        <v>1</v>
      </c>
      <c r="U555" s="221"/>
      <c r="V555" s="221">
        <v>1</v>
      </c>
      <c r="W555" s="220">
        <v>3</v>
      </c>
      <c r="X555" s="220">
        <v>8</v>
      </c>
      <c r="Y555" s="220"/>
      <c r="Z555" s="221">
        <v>1</v>
      </c>
      <c r="AA555" s="220" t="s">
        <v>2474</v>
      </c>
      <c r="AC555" s="46">
        <v>0</v>
      </c>
    </row>
    <row r="556" spans="1:29" ht="16.5" customHeight="1" x14ac:dyDescent="0.3">
      <c r="A556" s="49"/>
      <c r="B556" s="130" t="str">
        <f ca="1">'Translation Table'!H2276</f>
        <v>Compressor: Centrifugal: (Stages: 1) (Seals: Dry) (Driver: Gas Turbine)</v>
      </c>
      <c r="C556" s="54" t="str">
        <f ca="1">'Translation Table'!H2276</f>
        <v>Compressor: Centrifugal: (Stages: 1) (Seals: Dry) (Driver: Gas Turbine)</v>
      </c>
      <c r="D556" s="219">
        <v>2.29</v>
      </c>
      <c r="E556" s="221">
        <v>3.43</v>
      </c>
      <c r="F556" s="221"/>
      <c r="G556" s="221"/>
      <c r="H556" s="221">
        <v>1</v>
      </c>
      <c r="I556" s="221"/>
      <c r="J556" s="221"/>
      <c r="K556" s="219">
        <f t="shared" si="10"/>
        <v>68.61</v>
      </c>
      <c r="L556" s="219">
        <v>62.36</v>
      </c>
      <c r="M556" s="219">
        <v>6.25</v>
      </c>
      <c r="N556" s="219">
        <v>1510.96</v>
      </c>
      <c r="O556" s="219">
        <v>5</v>
      </c>
      <c r="P556" s="221"/>
      <c r="Q556" s="221"/>
      <c r="R556" s="221">
        <v>2</v>
      </c>
      <c r="S556" s="221"/>
      <c r="T556" s="221">
        <v>1</v>
      </c>
      <c r="U556" s="221"/>
      <c r="V556" s="221">
        <v>5</v>
      </c>
      <c r="W556" s="220">
        <v>5</v>
      </c>
      <c r="X556" s="220">
        <v>11</v>
      </c>
      <c r="Y556" s="220"/>
      <c r="Z556" s="221">
        <v>2</v>
      </c>
      <c r="AA556" s="220" t="s">
        <v>2474</v>
      </c>
      <c r="AC556" s="46">
        <v>0</v>
      </c>
    </row>
    <row r="557" spans="1:29" ht="16.5" customHeight="1" x14ac:dyDescent="0.3">
      <c r="A557" s="49"/>
      <c r="B557" s="54" t="str">
        <f ca="1">'Translation Table'!H2277</f>
        <v>Compressor: Centrifugal: (Stages: 2) (Seals: Dry) (Driver: Electric Motor)</v>
      </c>
      <c r="C557" s="54" t="str">
        <f ca="1">'Translation Table'!H2277</f>
        <v>Compressor: Centrifugal: (Stages: 2) (Seals: Dry) (Driver: Electric Motor)</v>
      </c>
      <c r="D557" s="219">
        <v>2</v>
      </c>
      <c r="E557" s="221">
        <v>4.5</v>
      </c>
      <c r="F557" s="221"/>
      <c r="G557" s="221"/>
      <c r="H557" s="221">
        <v>1</v>
      </c>
      <c r="I557" s="221"/>
      <c r="J557" s="221"/>
      <c r="K557" s="219">
        <f t="shared" si="10"/>
        <v>76.5</v>
      </c>
      <c r="L557" s="219">
        <v>69.25</v>
      </c>
      <c r="M557" s="219">
        <v>7.25</v>
      </c>
      <c r="N557" s="219">
        <v>2736.75</v>
      </c>
      <c r="O557" s="219">
        <v>1</v>
      </c>
      <c r="P557" s="221"/>
      <c r="Q557" s="221"/>
      <c r="R557" s="221">
        <v>4</v>
      </c>
      <c r="S557" s="221"/>
      <c r="T557" s="221">
        <v>1</v>
      </c>
      <c r="U557" s="221"/>
      <c r="V557" s="221">
        <v>5</v>
      </c>
      <c r="W557" s="220">
        <v>6</v>
      </c>
      <c r="X557" s="220">
        <v>16</v>
      </c>
      <c r="Y557" s="220"/>
      <c r="Z557" s="221">
        <v>2</v>
      </c>
      <c r="AA557" s="220" t="s">
        <v>2474</v>
      </c>
      <c r="AC557" s="46">
        <v>0</v>
      </c>
    </row>
    <row r="558" spans="1:29" ht="16.5" customHeight="1" x14ac:dyDescent="0.3">
      <c r="A558" s="49"/>
      <c r="B558" s="130" t="str">
        <f ca="1">'Translation Table'!H2278</f>
        <v>Compressor: Centrifugal: (Stages: 2) (Seals: Dry) (Driver: Gas Turbine)</v>
      </c>
      <c r="C558" s="54" t="str">
        <f ca="1">'Translation Table'!H2278</f>
        <v>Compressor: Centrifugal: (Stages: 2) (Seals: Dry) (Driver: Gas Turbine)</v>
      </c>
      <c r="D558" s="219">
        <v>5</v>
      </c>
      <c r="E558" s="221">
        <v>4.93</v>
      </c>
      <c r="F558" s="221"/>
      <c r="G558" s="221"/>
      <c r="H558" s="221">
        <v>1</v>
      </c>
      <c r="I558" s="221"/>
      <c r="J558" s="221"/>
      <c r="K558" s="219">
        <f t="shared" si="10"/>
        <v>96.46</v>
      </c>
      <c r="L558" s="219">
        <v>89.11</v>
      </c>
      <c r="M558" s="219">
        <v>7.35</v>
      </c>
      <c r="N558" s="219">
        <v>2832.46</v>
      </c>
      <c r="O558" s="219">
        <v>5</v>
      </c>
      <c r="P558" s="221"/>
      <c r="Q558" s="221"/>
      <c r="R558" s="221">
        <v>4</v>
      </c>
      <c r="S558" s="221"/>
      <c r="T558" s="221">
        <v>1</v>
      </c>
      <c r="U558" s="221"/>
      <c r="V558" s="221">
        <v>5</v>
      </c>
      <c r="W558" s="220">
        <v>6</v>
      </c>
      <c r="X558" s="220">
        <v>16</v>
      </c>
      <c r="Y558" s="220"/>
      <c r="Z558" s="221">
        <v>3</v>
      </c>
      <c r="AA558" s="220" t="s">
        <v>2474</v>
      </c>
      <c r="AC558" s="46">
        <v>0</v>
      </c>
    </row>
    <row r="559" spans="1:29" ht="16.5" customHeight="1" x14ac:dyDescent="0.3">
      <c r="A559" s="49"/>
      <c r="B559" s="54" t="str">
        <f ca="1">'Translation Table'!H2279</f>
        <v>Compressor: Reciprocating: (Stages: 1) (Driver: Electric Motor)</v>
      </c>
      <c r="C559" s="54" t="str">
        <f ca="1">'Translation Table'!H2279</f>
        <v>Compressor: Reciprocating: (Stages: 1) (Driver: Electric Motor)</v>
      </c>
      <c r="D559" s="219">
        <v>3</v>
      </c>
      <c r="E559" s="221">
        <v>3</v>
      </c>
      <c r="F559" s="221"/>
      <c r="G559" s="221"/>
      <c r="H559" s="221">
        <v>0</v>
      </c>
      <c r="I559" s="221"/>
      <c r="J559" s="221"/>
      <c r="K559" s="219">
        <f t="shared" si="10"/>
        <v>38.17</v>
      </c>
      <c r="L559" s="219">
        <v>33.5</v>
      </c>
      <c r="M559" s="219">
        <v>4.67</v>
      </c>
      <c r="N559" s="219">
        <v>489.83</v>
      </c>
      <c r="O559" s="219">
        <v>1.33</v>
      </c>
      <c r="P559" s="221">
        <v>4</v>
      </c>
      <c r="Q559" s="221"/>
      <c r="R559" s="221"/>
      <c r="S559" s="221">
        <v>1</v>
      </c>
      <c r="T559" s="221">
        <v>1</v>
      </c>
      <c r="U559" s="221">
        <v>0</v>
      </c>
      <c r="V559" s="221">
        <v>3</v>
      </c>
      <c r="W559" s="220">
        <v>4</v>
      </c>
      <c r="X559" s="220">
        <v>20</v>
      </c>
      <c r="Y559" s="220"/>
      <c r="Z559" s="221">
        <v>1</v>
      </c>
      <c r="AA559" s="220" t="s">
        <v>2474</v>
      </c>
      <c r="AC559" s="46">
        <v>0</v>
      </c>
    </row>
    <row r="560" spans="1:29" ht="16.5" customHeight="1" x14ac:dyDescent="0.3">
      <c r="A560" s="49"/>
      <c r="B560" s="130" t="str">
        <f ca="1">'Translation Table'!H2280</f>
        <v>Compressor: Reciprocating: (Stages: 1) (Driver: Recip Engine)</v>
      </c>
      <c r="C560" s="54" t="str">
        <f ca="1">'Translation Table'!H2280</f>
        <v>Compressor: Reciprocating: (Stages: 1) (Driver: Recip Engine)</v>
      </c>
      <c r="D560" s="219">
        <v>3.79</v>
      </c>
      <c r="E560" s="221">
        <v>3.43</v>
      </c>
      <c r="F560" s="221"/>
      <c r="G560" s="221"/>
      <c r="H560" s="221">
        <v>0</v>
      </c>
      <c r="I560" s="221"/>
      <c r="J560" s="221"/>
      <c r="K560" s="219">
        <f t="shared" si="10"/>
        <v>50.53</v>
      </c>
      <c r="L560" s="219">
        <v>44.86</v>
      </c>
      <c r="M560" s="219">
        <v>5.67</v>
      </c>
      <c r="N560" s="219">
        <v>592.29999999999995</v>
      </c>
      <c r="O560" s="219">
        <v>2.33</v>
      </c>
      <c r="P560" s="221">
        <v>4</v>
      </c>
      <c r="Q560" s="221"/>
      <c r="R560" s="221"/>
      <c r="S560" s="221">
        <v>1</v>
      </c>
      <c r="T560" s="221">
        <v>1</v>
      </c>
      <c r="U560" s="221">
        <v>0</v>
      </c>
      <c r="V560" s="221">
        <v>3</v>
      </c>
      <c r="W560" s="220">
        <v>4</v>
      </c>
      <c r="X560" s="220">
        <v>20</v>
      </c>
      <c r="Y560" s="220"/>
      <c r="Z560" s="221">
        <v>1</v>
      </c>
      <c r="AA560" s="220" t="s">
        <v>2474</v>
      </c>
      <c r="AC560" s="46">
        <v>0</v>
      </c>
    </row>
    <row r="561" spans="1:29" ht="16.5" customHeight="1" x14ac:dyDescent="0.3">
      <c r="A561" s="49"/>
      <c r="B561" s="54" t="str">
        <f ca="1">'Translation Table'!H2281</f>
        <v>Compressor: Reciprocating: (Stages: 2) (Driver: Electric Motor)</v>
      </c>
      <c r="C561" s="54" t="str">
        <f ca="1">'Translation Table'!H2281</f>
        <v>Compressor: Reciprocating: (Stages: 2) (Driver: Electric Motor)</v>
      </c>
      <c r="D561" s="219">
        <v>3</v>
      </c>
      <c r="E561" s="221">
        <v>3.33</v>
      </c>
      <c r="F561" s="221"/>
      <c r="G561" s="221"/>
      <c r="H561" s="221">
        <v>0</v>
      </c>
      <c r="I561" s="221"/>
      <c r="J561" s="221"/>
      <c r="K561" s="219">
        <f t="shared" si="10"/>
        <v>43.83</v>
      </c>
      <c r="L561" s="219">
        <v>38.83</v>
      </c>
      <c r="M561" s="219">
        <v>5</v>
      </c>
      <c r="N561" s="219">
        <v>786.17</v>
      </c>
      <c r="O561" s="219">
        <v>1.67</v>
      </c>
      <c r="P561" s="221">
        <v>4</v>
      </c>
      <c r="Q561" s="221"/>
      <c r="R561" s="221"/>
      <c r="S561" s="221">
        <v>1</v>
      </c>
      <c r="T561" s="221">
        <v>1</v>
      </c>
      <c r="U561" s="221">
        <v>0</v>
      </c>
      <c r="V561" s="221">
        <v>4</v>
      </c>
      <c r="W561" s="220">
        <v>8</v>
      </c>
      <c r="X561" s="220">
        <v>40</v>
      </c>
      <c r="Y561" s="220"/>
      <c r="Z561" s="221">
        <v>2</v>
      </c>
      <c r="AA561" s="220" t="s">
        <v>2474</v>
      </c>
      <c r="AC561" s="46">
        <v>0</v>
      </c>
    </row>
    <row r="562" spans="1:29" ht="16.5" customHeight="1" x14ac:dyDescent="0.3">
      <c r="A562" s="49"/>
      <c r="B562" s="130" t="str">
        <f ca="1">'Translation Table'!H2282</f>
        <v>Compressor: Reciprocating: (Stages: 2) (Driver: Recip Engine)</v>
      </c>
      <c r="C562" s="54" t="str">
        <f ca="1">'Translation Table'!H2282</f>
        <v>Compressor: Reciprocating: (Stages: 2) (Driver: Recip Engine)</v>
      </c>
      <c r="D562" s="219">
        <v>3.79</v>
      </c>
      <c r="E562" s="221">
        <v>3.76</v>
      </c>
      <c r="F562" s="221"/>
      <c r="G562" s="221"/>
      <c r="H562" s="221">
        <v>0</v>
      </c>
      <c r="I562" s="221"/>
      <c r="J562" s="221"/>
      <c r="K562" s="219">
        <f t="shared" si="10"/>
        <v>56.19</v>
      </c>
      <c r="L562" s="219">
        <v>50.19</v>
      </c>
      <c r="M562" s="219">
        <v>6</v>
      </c>
      <c r="N562" s="219">
        <v>888.63</v>
      </c>
      <c r="O562" s="219">
        <v>2.67</v>
      </c>
      <c r="P562" s="221">
        <v>4</v>
      </c>
      <c r="Q562" s="221"/>
      <c r="R562" s="221"/>
      <c r="S562" s="221">
        <v>1</v>
      </c>
      <c r="T562" s="221">
        <v>1</v>
      </c>
      <c r="U562" s="221">
        <v>0</v>
      </c>
      <c r="V562" s="221">
        <v>4</v>
      </c>
      <c r="W562" s="220">
        <v>8</v>
      </c>
      <c r="X562" s="220">
        <v>40</v>
      </c>
      <c r="Y562" s="220"/>
      <c r="Z562" s="221">
        <v>2</v>
      </c>
      <c r="AA562" s="220" t="s">
        <v>2474</v>
      </c>
      <c r="AC562" s="46">
        <v>0</v>
      </c>
    </row>
    <row r="563" spans="1:29" ht="16.5" customHeight="1" x14ac:dyDescent="0.3">
      <c r="A563" s="49"/>
      <c r="B563" s="54" t="str">
        <f ca="1">'Translation Table'!H2283</f>
        <v>Compressor: Reciprocating: (Stages: 3) (Driver: Electric Motor)</v>
      </c>
      <c r="C563" s="54" t="str">
        <f ca="1">'Translation Table'!H2283</f>
        <v>Compressor: Reciprocating: (Stages: 3) (Driver: Electric Motor)</v>
      </c>
      <c r="D563" s="219">
        <v>4</v>
      </c>
      <c r="E563" s="221">
        <v>4.33</v>
      </c>
      <c r="F563" s="221"/>
      <c r="G563" s="221"/>
      <c r="H563" s="221">
        <v>0</v>
      </c>
      <c r="I563" s="221"/>
      <c r="J563" s="221"/>
      <c r="K563" s="219">
        <f t="shared" si="10"/>
        <v>56.83</v>
      </c>
      <c r="L563" s="219">
        <v>51.5</v>
      </c>
      <c r="M563" s="219">
        <v>5.33</v>
      </c>
      <c r="N563" s="219">
        <v>1138.5</v>
      </c>
      <c r="O563" s="219">
        <v>2</v>
      </c>
      <c r="P563" s="221">
        <v>6</v>
      </c>
      <c r="Q563" s="221"/>
      <c r="R563" s="221"/>
      <c r="S563" s="221">
        <v>1</v>
      </c>
      <c r="T563" s="221">
        <v>1</v>
      </c>
      <c r="U563" s="221">
        <v>0</v>
      </c>
      <c r="V563" s="221">
        <v>5</v>
      </c>
      <c r="W563" s="220">
        <v>12</v>
      </c>
      <c r="X563" s="220">
        <v>60</v>
      </c>
      <c r="Y563" s="220"/>
      <c r="Z563" s="221">
        <v>3</v>
      </c>
      <c r="AA563" s="220" t="s">
        <v>2474</v>
      </c>
      <c r="AC563" s="46">
        <v>0</v>
      </c>
    </row>
    <row r="564" spans="1:29" ht="16.5" customHeight="1" x14ac:dyDescent="0.3">
      <c r="A564" s="49"/>
      <c r="B564" s="130" t="str">
        <f ca="1">'Translation Table'!H2284</f>
        <v>Compressor: Reciprocating: (Stages: 3) (Driver: Recip Engine)</v>
      </c>
      <c r="C564" s="54" t="str">
        <f ca="1">'Translation Table'!H2284</f>
        <v>Compressor: Reciprocating: (Stages: 3) (Driver: Recip Engine)</v>
      </c>
      <c r="D564" s="219">
        <v>4.29</v>
      </c>
      <c r="E564" s="221">
        <v>4.76</v>
      </c>
      <c r="F564" s="221"/>
      <c r="G564" s="221"/>
      <c r="H564" s="221">
        <v>0</v>
      </c>
      <c r="I564" s="221"/>
      <c r="J564" s="221"/>
      <c r="K564" s="219">
        <f t="shared" si="10"/>
        <v>69.19</v>
      </c>
      <c r="L564" s="219">
        <v>62.86</v>
      </c>
      <c r="M564" s="219">
        <v>6.33</v>
      </c>
      <c r="N564" s="219">
        <v>1240.96</v>
      </c>
      <c r="O564" s="219">
        <v>3</v>
      </c>
      <c r="P564" s="221">
        <v>6</v>
      </c>
      <c r="Q564" s="221"/>
      <c r="R564" s="221"/>
      <c r="S564" s="221">
        <v>1</v>
      </c>
      <c r="T564" s="221">
        <v>1</v>
      </c>
      <c r="U564" s="221">
        <v>0</v>
      </c>
      <c r="V564" s="221">
        <v>5</v>
      </c>
      <c r="W564" s="220">
        <v>12</v>
      </c>
      <c r="X564" s="220">
        <v>60</v>
      </c>
      <c r="Y564" s="220"/>
      <c r="Z564" s="221">
        <v>3</v>
      </c>
      <c r="AA564" s="220" t="s">
        <v>2474</v>
      </c>
      <c r="AC564" s="46">
        <v>0</v>
      </c>
    </row>
    <row r="565" spans="1:29" ht="16.5" customHeight="1" x14ac:dyDescent="0.3">
      <c r="A565" s="49"/>
      <c r="B565" s="54" t="str">
        <f ca="1">'Translation Table'!H2285</f>
        <v>Compressor: Reciprocating: (Stages 4) (Driver: Electric Motor)</v>
      </c>
      <c r="C565" s="54" t="str">
        <f ca="1">'Translation Table'!H2285</f>
        <v>Compressor: Reciprocating: (Stages 4) (Driver: Electric Motor)</v>
      </c>
      <c r="D565" s="219">
        <v>7</v>
      </c>
      <c r="E565" s="221">
        <v>5.33</v>
      </c>
      <c r="F565" s="221"/>
      <c r="G565" s="221"/>
      <c r="H565" s="221">
        <v>0</v>
      </c>
      <c r="I565" s="221"/>
      <c r="J565" s="221"/>
      <c r="K565" s="219">
        <f t="shared" si="10"/>
        <v>69.84</v>
      </c>
      <c r="L565" s="219">
        <v>64.17</v>
      </c>
      <c r="M565" s="219">
        <v>5.67</v>
      </c>
      <c r="N565" s="219">
        <v>1490.83</v>
      </c>
      <c r="O565" s="219">
        <v>2.33</v>
      </c>
      <c r="P565" s="221">
        <v>8</v>
      </c>
      <c r="Q565" s="221"/>
      <c r="R565" s="221"/>
      <c r="S565" s="221">
        <v>1</v>
      </c>
      <c r="T565" s="221">
        <v>1</v>
      </c>
      <c r="U565" s="221">
        <v>0</v>
      </c>
      <c r="V565" s="221">
        <v>6</v>
      </c>
      <c r="W565" s="220">
        <v>16</v>
      </c>
      <c r="X565" s="220">
        <v>80</v>
      </c>
      <c r="Y565" s="220"/>
      <c r="Z565" s="221">
        <v>4</v>
      </c>
      <c r="AA565" s="220" t="s">
        <v>2474</v>
      </c>
    </row>
    <row r="566" spans="1:29" ht="16.5" customHeight="1" x14ac:dyDescent="0.3">
      <c r="A566" s="49"/>
      <c r="B566" s="130" t="str">
        <f ca="1">'Translation Table'!H2286</f>
        <v>Compressor: Reciprocating: (Stages 4) (Driver: Recip Engine)</v>
      </c>
      <c r="C566" s="54" t="str">
        <f ca="1">'Translation Table'!H2286</f>
        <v>Compressor: Reciprocating: (Stages 4) (Driver: Recip Engine)</v>
      </c>
      <c r="D566" s="219">
        <v>7.79</v>
      </c>
      <c r="E566" s="221">
        <v>5.76</v>
      </c>
      <c r="F566" s="221"/>
      <c r="G566" s="221"/>
      <c r="H566" s="221">
        <v>0</v>
      </c>
      <c r="I566" s="221"/>
      <c r="J566" s="221"/>
      <c r="K566" s="219">
        <f t="shared" si="10"/>
        <v>82.19</v>
      </c>
      <c r="L566" s="219">
        <v>75.52</v>
      </c>
      <c r="M566" s="219">
        <v>6.67</v>
      </c>
      <c r="N566" s="219">
        <v>1593.3</v>
      </c>
      <c r="O566" s="219">
        <v>3.33</v>
      </c>
      <c r="P566" s="221">
        <v>8</v>
      </c>
      <c r="Q566" s="221"/>
      <c r="R566" s="221"/>
      <c r="S566" s="221">
        <v>1</v>
      </c>
      <c r="T566" s="221">
        <v>1</v>
      </c>
      <c r="U566" s="221">
        <v>0</v>
      </c>
      <c r="V566" s="221">
        <v>6</v>
      </c>
      <c r="W566" s="220">
        <v>16</v>
      </c>
      <c r="X566" s="220">
        <v>80</v>
      </c>
      <c r="Y566" s="220"/>
      <c r="Z566" s="221">
        <v>4</v>
      </c>
      <c r="AA566" s="220" t="s">
        <v>2474</v>
      </c>
    </row>
    <row r="567" spans="1:29" ht="16.5" customHeight="1" x14ac:dyDescent="0.3">
      <c r="A567" s="49"/>
      <c r="B567" s="54" t="str">
        <f ca="1">'Translation Table'!H2287</f>
        <v>District Regulating Station</v>
      </c>
      <c r="C567" s="54" t="str">
        <f ca="1">'Translation Table'!H2287</f>
        <v>District Regulating Station</v>
      </c>
      <c r="D567" s="219">
        <v>0</v>
      </c>
      <c r="E567" s="221">
        <v>0</v>
      </c>
      <c r="F567" s="221"/>
      <c r="G567" s="221"/>
      <c r="H567" s="221">
        <v>1</v>
      </c>
      <c r="I567" s="221"/>
      <c r="J567" s="221"/>
      <c r="K567" s="219">
        <f t="shared" si="10"/>
        <v>41</v>
      </c>
      <c r="L567" s="219">
        <v>41</v>
      </c>
      <c r="M567" s="219"/>
      <c r="N567" s="219">
        <v>181</v>
      </c>
      <c r="O567" s="219">
        <v>8</v>
      </c>
      <c r="P567" s="221"/>
      <c r="Q567" s="221"/>
      <c r="R567" s="221"/>
      <c r="S567" s="221"/>
      <c r="T567" s="221"/>
      <c r="U567" s="221"/>
      <c r="V567" s="221">
        <v>1</v>
      </c>
      <c r="W567" s="220"/>
      <c r="X567" s="220"/>
      <c r="Y567" s="220"/>
      <c r="Z567" s="221">
        <v>0</v>
      </c>
      <c r="AA567" s="220" t="s">
        <v>217</v>
      </c>
    </row>
    <row r="568" spans="1:29" ht="16.5" customHeight="1" x14ac:dyDescent="0.3">
      <c r="A568" s="49"/>
      <c r="B568" s="130" t="str">
        <f ca="1">'Translation Table'!H2288</f>
        <v>Drain Tank</v>
      </c>
      <c r="C568" s="54" t="str">
        <f ca="1">'Translation Table'!H2288</f>
        <v>Drain Tank</v>
      </c>
      <c r="D568" s="219">
        <v>0</v>
      </c>
      <c r="E568" s="221">
        <v>1</v>
      </c>
      <c r="F568" s="221"/>
      <c r="G568" s="221"/>
      <c r="H568" s="221">
        <v>0</v>
      </c>
      <c r="I568" s="221"/>
      <c r="J568" s="221"/>
      <c r="K568" s="219">
        <f t="shared" si="10"/>
        <v>1</v>
      </c>
      <c r="L568" s="219">
        <v>1</v>
      </c>
      <c r="M568" s="219"/>
      <c r="N568" s="219">
        <v>2</v>
      </c>
      <c r="O568" s="219">
        <v>0</v>
      </c>
      <c r="P568" s="221"/>
      <c r="Q568" s="221"/>
      <c r="R568" s="221"/>
      <c r="S568" s="221"/>
      <c r="T568" s="221"/>
      <c r="U568" s="221"/>
      <c r="V568" s="221">
        <v>0</v>
      </c>
      <c r="W568" s="220"/>
      <c r="X568" s="220"/>
      <c r="Y568" s="220"/>
      <c r="Z568" s="221">
        <v>0</v>
      </c>
      <c r="AA568" s="220" t="s">
        <v>2474</v>
      </c>
    </row>
    <row r="569" spans="1:29" ht="16.5" customHeight="1" x14ac:dyDescent="0.3">
      <c r="A569" s="49"/>
      <c r="B569" s="54" t="str">
        <f ca="1">'Translation Table'!H2289</f>
        <v>Flare System: Generic (Including Knock-out Drum)</v>
      </c>
      <c r="C569" s="54" t="str">
        <f ca="1">'Translation Table'!H2289</f>
        <v>Flare System: Generic (Including Knock-out Drum)</v>
      </c>
      <c r="D569" s="219">
        <v>0</v>
      </c>
      <c r="E569" s="221">
        <v>5</v>
      </c>
      <c r="F569" s="221"/>
      <c r="G569" s="221"/>
      <c r="H569" s="221"/>
      <c r="I569" s="221"/>
      <c r="J569" s="221"/>
      <c r="K569" s="219">
        <f t="shared" si="10"/>
        <v>35</v>
      </c>
      <c r="L569" s="219">
        <v>35</v>
      </c>
      <c r="M569" s="219"/>
      <c r="N569" s="219">
        <v>114</v>
      </c>
      <c r="O569" s="219">
        <v>1</v>
      </c>
      <c r="P569" s="221"/>
      <c r="Q569" s="221"/>
      <c r="R569" s="221"/>
      <c r="S569" s="221"/>
      <c r="T569" s="221"/>
      <c r="U569" s="221"/>
      <c r="V569" s="221">
        <v>1</v>
      </c>
      <c r="W569" s="220">
        <v>0</v>
      </c>
      <c r="X569" s="220">
        <v>0</v>
      </c>
      <c r="Y569" s="220"/>
      <c r="Z569" s="221">
        <v>1</v>
      </c>
      <c r="AA569" s="220" t="s">
        <v>2082</v>
      </c>
    </row>
    <row r="570" spans="1:29" ht="16.5" customHeight="1" x14ac:dyDescent="0.3">
      <c r="A570" s="49"/>
      <c r="B570" s="130" t="str">
        <f ca="1">'Translation Table'!H2290</f>
        <v>Gate Station</v>
      </c>
      <c r="C570" s="54" t="str">
        <f ca="1">'Translation Table'!H2290</f>
        <v>Gate Station</v>
      </c>
      <c r="D570" s="219">
        <v>0</v>
      </c>
      <c r="E570" s="221">
        <v>0</v>
      </c>
      <c r="F570" s="221"/>
      <c r="G570" s="221"/>
      <c r="H570" s="221">
        <v>1</v>
      </c>
      <c r="I570" s="221"/>
      <c r="J570" s="221"/>
      <c r="K570" s="219">
        <f t="shared" si="10"/>
        <v>66</v>
      </c>
      <c r="L570" s="219">
        <v>66</v>
      </c>
      <c r="M570" s="219"/>
      <c r="N570" s="219">
        <v>353</v>
      </c>
      <c r="O570" s="219">
        <v>12</v>
      </c>
      <c r="P570" s="221"/>
      <c r="Q570" s="221"/>
      <c r="R570" s="221"/>
      <c r="S570" s="221"/>
      <c r="T570" s="221">
        <v>1</v>
      </c>
      <c r="U570" s="221">
        <v>1</v>
      </c>
      <c r="V570" s="221">
        <v>2</v>
      </c>
      <c r="W570" s="220"/>
      <c r="X570" s="220"/>
      <c r="Y570" s="220"/>
      <c r="Z570" s="221">
        <v>0</v>
      </c>
      <c r="AA570" s="220" t="s">
        <v>217</v>
      </c>
    </row>
    <row r="571" spans="1:29" ht="16.5" customHeight="1" x14ac:dyDescent="0.3">
      <c r="A571" s="49"/>
      <c r="B571" s="54" t="str">
        <f ca="1">'Translation Table'!H2291</f>
        <v>Heater/Boiler/Reboiler: Line (Burner Assemblies: 1)</v>
      </c>
      <c r="C571" s="54" t="str">
        <f ca="1">'Translation Table'!H2291</f>
        <v>Heater/Boiler/Reboiler: Line (Burner Assemblies: 1)</v>
      </c>
      <c r="D571" s="219">
        <v>2.29</v>
      </c>
      <c r="E571" s="221">
        <v>0.43</v>
      </c>
      <c r="F571" s="221"/>
      <c r="G571" s="221"/>
      <c r="H571" s="221">
        <v>1</v>
      </c>
      <c r="I571" s="221"/>
      <c r="J571" s="221"/>
      <c r="K571" s="219">
        <f t="shared" si="10"/>
        <v>31.21</v>
      </c>
      <c r="L571" s="219">
        <v>29.71</v>
      </c>
      <c r="M571" s="219">
        <v>1.5</v>
      </c>
      <c r="N571" s="219">
        <v>222.61</v>
      </c>
      <c r="O571" s="219">
        <v>5.76</v>
      </c>
      <c r="P571" s="221"/>
      <c r="Q571" s="221"/>
      <c r="R571" s="221"/>
      <c r="S571" s="221"/>
      <c r="T571" s="221"/>
      <c r="U571" s="221"/>
      <c r="V571" s="221">
        <v>0</v>
      </c>
      <c r="W571" s="220">
        <v>0</v>
      </c>
      <c r="X571" s="220">
        <v>0</v>
      </c>
      <c r="Y571" s="220"/>
      <c r="Z571" s="221">
        <v>1</v>
      </c>
      <c r="AA571" s="220" t="s">
        <v>2474</v>
      </c>
    </row>
    <row r="572" spans="1:29" ht="16.5" customHeight="1" x14ac:dyDescent="0.3">
      <c r="A572" s="49"/>
      <c r="B572" s="130" t="str">
        <f ca="1">'Translation Table'!H2292</f>
        <v>Heater/Boiler/Reboiler: Line (Burner Assemblies: 2)</v>
      </c>
      <c r="C572" s="54" t="str">
        <f ca="1">'Translation Table'!H2292</f>
        <v>Heater/Boiler/Reboiler: Line (Burner Assemblies: 2)</v>
      </c>
      <c r="D572" s="219">
        <v>7.59</v>
      </c>
      <c r="E572" s="221">
        <v>0.43</v>
      </c>
      <c r="F572" s="221"/>
      <c r="G572" s="221"/>
      <c r="H572" s="221">
        <v>1</v>
      </c>
      <c r="I572" s="221"/>
      <c r="J572" s="221"/>
      <c r="K572" s="219">
        <f t="shared" si="10"/>
        <v>44.510000000000005</v>
      </c>
      <c r="L572" s="219">
        <v>41.31</v>
      </c>
      <c r="M572" s="219">
        <v>3.2</v>
      </c>
      <c r="N572" s="219">
        <v>252.51</v>
      </c>
      <c r="O572" s="219">
        <v>7.59</v>
      </c>
      <c r="P572" s="221"/>
      <c r="Q572" s="221"/>
      <c r="R572" s="221"/>
      <c r="S572" s="221"/>
      <c r="T572" s="221"/>
      <c r="U572" s="221"/>
      <c r="V572" s="221">
        <v>0</v>
      </c>
      <c r="W572" s="220">
        <v>0</v>
      </c>
      <c r="X572" s="220">
        <v>0</v>
      </c>
      <c r="Y572" s="220"/>
      <c r="Z572" s="221">
        <v>1</v>
      </c>
      <c r="AA572" s="220" t="s">
        <v>2474</v>
      </c>
    </row>
    <row r="573" spans="1:29" ht="16.5" customHeight="1" x14ac:dyDescent="0.3">
      <c r="A573" s="49"/>
      <c r="B573" s="54" t="str">
        <f ca="1">'Translation Table'!H2293</f>
        <v>Heater/Boiler/Reboiler: Line (Burner Assemblies: 3)</v>
      </c>
      <c r="C573" s="54" t="str">
        <f ca="1">'Translation Table'!H2293</f>
        <v>Heater/Boiler/Reboiler: Line (Burner Assemblies: 3)</v>
      </c>
      <c r="D573" s="219">
        <v>12.89</v>
      </c>
      <c r="E573" s="221">
        <v>0.43</v>
      </c>
      <c r="F573" s="221"/>
      <c r="G573" s="221"/>
      <c r="H573" s="221">
        <v>1</v>
      </c>
      <c r="I573" s="221"/>
      <c r="J573" s="221"/>
      <c r="K573" s="219">
        <f t="shared" si="10"/>
        <v>57.809999999999995</v>
      </c>
      <c r="L573" s="219">
        <v>52.91</v>
      </c>
      <c r="M573" s="219">
        <v>4.9000000000000004</v>
      </c>
      <c r="N573" s="219">
        <v>282.41000000000003</v>
      </c>
      <c r="O573" s="219">
        <v>9.42</v>
      </c>
      <c r="P573" s="221"/>
      <c r="Q573" s="221"/>
      <c r="R573" s="221"/>
      <c r="S573" s="221"/>
      <c r="T573" s="221"/>
      <c r="U573" s="221"/>
      <c r="V573" s="221">
        <v>0</v>
      </c>
      <c r="W573" s="220">
        <v>0</v>
      </c>
      <c r="X573" s="220">
        <v>0</v>
      </c>
      <c r="Y573" s="220"/>
      <c r="Z573" s="221">
        <v>1</v>
      </c>
      <c r="AA573" s="220" t="s">
        <v>2474</v>
      </c>
    </row>
    <row r="574" spans="1:29" ht="16.5" customHeight="1" x14ac:dyDescent="0.3">
      <c r="A574" s="49"/>
      <c r="B574" s="130" t="str">
        <f ca="1">'Translation Table'!H2294</f>
        <v>Inlet/Outlet Header: Gas Facilities (Fittings Per Pipeline)</v>
      </c>
      <c r="C574" s="54" t="str">
        <f ca="1">'Translation Table'!H2294</f>
        <v>Inlet/Outlet Header: Gas Facilities (Fittings Per Pipeline)</v>
      </c>
      <c r="D574" s="219">
        <v>0</v>
      </c>
      <c r="E574" s="221">
        <v>0</v>
      </c>
      <c r="F574" s="221"/>
      <c r="G574" s="221"/>
      <c r="H574" s="221">
        <v>0</v>
      </c>
      <c r="I574" s="221"/>
      <c r="J574" s="221"/>
      <c r="K574" s="219">
        <f t="shared" si="10"/>
        <v>7</v>
      </c>
      <c r="L574" s="219">
        <v>6</v>
      </c>
      <c r="M574" s="219">
        <v>1</v>
      </c>
      <c r="N574" s="219">
        <v>16</v>
      </c>
      <c r="O574" s="219">
        <v>0</v>
      </c>
      <c r="P574" s="221"/>
      <c r="Q574" s="221"/>
      <c r="R574" s="221"/>
      <c r="S574" s="221"/>
      <c r="T574" s="221"/>
      <c r="U574" s="221"/>
      <c r="V574" s="221">
        <v>0</v>
      </c>
      <c r="W574" s="220">
        <v>0</v>
      </c>
      <c r="X574" s="220">
        <v>0</v>
      </c>
      <c r="Y574" s="220"/>
      <c r="Z574" s="221">
        <v>0</v>
      </c>
      <c r="AA574" s="220" t="s">
        <v>2474</v>
      </c>
    </row>
    <row r="575" spans="1:29" ht="16.5" customHeight="1" x14ac:dyDescent="0.3">
      <c r="A575" s="49"/>
      <c r="B575" s="54" t="str">
        <f ca="1">'Translation Table'!H2295</f>
        <v>Isolation Block Valve</v>
      </c>
      <c r="C575" s="54" t="str">
        <f ca="1">'Translation Table'!H2295</f>
        <v>Isolation Block Valve</v>
      </c>
      <c r="D575" s="219"/>
      <c r="E575" s="221"/>
      <c r="F575" s="221"/>
      <c r="G575" s="221"/>
      <c r="H575" s="221">
        <v>0</v>
      </c>
      <c r="I575" s="221"/>
      <c r="J575" s="221"/>
      <c r="K575" s="219">
        <f t="shared" si="10"/>
        <v>1</v>
      </c>
      <c r="L575" s="219">
        <v>1</v>
      </c>
      <c r="M575" s="219"/>
      <c r="N575" s="219">
        <v>2</v>
      </c>
      <c r="O575" s="219"/>
      <c r="P575" s="221"/>
      <c r="Q575" s="221"/>
      <c r="R575" s="221"/>
      <c r="S575" s="221"/>
      <c r="T575" s="221"/>
      <c r="U575" s="221"/>
      <c r="V575" s="221">
        <v>0</v>
      </c>
      <c r="W575" s="220"/>
      <c r="X575" s="220"/>
      <c r="Y575" s="220"/>
      <c r="Z575" s="221">
        <v>0</v>
      </c>
      <c r="AA575" s="220" t="s">
        <v>2474</v>
      </c>
    </row>
    <row r="576" spans="1:29" ht="16.5" customHeight="1" x14ac:dyDescent="0.3">
      <c r="A576" s="49"/>
      <c r="B576" s="130" t="str">
        <f ca="1">'Translation Table'!H2296</f>
        <v>Mainline Block Valve</v>
      </c>
      <c r="C576" s="54" t="str">
        <f ca="1">'Translation Table'!H2296</f>
        <v>Mainline Block Valve</v>
      </c>
      <c r="D576" s="219">
        <v>0</v>
      </c>
      <c r="E576" s="221">
        <v>1</v>
      </c>
      <c r="F576" s="221"/>
      <c r="G576" s="221"/>
      <c r="H576" s="221">
        <v>0</v>
      </c>
      <c r="I576" s="221"/>
      <c r="J576" s="221"/>
      <c r="K576" s="219">
        <f t="shared" si="10"/>
        <v>34</v>
      </c>
      <c r="L576" s="219">
        <v>34</v>
      </c>
      <c r="M576" s="219"/>
      <c r="N576" s="219">
        <v>42</v>
      </c>
      <c r="O576" s="219">
        <v>2</v>
      </c>
      <c r="P576" s="221"/>
      <c r="Q576" s="221"/>
      <c r="R576" s="221"/>
      <c r="S576" s="221"/>
      <c r="T576" s="221"/>
      <c r="U576" s="221"/>
      <c r="V576" s="221">
        <v>1</v>
      </c>
      <c r="W576" s="220"/>
      <c r="X576" s="220"/>
      <c r="Y576" s="220"/>
      <c r="Z576" s="221">
        <v>0</v>
      </c>
      <c r="AA576" s="220" t="s">
        <v>217</v>
      </c>
    </row>
    <row r="577" spans="1:29" ht="16.5" customHeight="1" x14ac:dyDescent="0.3">
      <c r="A577" s="49"/>
      <c r="B577" s="54" t="str">
        <f ca="1">'Translation Table'!H2297</f>
        <v>Meter Set: Commercial</v>
      </c>
      <c r="C577" s="54" t="str">
        <f ca="1">'Translation Table'!H2297</f>
        <v>Meter Set: Commercial</v>
      </c>
      <c r="D577" s="219">
        <v>0</v>
      </c>
      <c r="E577" s="221">
        <v>0</v>
      </c>
      <c r="F577" s="221"/>
      <c r="G577" s="221"/>
      <c r="H577" s="221">
        <v>0</v>
      </c>
      <c r="I577" s="221"/>
      <c r="J577" s="221"/>
      <c r="K577" s="219">
        <f t="shared" si="10"/>
        <v>17</v>
      </c>
      <c r="L577" s="219">
        <v>17</v>
      </c>
      <c r="M577" s="219"/>
      <c r="N577" s="219">
        <v>90</v>
      </c>
      <c r="O577" s="219">
        <v>3</v>
      </c>
      <c r="P577" s="221"/>
      <c r="Q577" s="221"/>
      <c r="R577" s="221"/>
      <c r="S577" s="221"/>
      <c r="T577" s="221"/>
      <c r="U577" s="221">
        <v>2</v>
      </c>
      <c r="V577" s="221">
        <v>0</v>
      </c>
      <c r="W577" s="220"/>
      <c r="X577" s="220"/>
      <c r="Y577" s="220"/>
      <c r="Z577" s="221">
        <v>0</v>
      </c>
      <c r="AA577" s="220" t="s">
        <v>217</v>
      </c>
    </row>
    <row r="578" spans="1:29" ht="16.5" customHeight="1" x14ac:dyDescent="0.3">
      <c r="A578" s="49"/>
      <c r="B578" s="130" t="str">
        <f ca="1">'Translation Table'!H2298</f>
        <v>Meter Set: Farm Tap</v>
      </c>
      <c r="C578" s="54" t="str">
        <f ca="1">'Translation Table'!H2298</f>
        <v>Meter Set: Farm Tap</v>
      </c>
      <c r="D578" s="219">
        <v>0</v>
      </c>
      <c r="E578" s="221">
        <v>0</v>
      </c>
      <c r="F578" s="221"/>
      <c r="G578" s="221"/>
      <c r="H578" s="221">
        <v>0</v>
      </c>
      <c r="I578" s="221"/>
      <c r="J578" s="221"/>
      <c r="K578" s="219">
        <f t="shared" si="10"/>
        <v>13</v>
      </c>
      <c r="L578" s="219">
        <v>13</v>
      </c>
      <c r="M578" s="219"/>
      <c r="N578" s="219">
        <v>48</v>
      </c>
      <c r="O578" s="219">
        <v>2</v>
      </c>
      <c r="P578" s="221"/>
      <c r="Q578" s="221"/>
      <c r="R578" s="221"/>
      <c r="S578" s="221"/>
      <c r="T578" s="221"/>
      <c r="U578" s="221"/>
      <c r="V578" s="221">
        <v>0</v>
      </c>
      <c r="W578" s="220"/>
      <c r="X578" s="220"/>
      <c r="Y578" s="220"/>
      <c r="Z578" s="221">
        <v>0</v>
      </c>
      <c r="AA578" s="220" t="s">
        <v>217</v>
      </c>
    </row>
    <row r="579" spans="1:29" ht="16.5" customHeight="1" x14ac:dyDescent="0.3">
      <c r="A579" s="49"/>
      <c r="B579" s="54" t="str">
        <f ca="1">'Translation Table'!H2299</f>
        <v>Meter Set: Industrial</v>
      </c>
      <c r="C579" s="54" t="str">
        <f ca="1">'Translation Table'!H2299</f>
        <v>Meter Set: Industrial</v>
      </c>
      <c r="D579" s="219">
        <v>0</v>
      </c>
      <c r="E579" s="221">
        <v>0</v>
      </c>
      <c r="F579" s="221"/>
      <c r="G579" s="221"/>
      <c r="H579" s="221">
        <v>0</v>
      </c>
      <c r="I579" s="221"/>
      <c r="J579" s="221"/>
      <c r="K579" s="219">
        <f t="shared" si="10"/>
        <v>26</v>
      </c>
      <c r="L579" s="219">
        <v>26</v>
      </c>
      <c r="M579" s="219"/>
      <c r="N579" s="219">
        <v>111</v>
      </c>
      <c r="O579" s="219">
        <v>4</v>
      </c>
      <c r="P579" s="221"/>
      <c r="Q579" s="221"/>
      <c r="R579" s="221"/>
      <c r="S579" s="221"/>
      <c r="T579" s="221"/>
      <c r="U579" s="221">
        <v>1</v>
      </c>
      <c r="V579" s="221">
        <v>0</v>
      </c>
      <c r="W579" s="220"/>
      <c r="X579" s="220"/>
      <c r="Y579" s="220"/>
      <c r="Z579" s="221">
        <v>0</v>
      </c>
      <c r="AA579" s="220" t="s">
        <v>217</v>
      </c>
    </row>
    <row r="580" spans="1:29" ht="16.5" customHeight="1" x14ac:dyDescent="0.3">
      <c r="A580" s="49"/>
      <c r="B580" s="130" t="str">
        <f ca="1">'Translation Table'!H2300</f>
        <v>Meter Set: Residential</v>
      </c>
      <c r="C580" s="54" t="str">
        <f ca="1">'Translation Table'!H2300</f>
        <v>Meter Set: Residential</v>
      </c>
      <c r="D580" s="219">
        <v>0</v>
      </c>
      <c r="E580" s="221">
        <v>0.12</v>
      </c>
      <c r="F580" s="221"/>
      <c r="G580" s="221"/>
      <c r="H580" s="221">
        <v>0</v>
      </c>
      <c r="I580" s="221"/>
      <c r="J580" s="221"/>
      <c r="K580" s="219">
        <f t="shared" si="10"/>
        <v>1</v>
      </c>
      <c r="L580" s="219">
        <v>1</v>
      </c>
      <c r="M580" s="219"/>
      <c r="N580" s="219">
        <v>19</v>
      </c>
      <c r="O580" s="219">
        <v>1</v>
      </c>
      <c r="P580" s="221"/>
      <c r="Q580" s="221"/>
      <c r="R580" s="221"/>
      <c r="S580" s="221"/>
      <c r="T580" s="221"/>
      <c r="U580" s="221">
        <v>1</v>
      </c>
      <c r="V580" s="221">
        <v>0</v>
      </c>
      <c r="W580" s="220"/>
      <c r="X580" s="220"/>
      <c r="Y580" s="220"/>
      <c r="Z580" s="221">
        <v>0</v>
      </c>
      <c r="AA580" s="220" t="s">
        <v>217</v>
      </c>
      <c r="AC580" s="46">
        <v>0</v>
      </c>
    </row>
    <row r="581" spans="1:29" ht="16.5" customHeight="1" x14ac:dyDescent="0.3">
      <c r="A581" s="49" t="str">
        <f ca="1">'Translation Table'!H1725</f>
        <v>Petroleum Refining</v>
      </c>
      <c r="B581" s="54" t="str">
        <f ca="1">'Translation Table'!H2301</f>
        <v>Blowdown System: Generic (Pit or Vent)</v>
      </c>
      <c r="C581" s="54" t="str">
        <f ca="1">'Translation Table'!H2301</f>
        <v>Blowdown System: Generic (Pit or Vent)</v>
      </c>
      <c r="D581" s="219">
        <v>0</v>
      </c>
      <c r="E581" s="221">
        <v>0</v>
      </c>
      <c r="F581" s="221"/>
      <c r="G581" s="221"/>
      <c r="H581" s="221">
        <v>1</v>
      </c>
      <c r="I581" s="221"/>
      <c r="J581" s="221"/>
      <c r="K581" s="219">
        <f t="shared" si="10"/>
        <v>2</v>
      </c>
      <c r="L581" s="219">
        <v>1</v>
      </c>
      <c r="M581" s="219">
        <v>1</v>
      </c>
      <c r="N581" s="219">
        <v>2</v>
      </c>
      <c r="O581" s="219"/>
      <c r="P581" s="221"/>
      <c r="Q581" s="221"/>
      <c r="R581" s="221"/>
      <c r="S581" s="221"/>
      <c r="T581" s="221"/>
      <c r="U581" s="221"/>
      <c r="V581" s="221">
        <v>1</v>
      </c>
      <c r="W581" s="220"/>
      <c r="X581" s="220"/>
      <c r="Y581" s="220"/>
      <c r="Z581" s="221">
        <v>0</v>
      </c>
      <c r="AA581" s="220" t="s">
        <v>2474</v>
      </c>
      <c r="AC581" s="46">
        <v>0</v>
      </c>
    </row>
    <row r="582" spans="1:29" ht="16.5" customHeight="1" x14ac:dyDescent="0.3">
      <c r="A582" s="49"/>
      <c r="B582" s="130" t="str">
        <f ca="1">'Translation Table'!H2302</f>
        <v>Aerial Cooler: Natural Gas Service</v>
      </c>
      <c r="C582" s="54" t="str">
        <f ca="1">'Translation Table'!H2302</f>
        <v>Aerial Cooler: Natural Gas Service</v>
      </c>
      <c r="D582" s="219">
        <v>0</v>
      </c>
      <c r="E582" s="219">
        <v>0</v>
      </c>
      <c r="F582" s="219"/>
      <c r="G582" s="219"/>
      <c r="H582" s="219"/>
      <c r="I582" s="219"/>
      <c r="J582" s="219"/>
      <c r="K582" s="219">
        <f t="shared" si="10"/>
        <v>5</v>
      </c>
      <c r="L582" s="219">
        <v>5</v>
      </c>
      <c r="M582" s="219"/>
      <c r="N582" s="219">
        <v>338</v>
      </c>
      <c r="O582" s="219"/>
      <c r="P582" s="219"/>
      <c r="Q582" s="219"/>
      <c r="R582" s="219"/>
      <c r="S582" s="219"/>
      <c r="T582" s="219"/>
      <c r="U582" s="219"/>
      <c r="V582" s="219">
        <v>1</v>
      </c>
      <c r="W582" s="219"/>
      <c r="X582" s="219"/>
      <c r="Y582" s="219"/>
      <c r="Z582" s="219">
        <v>0</v>
      </c>
      <c r="AA582" s="220" t="s">
        <v>2474</v>
      </c>
    </row>
    <row r="583" spans="1:29" ht="16.5" customHeight="1" x14ac:dyDescent="0.3">
      <c r="A583" s="49"/>
      <c r="B583" s="54" t="str">
        <f ca="1">'Translation Table'!H2303</f>
        <v>Aerial Cooler: Hydrocarbon Liquid Service</v>
      </c>
      <c r="C583" s="54" t="str">
        <f ca="1">'Translation Table'!H2303</f>
        <v>Aerial Cooler: Hydrocarbon Liquid Service</v>
      </c>
      <c r="D583" s="219">
        <v>0</v>
      </c>
      <c r="E583" s="219">
        <v>0</v>
      </c>
      <c r="F583" s="219"/>
      <c r="G583" s="219"/>
      <c r="H583" s="219"/>
      <c r="I583" s="219"/>
      <c r="J583" s="219"/>
      <c r="K583" s="219">
        <f t="shared" si="10"/>
        <v>0</v>
      </c>
      <c r="L583" s="219"/>
      <c r="M583" s="219"/>
      <c r="N583" s="219"/>
      <c r="O583" s="219"/>
      <c r="P583" s="219"/>
      <c r="Q583" s="219"/>
      <c r="R583" s="219"/>
      <c r="S583" s="219"/>
      <c r="T583" s="219"/>
      <c r="U583" s="219"/>
      <c r="V583" s="219">
        <v>1</v>
      </c>
      <c r="W583" s="219">
        <v>5</v>
      </c>
      <c r="X583" s="219">
        <v>698</v>
      </c>
      <c r="Y583" s="219"/>
      <c r="Z583" s="219">
        <v>0</v>
      </c>
      <c r="AA583" s="220" t="s">
        <v>2474</v>
      </c>
    </row>
    <row r="584" spans="1:29" ht="16.5" customHeight="1" x14ac:dyDescent="0.3">
      <c r="A584" s="49"/>
      <c r="B584" s="130" t="str">
        <f ca="1">'Translation Table'!H2304</f>
        <v>Chemical Injection Pump: Pneumatic (Diaphragm Type)</v>
      </c>
      <c r="C584" s="54" t="str">
        <f ca="1">'Translation Table'!H2304</f>
        <v>Chemical Injection Pump: Pneumatic (Diaphragm Type)</v>
      </c>
      <c r="D584" s="219">
        <v>0</v>
      </c>
      <c r="E584" s="221">
        <v>1</v>
      </c>
      <c r="F584" s="221"/>
      <c r="G584" s="221"/>
      <c r="H584" s="221">
        <v>0</v>
      </c>
      <c r="I584" s="221"/>
      <c r="J584" s="221"/>
      <c r="K584" s="219">
        <f t="shared" ref="K584:K647" si="11">L584+M584</f>
        <v>1</v>
      </c>
      <c r="L584" s="219">
        <v>1</v>
      </c>
      <c r="M584" s="219">
        <v>0</v>
      </c>
      <c r="N584" s="219">
        <v>6</v>
      </c>
      <c r="O584" s="219">
        <v>1</v>
      </c>
      <c r="P584" s="221"/>
      <c r="Q584" s="221"/>
      <c r="R584" s="221"/>
      <c r="S584" s="221"/>
      <c r="T584" s="221"/>
      <c r="U584" s="221"/>
      <c r="V584" s="221">
        <v>0</v>
      </c>
      <c r="W584" s="220">
        <v>0</v>
      </c>
      <c r="X584" s="220">
        <v>0</v>
      </c>
      <c r="Y584" s="220"/>
      <c r="Z584" s="221">
        <v>0</v>
      </c>
      <c r="AA584" s="220" t="s">
        <v>269</v>
      </c>
      <c r="AC584" s="46">
        <v>0</v>
      </c>
    </row>
    <row r="585" spans="1:29" ht="16.5" customHeight="1" x14ac:dyDescent="0.3">
      <c r="A585" s="49"/>
      <c r="B585" s="54" t="str">
        <f ca="1">'Translation Table'!H2305</f>
        <v>Chemical Injection Pump: Pneumatic (Piston Type)</v>
      </c>
      <c r="C585" s="54" t="str">
        <f ca="1">'Translation Table'!H2305</f>
        <v>Chemical Injection Pump: Pneumatic (Piston Type)</v>
      </c>
      <c r="D585" s="219">
        <v>0</v>
      </c>
      <c r="E585" s="221">
        <v>1</v>
      </c>
      <c r="F585" s="221"/>
      <c r="G585" s="221"/>
      <c r="H585" s="221">
        <v>0</v>
      </c>
      <c r="I585" s="221"/>
      <c r="J585" s="221"/>
      <c r="K585" s="219">
        <f t="shared" si="11"/>
        <v>1</v>
      </c>
      <c r="L585" s="219">
        <v>1</v>
      </c>
      <c r="M585" s="219"/>
      <c r="N585" s="219">
        <v>6</v>
      </c>
      <c r="O585" s="219">
        <v>1</v>
      </c>
      <c r="P585" s="221"/>
      <c r="Q585" s="221"/>
      <c r="R585" s="221"/>
      <c r="S585" s="221"/>
      <c r="T585" s="221"/>
      <c r="U585" s="221"/>
      <c r="V585" s="221">
        <v>0</v>
      </c>
      <c r="W585" s="220">
        <v>0</v>
      </c>
      <c r="X585" s="220">
        <v>0</v>
      </c>
      <c r="Y585" s="220"/>
      <c r="Z585" s="221">
        <v>0</v>
      </c>
      <c r="AA585" s="220" t="s">
        <v>269</v>
      </c>
      <c r="AC585" s="46">
        <v>0</v>
      </c>
    </row>
    <row r="586" spans="1:29" ht="16.5" customHeight="1" x14ac:dyDescent="0.3">
      <c r="A586" s="49"/>
      <c r="B586" s="130" t="str">
        <f ca="1">'Translation Table'!H2306</f>
        <v>Chemical Injection Pump: Pneumatic (Unknown Type)</v>
      </c>
      <c r="C586" s="54" t="str">
        <f ca="1">'Translation Table'!H2306</f>
        <v>Chemical Injection Pump: Pneumatic (Unknown Type)</v>
      </c>
      <c r="D586" s="219">
        <v>0</v>
      </c>
      <c r="E586" s="221">
        <v>1</v>
      </c>
      <c r="F586" s="221"/>
      <c r="G586" s="221"/>
      <c r="H586" s="221">
        <v>0</v>
      </c>
      <c r="I586" s="221"/>
      <c r="J586" s="221"/>
      <c r="K586" s="219">
        <f t="shared" si="11"/>
        <v>1</v>
      </c>
      <c r="L586" s="219">
        <v>1</v>
      </c>
      <c r="M586" s="219"/>
      <c r="N586" s="219">
        <v>6</v>
      </c>
      <c r="O586" s="219">
        <v>1</v>
      </c>
      <c r="P586" s="221"/>
      <c r="Q586" s="221"/>
      <c r="R586" s="221"/>
      <c r="S586" s="221"/>
      <c r="T586" s="221"/>
      <c r="U586" s="221"/>
      <c r="V586" s="221">
        <v>0</v>
      </c>
      <c r="W586" s="220">
        <v>0</v>
      </c>
      <c r="X586" s="220">
        <v>0</v>
      </c>
      <c r="Y586" s="220"/>
      <c r="Z586" s="221">
        <v>0</v>
      </c>
      <c r="AA586" s="220" t="s">
        <v>269</v>
      </c>
      <c r="AC586" s="46">
        <v>0</v>
      </c>
    </row>
    <row r="587" spans="1:29" ht="16.5" customHeight="1" x14ac:dyDescent="0.3">
      <c r="A587" s="49"/>
      <c r="B587" s="54" t="str">
        <f ca="1">'Translation Table'!H2307</f>
        <v>Compressor: Centrifugal: (Stages: 1) (Seals: Wet) (Driver: Electric Motor)</v>
      </c>
      <c r="C587" s="54" t="str">
        <f ca="1">'Translation Table'!H2307</f>
        <v>Compressor: Centrifugal: (Stages: 1) (Seals: Wet) (Driver: Electric Motor)</v>
      </c>
      <c r="D587" s="219">
        <v>1</v>
      </c>
      <c r="E587" s="221">
        <v>3</v>
      </c>
      <c r="F587" s="221"/>
      <c r="G587" s="221"/>
      <c r="H587" s="221">
        <v>0</v>
      </c>
      <c r="I587" s="221"/>
      <c r="J587" s="221"/>
      <c r="K587" s="219">
        <f t="shared" si="11"/>
        <v>48.75</v>
      </c>
      <c r="L587" s="219">
        <v>42.5</v>
      </c>
      <c r="M587" s="219">
        <v>6.25</v>
      </c>
      <c r="N587" s="219">
        <v>1415.25</v>
      </c>
      <c r="O587" s="219">
        <v>1</v>
      </c>
      <c r="P587" s="221"/>
      <c r="Q587" s="221">
        <v>2</v>
      </c>
      <c r="R587" s="221"/>
      <c r="S587" s="221"/>
      <c r="T587" s="221">
        <v>1</v>
      </c>
      <c r="U587" s="221"/>
      <c r="V587" s="221">
        <v>1</v>
      </c>
      <c r="W587" s="220">
        <v>3</v>
      </c>
      <c r="X587" s="220">
        <v>8</v>
      </c>
      <c r="Y587" s="220"/>
      <c r="Z587" s="221">
        <v>1</v>
      </c>
      <c r="AA587" s="220" t="s">
        <v>2474</v>
      </c>
      <c r="AC587" s="46">
        <v>0</v>
      </c>
    </row>
    <row r="588" spans="1:29" ht="16.5" customHeight="1" x14ac:dyDescent="0.3">
      <c r="A588" s="49"/>
      <c r="B588" s="130" t="str">
        <f ca="1">'Translation Table'!H2308</f>
        <v>Compressor: Centrifugal: (Stages: 1) (Seals: Wet) (Driver: Gas Turbine)</v>
      </c>
      <c r="C588" s="54" t="str">
        <f ca="1">'Translation Table'!H2308</f>
        <v>Compressor: Centrifugal: (Stages: 1) (Seals: Wet) (Driver: Gas Turbine)</v>
      </c>
      <c r="D588" s="219">
        <v>2.29</v>
      </c>
      <c r="E588" s="221">
        <v>3.43</v>
      </c>
      <c r="F588" s="221"/>
      <c r="G588" s="221"/>
      <c r="H588" s="221">
        <v>0</v>
      </c>
      <c r="I588" s="221"/>
      <c r="J588" s="221"/>
      <c r="K588" s="219">
        <f t="shared" si="11"/>
        <v>68.61</v>
      </c>
      <c r="L588" s="219">
        <v>62.36</v>
      </c>
      <c r="M588" s="219">
        <v>6.25</v>
      </c>
      <c r="N588" s="219">
        <v>1510.96</v>
      </c>
      <c r="O588" s="219">
        <v>5</v>
      </c>
      <c r="P588" s="221"/>
      <c r="Q588" s="221">
        <v>2</v>
      </c>
      <c r="R588" s="221"/>
      <c r="S588" s="221"/>
      <c r="T588" s="221">
        <v>1</v>
      </c>
      <c r="U588" s="221"/>
      <c r="V588" s="221">
        <v>5</v>
      </c>
      <c r="W588" s="220">
        <v>5</v>
      </c>
      <c r="X588" s="220">
        <v>11</v>
      </c>
      <c r="Y588" s="220"/>
      <c r="Z588" s="221">
        <v>2</v>
      </c>
      <c r="AA588" s="220" t="s">
        <v>2474</v>
      </c>
      <c r="AC588" s="46">
        <v>0</v>
      </c>
    </row>
    <row r="589" spans="1:29" ht="16.5" customHeight="1" x14ac:dyDescent="0.3">
      <c r="A589" s="49"/>
      <c r="B589" s="54" t="str">
        <f ca="1">'Translation Table'!H2309</f>
        <v>Compressor: Centrifugal: (Stages: 2) (Seals: Wet) (Driver: Electric Motor)</v>
      </c>
      <c r="C589" s="54" t="str">
        <f ca="1">'Translation Table'!H2309</f>
        <v>Compressor: Centrifugal: (Stages: 2) (Seals: Wet) (Driver: Electric Motor)</v>
      </c>
      <c r="D589" s="219">
        <v>2</v>
      </c>
      <c r="E589" s="221">
        <v>4.5</v>
      </c>
      <c r="F589" s="221"/>
      <c r="G589" s="221"/>
      <c r="H589" s="221">
        <v>0</v>
      </c>
      <c r="I589" s="221"/>
      <c r="J589" s="221"/>
      <c r="K589" s="219">
        <f t="shared" si="11"/>
        <v>76.5</v>
      </c>
      <c r="L589" s="219">
        <v>69.25</v>
      </c>
      <c r="M589" s="219">
        <v>7.25</v>
      </c>
      <c r="N589" s="219">
        <v>2736.75</v>
      </c>
      <c r="O589" s="219">
        <v>1</v>
      </c>
      <c r="P589" s="221"/>
      <c r="Q589" s="221">
        <v>4</v>
      </c>
      <c r="R589" s="221"/>
      <c r="S589" s="221"/>
      <c r="T589" s="221">
        <v>1</v>
      </c>
      <c r="U589" s="221"/>
      <c r="V589" s="221">
        <v>5</v>
      </c>
      <c r="W589" s="220">
        <v>6</v>
      </c>
      <c r="X589" s="220">
        <v>16</v>
      </c>
      <c r="Y589" s="220"/>
      <c r="Z589" s="221">
        <v>2</v>
      </c>
      <c r="AA589" s="220" t="s">
        <v>2474</v>
      </c>
      <c r="AC589" s="46">
        <v>0</v>
      </c>
    </row>
    <row r="590" spans="1:29" ht="16.5" customHeight="1" x14ac:dyDescent="0.3">
      <c r="A590" s="49"/>
      <c r="B590" s="130" t="str">
        <f ca="1">'Translation Table'!H2310</f>
        <v>Compressor: Centrifugal: (Stages: 2) (Seals: Wet) (Driver: Gas Turbine)</v>
      </c>
      <c r="C590" s="54" t="str">
        <f ca="1">'Translation Table'!H2310</f>
        <v>Compressor: Centrifugal: (Stages: 2) (Seals: Wet) (Driver: Gas Turbine)</v>
      </c>
      <c r="D590" s="219">
        <v>5</v>
      </c>
      <c r="E590" s="221">
        <v>4.93</v>
      </c>
      <c r="F590" s="221"/>
      <c r="G590" s="221"/>
      <c r="H590" s="221">
        <v>0</v>
      </c>
      <c r="I590" s="221"/>
      <c r="J590" s="221"/>
      <c r="K590" s="219">
        <f t="shared" si="11"/>
        <v>96.46</v>
      </c>
      <c r="L590" s="219">
        <v>89.11</v>
      </c>
      <c r="M590" s="219">
        <v>7.35</v>
      </c>
      <c r="N590" s="219">
        <v>2832.46</v>
      </c>
      <c r="O590" s="219">
        <v>5</v>
      </c>
      <c r="P590" s="221"/>
      <c r="Q590" s="221">
        <v>4</v>
      </c>
      <c r="R590" s="221"/>
      <c r="S590" s="221"/>
      <c r="T590" s="221">
        <v>1</v>
      </c>
      <c r="U590" s="221"/>
      <c r="V590" s="221">
        <v>5</v>
      </c>
      <c r="W590" s="220">
        <v>6</v>
      </c>
      <c r="X590" s="220">
        <v>16</v>
      </c>
      <c r="Y590" s="220"/>
      <c r="Z590" s="221">
        <v>3</v>
      </c>
      <c r="AA590" s="220" t="s">
        <v>2474</v>
      </c>
      <c r="AC590" s="46">
        <v>0</v>
      </c>
    </row>
    <row r="591" spans="1:29" ht="16.5" customHeight="1" x14ac:dyDescent="0.3">
      <c r="A591" s="49"/>
      <c r="B591" s="54" t="str">
        <f ca="1">'Translation Table'!H2311</f>
        <v>Compressor: Centrifugal: (Stages: 1) (Seals: Dry) (Driver: Electric Motor)</v>
      </c>
      <c r="C591" s="54" t="str">
        <f ca="1">'Translation Table'!H2311</f>
        <v>Compressor: Centrifugal: (Stages: 1) (Seals: Dry) (Driver: Electric Motor)</v>
      </c>
      <c r="D591" s="219">
        <v>1</v>
      </c>
      <c r="E591" s="221">
        <v>3</v>
      </c>
      <c r="F591" s="221"/>
      <c r="G591" s="221"/>
      <c r="H591" s="221">
        <v>0</v>
      </c>
      <c r="I591" s="221"/>
      <c r="J591" s="221"/>
      <c r="K591" s="219">
        <f t="shared" si="11"/>
        <v>48.75</v>
      </c>
      <c r="L591" s="219">
        <v>42.5</v>
      </c>
      <c r="M591" s="219">
        <v>6.25</v>
      </c>
      <c r="N591" s="219">
        <v>1415.25</v>
      </c>
      <c r="O591" s="219">
        <v>1</v>
      </c>
      <c r="P591" s="221"/>
      <c r="Q591" s="221"/>
      <c r="R591" s="221">
        <v>2</v>
      </c>
      <c r="S591" s="221"/>
      <c r="T591" s="221">
        <v>1</v>
      </c>
      <c r="U591" s="221"/>
      <c r="V591" s="221">
        <v>1</v>
      </c>
      <c r="W591" s="220">
        <v>3</v>
      </c>
      <c r="X591" s="220">
        <v>8</v>
      </c>
      <c r="Y591" s="220"/>
      <c r="Z591" s="221">
        <v>1</v>
      </c>
      <c r="AA591" s="220" t="s">
        <v>2474</v>
      </c>
      <c r="AC591" s="46">
        <v>0</v>
      </c>
    </row>
    <row r="592" spans="1:29" ht="16.5" customHeight="1" x14ac:dyDescent="0.3">
      <c r="A592" s="49"/>
      <c r="B592" s="130" t="str">
        <f ca="1">'Translation Table'!H2312</f>
        <v>Compressor: Centrifugal: (Stages: 1) (Seals: Dry) (Driver: Gas Turbine)</v>
      </c>
      <c r="C592" s="54" t="str">
        <f ca="1">'Translation Table'!H2312</f>
        <v>Compressor: Centrifugal: (Stages: 1) (Seals: Dry) (Driver: Gas Turbine)</v>
      </c>
      <c r="D592" s="219">
        <v>2.29</v>
      </c>
      <c r="E592" s="221">
        <v>3.43</v>
      </c>
      <c r="F592" s="221"/>
      <c r="G592" s="221"/>
      <c r="H592" s="221">
        <v>0</v>
      </c>
      <c r="I592" s="221"/>
      <c r="J592" s="221"/>
      <c r="K592" s="219">
        <f t="shared" si="11"/>
        <v>68.61</v>
      </c>
      <c r="L592" s="219">
        <v>62.36</v>
      </c>
      <c r="M592" s="219">
        <v>6.25</v>
      </c>
      <c r="N592" s="219">
        <v>1510.96</v>
      </c>
      <c r="O592" s="219">
        <v>5</v>
      </c>
      <c r="P592" s="221"/>
      <c r="Q592" s="221"/>
      <c r="R592" s="221">
        <v>2</v>
      </c>
      <c r="S592" s="221"/>
      <c r="T592" s="221">
        <v>1</v>
      </c>
      <c r="U592" s="221"/>
      <c r="V592" s="221">
        <v>5</v>
      </c>
      <c r="W592" s="220">
        <v>5</v>
      </c>
      <c r="X592" s="220">
        <v>11</v>
      </c>
      <c r="Y592" s="220"/>
      <c r="Z592" s="221">
        <v>2</v>
      </c>
      <c r="AA592" s="220" t="s">
        <v>2474</v>
      </c>
      <c r="AC592" s="46">
        <v>0</v>
      </c>
    </row>
    <row r="593" spans="1:29" ht="16.5" customHeight="1" x14ac:dyDescent="0.3">
      <c r="A593" s="49"/>
      <c r="B593" s="54" t="str">
        <f ca="1">'Translation Table'!H2313</f>
        <v>Compressor: Centrifugal: (Stages: 2) (Seals: Dry) (Driver: Electric Motor)</v>
      </c>
      <c r="C593" s="54" t="str">
        <f ca="1">'Translation Table'!H2313</f>
        <v>Compressor: Centrifugal: (Stages: 2) (Seals: Dry) (Driver: Electric Motor)</v>
      </c>
      <c r="D593" s="219">
        <v>2</v>
      </c>
      <c r="E593" s="221">
        <v>4.5</v>
      </c>
      <c r="F593" s="221"/>
      <c r="G593" s="221"/>
      <c r="H593" s="221">
        <v>0</v>
      </c>
      <c r="I593" s="221"/>
      <c r="J593" s="221"/>
      <c r="K593" s="219">
        <f t="shared" si="11"/>
        <v>76.5</v>
      </c>
      <c r="L593" s="219">
        <v>69.25</v>
      </c>
      <c r="M593" s="219">
        <v>7.25</v>
      </c>
      <c r="N593" s="219">
        <v>2736.75</v>
      </c>
      <c r="O593" s="219">
        <v>1</v>
      </c>
      <c r="P593" s="221"/>
      <c r="Q593" s="221"/>
      <c r="R593" s="221">
        <v>4</v>
      </c>
      <c r="S593" s="221"/>
      <c r="T593" s="221">
        <v>1</v>
      </c>
      <c r="U593" s="221"/>
      <c r="V593" s="221">
        <v>5</v>
      </c>
      <c r="W593" s="220">
        <v>6</v>
      </c>
      <c r="X593" s="220">
        <v>16</v>
      </c>
      <c r="Y593" s="220"/>
      <c r="Z593" s="221">
        <v>2</v>
      </c>
      <c r="AA593" s="220" t="s">
        <v>2474</v>
      </c>
      <c r="AC593" s="46">
        <v>0</v>
      </c>
    </row>
    <row r="594" spans="1:29" ht="16.5" customHeight="1" x14ac:dyDescent="0.3">
      <c r="A594" s="49"/>
      <c r="B594" s="130" t="str">
        <f ca="1">'Translation Table'!H2314</f>
        <v>Compressor: Centrifugal: (Stages: 2) (Seals: Dry) (Driver: Gas Turbine)</v>
      </c>
      <c r="C594" s="54" t="str">
        <f ca="1">'Translation Table'!H2314</f>
        <v>Compressor: Centrifugal: (Stages: 2) (Seals: Dry) (Driver: Gas Turbine)</v>
      </c>
      <c r="D594" s="219">
        <v>5</v>
      </c>
      <c r="E594" s="221">
        <v>4.93</v>
      </c>
      <c r="F594" s="221"/>
      <c r="G594" s="221"/>
      <c r="H594" s="221">
        <v>0</v>
      </c>
      <c r="I594" s="221"/>
      <c r="J594" s="221"/>
      <c r="K594" s="219">
        <f t="shared" si="11"/>
        <v>96.46</v>
      </c>
      <c r="L594" s="219">
        <v>89.11</v>
      </c>
      <c r="M594" s="219">
        <v>7.35</v>
      </c>
      <c r="N594" s="219">
        <v>2832.46</v>
      </c>
      <c r="O594" s="219">
        <v>5</v>
      </c>
      <c r="P594" s="221"/>
      <c r="Q594" s="221"/>
      <c r="R594" s="221">
        <v>4</v>
      </c>
      <c r="S594" s="221"/>
      <c r="T594" s="221">
        <v>1</v>
      </c>
      <c r="U594" s="221"/>
      <c r="V594" s="221">
        <v>5</v>
      </c>
      <c r="W594" s="220">
        <v>6</v>
      </c>
      <c r="X594" s="220">
        <v>16</v>
      </c>
      <c r="Y594" s="220"/>
      <c r="Z594" s="221">
        <v>3</v>
      </c>
      <c r="AA594" s="220" t="s">
        <v>2474</v>
      </c>
      <c r="AC594" s="46">
        <v>0</v>
      </c>
    </row>
    <row r="595" spans="1:29" ht="16.5" customHeight="1" x14ac:dyDescent="0.3">
      <c r="A595" s="49"/>
      <c r="B595" s="54" t="str">
        <f ca="1">'Translation Table'!H2315</f>
        <v>Compressor: Reciprocating: (Stages: 1) (Driver: Electric Motor)</v>
      </c>
      <c r="C595" s="54" t="str">
        <f ca="1">'Translation Table'!H2315</f>
        <v>Compressor: Reciprocating: (Stages: 1) (Driver: Electric Motor)</v>
      </c>
      <c r="D595" s="219">
        <v>3</v>
      </c>
      <c r="E595" s="221">
        <v>3</v>
      </c>
      <c r="F595" s="221"/>
      <c r="G595" s="221"/>
      <c r="H595" s="221">
        <v>0</v>
      </c>
      <c r="I595" s="221"/>
      <c r="J595" s="221"/>
      <c r="K595" s="219">
        <f t="shared" si="11"/>
        <v>38.17</v>
      </c>
      <c r="L595" s="219">
        <v>33.5</v>
      </c>
      <c r="M595" s="219">
        <v>4.67</v>
      </c>
      <c r="N595" s="219">
        <v>489.83</v>
      </c>
      <c r="O595" s="219">
        <v>1.33</v>
      </c>
      <c r="P595" s="221">
        <v>4</v>
      </c>
      <c r="Q595" s="221"/>
      <c r="R595" s="221"/>
      <c r="S595" s="221">
        <v>1</v>
      </c>
      <c r="T595" s="221">
        <v>1</v>
      </c>
      <c r="U595" s="221">
        <v>0</v>
      </c>
      <c r="V595" s="221">
        <v>3</v>
      </c>
      <c r="W595" s="220">
        <v>4</v>
      </c>
      <c r="X595" s="220">
        <v>20</v>
      </c>
      <c r="Y595" s="220"/>
      <c r="Z595" s="221">
        <v>1</v>
      </c>
      <c r="AA595" s="220" t="s">
        <v>2474</v>
      </c>
      <c r="AC595" s="46">
        <v>0</v>
      </c>
    </row>
    <row r="596" spans="1:29" ht="16.5" customHeight="1" x14ac:dyDescent="0.3">
      <c r="A596" s="49"/>
      <c r="B596" s="130" t="str">
        <f ca="1">'Translation Table'!H2316</f>
        <v>Compressor: Reciprocating: (Stages: 1) (Driver: Recip Engine)</v>
      </c>
      <c r="C596" s="54" t="str">
        <f ca="1">'Translation Table'!H2316</f>
        <v>Compressor: Reciprocating: (Stages: 1) (Driver: Recip Engine)</v>
      </c>
      <c r="D596" s="219">
        <v>3.79</v>
      </c>
      <c r="E596" s="221">
        <v>3.43</v>
      </c>
      <c r="F596" s="221"/>
      <c r="G596" s="221"/>
      <c r="H596" s="221">
        <v>0</v>
      </c>
      <c r="I596" s="221"/>
      <c r="J596" s="221"/>
      <c r="K596" s="219">
        <f t="shared" si="11"/>
        <v>50.53</v>
      </c>
      <c r="L596" s="219">
        <v>44.86</v>
      </c>
      <c r="M596" s="219">
        <v>5.67</v>
      </c>
      <c r="N596" s="219">
        <v>592.29999999999995</v>
      </c>
      <c r="O596" s="219">
        <v>2.33</v>
      </c>
      <c r="P596" s="221">
        <v>4</v>
      </c>
      <c r="Q596" s="221"/>
      <c r="R596" s="221"/>
      <c r="S596" s="221">
        <v>1</v>
      </c>
      <c r="T596" s="221">
        <v>1</v>
      </c>
      <c r="U596" s="221">
        <v>0</v>
      </c>
      <c r="V596" s="221">
        <v>3</v>
      </c>
      <c r="W596" s="220">
        <v>4</v>
      </c>
      <c r="X596" s="220">
        <v>20</v>
      </c>
      <c r="Y596" s="220"/>
      <c r="Z596" s="221">
        <v>1</v>
      </c>
      <c r="AA596" s="220" t="s">
        <v>2474</v>
      </c>
      <c r="AC596" s="46">
        <v>0</v>
      </c>
    </row>
    <row r="597" spans="1:29" ht="16.5" customHeight="1" x14ac:dyDescent="0.3">
      <c r="A597" s="49"/>
      <c r="B597" s="54" t="str">
        <f ca="1">'Translation Table'!H2317</f>
        <v>Compressor: Reciprocating: (Stages: 2) (Driver: Electric Motor)</v>
      </c>
      <c r="C597" s="54" t="str">
        <f ca="1">'Translation Table'!H2317</f>
        <v>Compressor: Reciprocating: (Stages: 2) (Driver: Electric Motor)</v>
      </c>
      <c r="D597" s="219">
        <v>3</v>
      </c>
      <c r="E597" s="221">
        <v>3.33</v>
      </c>
      <c r="F597" s="221"/>
      <c r="G597" s="221"/>
      <c r="H597" s="221">
        <v>0</v>
      </c>
      <c r="I597" s="221"/>
      <c r="J597" s="221"/>
      <c r="K597" s="219">
        <f t="shared" si="11"/>
        <v>43.83</v>
      </c>
      <c r="L597" s="219">
        <v>38.83</v>
      </c>
      <c r="M597" s="219">
        <v>5</v>
      </c>
      <c r="N597" s="219">
        <v>786.17</v>
      </c>
      <c r="O597" s="219">
        <v>1.67</v>
      </c>
      <c r="P597" s="221">
        <v>4</v>
      </c>
      <c r="Q597" s="221"/>
      <c r="R597" s="221"/>
      <c r="S597" s="221">
        <v>1</v>
      </c>
      <c r="T597" s="221">
        <v>1</v>
      </c>
      <c r="U597" s="221">
        <v>0</v>
      </c>
      <c r="V597" s="221">
        <v>4</v>
      </c>
      <c r="W597" s="220">
        <v>8</v>
      </c>
      <c r="X597" s="220">
        <v>40</v>
      </c>
      <c r="Y597" s="220"/>
      <c r="Z597" s="221">
        <v>2</v>
      </c>
      <c r="AA597" s="220" t="s">
        <v>2474</v>
      </c>
      <c r="AC597" s="46">
        <v>0</v>
      </c>
    </row>
    <row r="598" spans="1:29" ht="16.5" customHeight="1" x14ac:dyDescent="0.3">
      <c r="A598" s="49"/>
      <c r="B598" s="130" t="str">
        <f ca="1">'Translation Table'!H2318</f>
        <v>Compressor: Reciprocating: (Stages: 2) (Driver: Recip Engine)</v>
      </c>
      <c r="C598" s="54" t="str">
        <f ca="1">'Translation Table'!H2318</f>
        <v>Compressor: Reciprocating: (Stages: 2) (Driver: Recip Engine)</v>
      </c>
      <c r="D598" s="219">
        <v>3.79</v>
      </c>
      <c r="E598" s="221">
        <v>3.76</v>
      </c>
      <c r="F598" s="221"/>
      <c r="G598" s="221"/>
      <c r="H598" s="221">
        <v>0</v>
      </c>
      <c r="I598" s="221"/>
      <c r="J598" s="221"/>
      <c r="K598" s="219">
        <f t="shared" si="11"/>
        <v>56.19</v>
      </c>
      <c r="L598" s="219">
        <v>50.19</v>
      </c>
      <c r="M598" s="219">
        <v>6</v>
      </c>
      <c r="N598" s="219">
        <v>888.63</v>
      </c>
      <c r="O598" s="219">
        <v>2.67</v>
      </c>
      <c r="P598" s="221">
        <v>4</v>
      </c>
      <c r="Q598" s="221"/>
      <c r="R598" s="221"/>
      <c r="S598" s="221">
        <v>1</v>
      </c>
      <c r="T598" s="221">
        <v>1</v>
      </c>
      <c r="U598" s="221">
        <v>0</v>
      </c>
      <c r="V598" s="221">
        <v>4</v>
      </c>
      <c r="W598" s="220">
        <v>8</v>
      </c>
      <c r="X598" s="220">
        <v>40</v>
      </c>
      <c r="Y598" s="220"/>
      <c r="Z598" s="221">
        <v>2</v>
      </c>
      <c r="AA598" s="220" t="s">
        <v>2474</v>
      </c>
      <c r="AC598" s="46">
        <v>0</v>
      </c>
    </row>
    <row r="599" spans="1:29" ht="16.5" customHeight="1" x14ac:dyDescent="0.3">
      <c r="A599" s="49"/>
      <c r="B599" s="54" t="str">
        <f ca="1">'Translation Table'!H2319</f>
        <v>Compressor: Reciprocating: (Stages: 3) (Driver: Electric Motor)</v>
      </c>
      <c r="C599" s="54" t="str">
        <f ca="1">'Translation Table'!H2319</f>
        <v>Compressor: Reciprocating: (Stages: 3) (Driver: Electric Motor)</v>
      </c>
      <c r="D599" s="219">
        <v>4</v>
      </c>
      <c r="E599" s="221">
        <v>4.33</v>
      </c>
      <c r="F599" s="221"/>
      <c r="G599" s="221"/>
      <c r="H599" s="221">
        <v>0</v>
      </c>
      <c r="I599" s="221"/>
      <c r="J599" s="221"/>
      <c r="K599" s="219">
        <f t="shared" si="11"/>
        <v>56.83</v>
      </c>
      <c r="L599" s="219">
        <v>51.5</v>
      </c>
      <c r="M599" s="219">
        <v>5.33</v>
      </c>
      <c r="N599" s="219">
        <v>1138.5</v>
      </c>
      <c r="O599" s="219">
        <v>2</v>
      </c>
      <c r="P599" s="221">
        <v>6</v>
      </c>
      <c r="Q599" s="221"/>
      <c r="R599" s="221"/>
      <c r="S599" s="221">
        <v>1</v>
      </c>
      <c r="T599" s="221">
        <v>1</v>
      </c>
      <c r="U599" s="221">
        <v>0</v>
      </c>
      <c r="V599" s="221">
        <v>5</v>
      </c>
      <c r="W599" s="220">
        <v>12</v>
      </c>
      <c r="X599" s="220">
        <v>60</v>
      </c>
      <c r="Y599" s="220"/>
      <c r="Z599" s="221">
        <v>3</v>
      </c>
      <c r="AA599" s="220" t="s">
        <v>2474</v>
      </c>
      <c r="AC599" s="46">
        <v>0</v>
      </c>
    </row>
    <row r="600" spans="1:29" ht="16.5" customHeight="1" x14ac:dyDescent="0.3">
      <c r="A600" s="49"/>
      <c r="B600" s="130" t="str">
        <f ca="1">'Translation Table'!H2320</f>
        <v>Compressor: Reciprocating: (Stages: 3) (Driver: Recip Engine)</v>
      </c>
      <c r="C600" s="54" t="str">
        <f ca="1">'Translation Table'!H2320</f>
        <v>Compressor: Reciprocating: (Stages: 3) (Driver: Recip Engine)</v>
      </c>
      <c r="D600" s="219">
        <v>4.29</v>
      </c>
      <c r="E600" s="221">
        <v>4.76</v>
      </c>
      <c r="F600" s="221"/>
      <c r="G600" s="221"/>
      <c r="H600" s="221">
        <v>0</v>
      </c>
      <c r="I600" s="221"/>
      <c r="J600" s="221"/>
      <c r="K600" s="219">
        <f t="shared" si="11"/>
        <v>69.19</v>
      </c>
      <c r="L600" s="219">
        <v>62.86</v>
      </c>
      <c r="M600" s="219">
        <v>6.33</v>
      </c>
      <c r="N600" s="219">
        <v>1240.96</v>
      </c>
      <c r="O600" s="219">
        <v>3</v>
      </c>
      <c r="P600" s="221">
        <v>6</v>
      </c>
      <c r="Q600" s="221"/>
      <c r="R600" s="221"/>
      <c r="S600" s="221">
        <v>1</v>
      </c>
      <c r="T600" s="221">
        <v>1</v>
      </c>
      <c r="U600" s="221">
        <v>0</v>
      </c>
      <c r="V600" s="221">
        <v>5</v>
      </c>
      <c r="W600" s="220">
        <v>12</v>
      </c>
      <c r="X600" s="220">
        <v>60</v>
      </c>
      <c r="Y600" s="220"/>
      <c r="Z600" s="221">
        <v>3</v>
      </c>
      <c r="AA600" s="220" t="s">
        <v>2474</v>
      </c>
      <c r="AC600" s="46">
        <v>0</v>
      </c>
    </row>
    <row r="601" spans="1:29" ht="16.5" customHeight="1" x14ac:dyDescent="0.3">
      <c r="A601" s="49"/>
      <c r="B601" s="54" t="str">
        <f ca="1">'Translation Table'!H2321</f>
        <v>Compressor: Reciprocating: (Stages 4) (Driver: Electric Motor)</v>
      </c>
      <c r="C601" s="54" t="str">
        <f ca="1">'Translation Table'!H2321</f>
        <v>Compressor: Reciprocating: (Stages 4) (Driver: Electric Motor)</v>
      </c>
      <c r="D601" s="219">
        <v>7</v>
      </c>
      <c r="E601" s="221">
        <v>5.33</v>
      </c>
      <c r="F601" s="221"/>
      <c r="G601" s="221"/>
      <c r="H601" s="221">
        <v>0</v>
      </c>
      <c r="I601" s="221"/>
      <c r="J601" s="221"/>
      <c r="K601" s="219">
        <f t="shared" si="11"/>
        <v>69.84</v>
      </c>
      <c r="L601" s="219">
        <v>64.17</v>
      </c>
      <c r="M601" s="219">
        <v>5.67</v>
      </c>
      <c r="N601" s="219">
        <v>1490.83</v>
      </c>
      <c r="O601" s="219">
        <v>2.33</v>
      </c>
      <c r="P601" s="221">
        <v>8</v>
      </c>
      <c r="Q601" s="221"/>
      <c r="R601" s="221"/>
      <c r="S601" s="221">
        <v>1</v>
      </c>
      <c r="T601" s="221">
        <v>1</v>
      </c>
      <c r="U601" s="221">
        <v>0</v>
      </c>
      <c r="V601" s="221">
        <v>6</v>
      </c>
      <c r="W601" s="220">
        <v>16</v>
      </c>
      <c r="X601" s="220">
        <v>80</v>
      </c>
      <c r="Y601" s="220"/>
      <c r="Z601" s="221">
        <v>4</v>
      </c>
      <c r="AA601" s="220" t="s">
        <v>2474</v>
      </c>
    </row>
    <row r="602" spans="1:29" ht="16.5" customHeight="1" x14ac:dyDescent="0.3">
      <c r="A602" s="49"/>
      <c r="B602" s="130" t="str">
        <f ca="1">'Translation Table'!H2322</f>
        <v>Compressor: Reciprocating: (Stages 4) (Driver: Recip Engine)</v>
      </c>
      <c r="C602" s="54" t="str">
        <f ca="1">'Translation Table'!H2322</f>
        <v>Compressor: Reciprocating: (Stages 4) (Driver: Recip Engine)</v>
      </c>
      <c r="D602" s="219">
        <v>7.79</v>
      </c>
      <c r="E602" s="221">
        <v>5.76</v>
      </c>
      <c r="F602" s="221"/>
      <c r="G602" s="221"/>
      <c r="H602" s="221">
        <v>0</v>
      </c>
      <c r="I602" s="221"/>
      <c r="J602" s="221"/>
      <c r="K602" s="219">
        <f t="shared" si="11"/>
        <v>82.19</v>
      </c>
      <c r="L602" s="219">
        <v>75.52</v>
      </c>
      <c r="M602" s="219">
        <v>6.67</v>
      </c>
      <c r="N602" s="219">
        <v>1593.3</v>
      </c>
      <c r="O602" s="219">
        <v>3.33</v>
      </c>
      <c r="P602" s="221">
        <v>8</v>
      </c>
      <c r="Q602" s="221"/>
      <c r="R602" s="221"/>
      <c r="S602" s="221">
        <v>1</v>
      </c>
      <c r="T602" s="221">
        <v>1</v>
      </c>
      <c r="U602" s="221">
        <v>0</v>
      </c>
      <c r="V602" s="221">
        <v>6</v>
      </c>
      <c r="W602" s="220">
        <v>16</v>
      </c>
      <c r="X602" s="220">
        <v>80</v>
      </c>
      <c r="Y602" s="220"/>
      <c r="Z602" s="221">
        <v>4</v>
      </c>
      <c r="AA602" s="220" t="s">
        <v>2474</v>
      </c>
    </row>
    <row r="603" spans="1:29" ht="16.5" customHeight="1" x14ac:dyDescent="0.3">
      <c r="A603" s="49"/>
      <c r="B603" s="54" t="str">
        <f ca="1">'Translation Table'!H2323</f>
        <v>Compressor: Screw (Driver: Electric Motor)</v>
      </c>
      <c r="C603" s="54" t="str">
        <f ca="1">'Translation Table'!H2323</f>
        <v>Compressor: Screw (Driver: Electric Motor)</v>
      </c>
      <c r="D603" s="219">
        <v>2</v>
      </c>
      <c r="E603" s="221">
        <v>0</v>
      </c>
      <c r="F603" s="221"/>
      <c r="G603" s="221"/>
      <c r="H603" s="221">
        <v>0</v>
      </c>
      <c r="I603" s="221"/>
      <c r="J603" s="221"/>
      <c r="K603" s="219">
        <f t="shared" si="11"/>
        <v>33.5</v>
      </c>
      <c r="L603" s="219">
        <v>33.5</v>
      </c>
      <c r="M603" s="219"/>
      <c r="N603" s="219">
        <v>205.5</v>
      </c>
      <c r="O603" s="219">
        <v>1.5</v>
      </c>
      <c r="P603" s="221">
        <v>0</v>
      </c>
      <c r="Q603" s="221"/>
      <c r="R603" s="221"/>
      <c r="S603" s="221"/>
      <c r="T603" s="221"/>
      <c r="U603" s="221"/>
      <c r="V603" s="221">
        <v>3</v>
      </c>
      <c r="W603" s="220">
        <v>3</v>
      </c>
      <c r="X603" s="220">
        <v>6</v>
      </c>
      <c r="Y603" s="220"/>
      <c r="Z603" s="221">
        <v>1</v>
      </c>
      <c r="AA603" s="220" t="s">
        <v>2474</v>
      </c>
      <c r="AC603" s="46">
        <v>0</v>
      </c>
    </row>
    <row r="604" spans="1:29" ht="16.5" customHeight="1" x14ac:dyDescent="0.3">
      <c r="A604" s="49"/>
      <c r="B604" s="130" t="str">
        <f ca="1">'Translation Table'!H2324</f>
        <v>Compressor: Screw (Driver: Recip Engine)</v>
      </c>
      <c r="C604" s="54" t="str">
        <f ca="1">'Translation Table'!H2324</f>
        <v>Compressor: Screw (Driver: Recip Engine)</v>
      </c>
      <c r="D604" s="219">
        <v>2</v>
      </c>
      <c r="E604" s="221">
        <v>0</v>
      </c>
      <c r="F604" s="221"/>
      <c r="G604" s="221"/>
      <c r="H604" s="221">
        <v>0</v>
      </c>
      <c r="I604" s="221"/>
      <c r="J604" s="221"/>
      <c r="K604" s="219">
        <f t="shared" si="11"/>
        <v>36</v>
      </c>
      <c r="L604" s="219">
        <v>36</v>
      </c>
      <c r="M604" s="219"/>
      <c r="N604" s="219">
        <v>228</v>
      </c>
      <c r="O604" s="219">
        <v>2</v>
      </c>
      <c r="P604" s="221">
        <v>0</v>
      </c>
      <c r="Q604" s="221"/>
      <c r="R604" s="221"/>
      <c r="S604" s="221"/>
      <c r="T604" s="221"/>
      <c r="U604" s="221"/>
      <c r="V604" s="221">
        <v>3</v>
      </c>
      <c r="W604" s="220">
        <v>3</v>
      </c>
      <c r="X604" s="220">
        <v>6</v>
      </c>
      <c r="Y604" s="220"/>
      <c r="Z604" s="221">
        <v>1</v>
      </c>
      <c r="AA604" s="220" t="s">
        <v>517</v>
      </c>
      <c r="AC604" s="46">
        <v>0</v>
      </c>
    </row>
    <row r="605" spans="1:29" ht="16.5" customHeight="1" x14ac:dyDescent="0.3">
      <c r="A605" s="49"/>
      <c r="B605" s="54" t="str">
        <f ca="1">'Translation Table'!H2325</f>
        <v>Dehydration: Desiccant (Adsorber Columns: 2)</v>
      </c>
      <c r="C605" s="54" t="str">
        <f ca="1">'Translation Table'!H2325</f>
        <v>Dehydration: Desiccant (Adsorber Columns: 2)</v>
      </c>
      <c r="D605" s="219">
        <v>2</v>
      </c>
      <c r="E605" s="221">
        <v>0</v>
      </c>
      <c r="F605" s="221"/>
      <c r="G605" s="221"/>
      <c r="H605" s="221">
        <v>0</v>
      </c>
      <c r="I605" s="221"/>
      <c r="J605" s="221"/>
      <c r="K605" s="219">
        <f t="shared" si="11"/>
        <v>24</v>
      </c>
      <c r="L605" s="219">
        <v>24</v>
      </c>
      <c r="M605" s="219"/>
      <c r="N605" s="219">
        <v>100</v>
      </c>
      <c r="O605" s="219">
        <v>2</v>
      </c>
      <c r="P605" s="221"/>
      <c r="Q605" s="221"/>
      <c r="R605" s="221"/>
      <c r="S605" s="221"/>
      <c r="T605" s="221"/>
      <c r="U605" s="221"/>
      <c r="V605" s="221">
        <v>5</v>
      </c>
      <c r="W605" s="220">
        <v>7</v>
      </c>
      <c r="X605" s="220">
        <v>14</v>
      </c>
      <c r="Y605" s="220"/>
      <c r="Z605" s="221">
        <v>3</v>
      </c>
      <c r="AA605" s="220" t="s">
        <v>517</v>
      </c>
      <c r="AC605" s="46">
        <v>0</v>
      </c>
    </row>
    <row r="606" spans="1:29" ht="16.5" customHeight="1" x14ac:dyDescent="0.3">
      <c r="A606" s="49"/>
      <c r="B606" s="130" t="str">
        <f ca="1">'Translation Table'!H2326</f>
        <v>Dehydration: Desiccant (Adsorber Columns: 3)</v>
      </c>
      <c r="C606" s="54" t="str">
        <f ca="1">'Translation Table'!H2326</f>
        <v>Dehydration: Desiccant (Adsorber Columns: 3)</v>
      </c>
      <c r="D606" s="219">
        <v>3</v>
      </c>
      <c r="E606" s="221">
        <v>0</v>
      </c>
      <c r="F606" s="221"/>
      <c r="G606" s="221"/>
      <c r="H606" s="221">
        <v>0</v>
      </c>
      <c r="I606" s="221"/>
      <c r="J606" s="221"/>
      <c r="K606" s="219">
        <f t="shared" si="11"/>
        <v>30</v>
      </c>
      <c r="L606" s="219">
        <v>30</v>
      </c>
      <c r="M606" s="219"/>
      <c r="N606" s="219">
        <v>84</v>
      </c>
      <c r="O606" s="219">
        <v>2</v>
      </c>
      <c r="P606" s="221"/>
      <c r="Q606" s="221"/>
      <c r="R606" s="221"/>
      <c r="S606" s="221"/>
      <c r="T606" s="221"/>
      <c r="U606" s="221"/>
      <c r="V606" s="221">
        <v>5</v>
      </c>
      <c r="W606" s="220">
        <v>10</v>
      </c>
      <c r="X606" s="220">
        <v>20</v>
      </c>
      <c r="Y606" s="220"/>
      <c r="Z606" s="221">
        <v>4</v>
      </c>
      <c r="AA606" s="220" t="s">
        <v>2474</v>
      </c>
      <c r="AC606" s="46">
        <v>0</v>
      </c>
    </row>
    <row r="607" spans="1:29" ht="16.5" customHeight="1" x14ac:dyDescent="0.3">
      <c r="A607" s="49"/>
      <c r="B607" s="54" t="str">
        <f ca="1">'Translation Table'!H2327</f>
        <v>Dehydration: Glycol (with Gas-assisted Pump)</v>
      </c>
      <c r="C607" s="54" t="str">
        <f ca="1">'Translation Table'!H2327</f>
        <v>Dehydration: Glycol (with Gas-assisted Pump)</v>
      </c>
      <c r="D607" s="219">
        <v>1</v>
      </c>
      <c r="E607" s="221">
        <v>0</v>
      </c>
      <c r="F607" s="221"/>
      <c r="G607" s="221"/>
      <c r="H607" s="221">
        <v>0</v>
      </c>
      <c r="I607" s="221"/>
      <c r="J607" s="221"/>
      <c r="K607" s="219">
        <f t="shared" si="11"/>
        <v>24</v>
      </c>
      <c r="L607" s="219">
        <v>24</v>
      </c>
      <c r="M607" s="219"/>
      <c r="N607" s="219">
        <v>100</v>
      </c>
      <c r="O607" s="219">
        <v>2</v>
      </c>
      <c r="P607" s="221"/>
      <c r="Q607" s="221"/>
      <c r="R607" s="221"/>
      <c r="S607" s="221"/>
      <c r="T607" s="221"/>
      <c r="U607" s="221"/>
      <c r="V607" s="221">
        <v>5</v>
      </c>
      <c r="W607" s="220">
        <v>7</v>
      </c>
      <c r="X607" s="220">
        <v>14</v>
      </c>
      <c r="Y607" s="220"/>
      <c r="Z607" s="221">
        <v>2</v>
      </c>
      <c r="AA607" s="220" t="s">
        <v>517</v>
      </c>
      <c r="AC607" s="46">
        <v>0</v>
      </c>
    </row>
    <row r="608" spans="1:29" ht="16.5" customHeight="1" x14ac:dyDescent="0.3">
      <c r="A608" s="49"/>
      <c r="B608" s="130" t="str">
        <f ca="1">'Translation Table'!H2328</f>
        <v>Dehydration: Glycol (without Gas-assisted Pump)</v>
      </c>
      <c r="C608" s="54" t="str">
        <f ca="1">'Translation Table'!H2328</f>
        <v>Dehydration: Glycol (without Gas-assisted Pump)</v>
      </c>
      <c r="D608" s="219">
        <v>1</v>
      </c>
      <c r="E608" s="221">
        <v>0</v>
      </c>
      <c r="F608" s="221"/>
      <c r="G608" s="221"/>
      <c r="H608" s="221">
        <v>0</v>
      </c>
      <c r="I608" s="221"/>
      <c r="J608" s="221"/>
      <c r="K608" s="219">
        <f t="shared" si="11"/>
        <v>24</v>
      </c>
      <c r="L608" s="219">
        <v>24</v>
      </c>
      <c r="M608" s="219"/>
      <c r="N608" s="219">
        <v>100</v>
      </c>
      <c r="O608" s="219">
        <v>2</v>
      </c>
      <c r="P608" s="221"/>
      <c r="Q608" s="221"/>
      <c r="R608" s="221"/>
      <c r="S608" s="221"/>
      <c r="T608" s="221"/>
      <c r="U608" s="221"/>
      <c r="V608" s="221">
        <v>5</v>
      </c>
      <c r="W608" s="220">
        <v>7</v>
      </c>
      <c r="X608" s="220">
        <v>14</v>
      </c>
      <c r="Y608" s="220"/>
      <c r="Z608" s="221">
        <v>2</v>
      </c>
      <c r="AA608" s="220" t="s">
        <v>517</v>
      </c>
      <c r="AC608" s="46">
        <v>0</v>
      </c>
    </row>
    <row r="609" spans="1:29" ht="16.5" customHeight="1" x14ac:dyDescent="0.3">
      <c r="A609" s="49"/>
      <c r="B609" s="54" t="str">
        <f ca="1">'Translation Table'!H2329</f>
        <v>Flare System: Generic (Including Knock-out Drum)</v>
      </c>
      <c r="C609" s="54" t="str">
        <f ca="1">'Translation Table'!H2329</f>
        <v>Flare System: Generic (Including Knock-out Drum)</v>
      </c>
      <c r="D609" s="219">
        <v>0</v>
      </c>
      <c r="E609" s="221">
        <v>5</v>
      </c>
      <c r="F609" s="221"/>
      <c r="G609" s="221"/>
      <c r="H609" s="221">
        <v>0</v>
      </c>
      <c r="I609" s="221"/>
      <c r="J609" s="221"/>
      <c r="K609" s="219">
        <f t="shared" si="11"/>
        <v>35</v>
      </c>
      <c r="L609" s="219">
        <v>35</v>
      </c>
      <c r="M609" s="219"/>
      <c r="N609" s="219">
        <v>114</v>
      </c>
      <c r="O609" s="219">
        <v>1</v>
      </c>
      <c r="P609" s="221"/>
      <c r="Q609" s="221"/>
      <c r="R609" s="221"/>
      <c r="S609" s="221"/>
      <c r="T609" s="221"/>
      <c r="U609" s="221"/>
      <c r="V609" s="221">
        <v>1</v>
      </c>
      <c r="W609" s="220">
        <v>0</v>
      </c>
      <c r="X609" s="220">
        <v>0</v>
      </c>
      <c r="Y609" s="220"/>
      <c r="Z609" s="221">
        <v>1</v>
      </c>
      <c r="AA609" s="220" t="s">
        <v>2082</v>
      </c>
      <c r="AC609" s="46">
        <v>0</v>
      </c>
    </row>
    <row r="610" spans="1:29" ht="16.5" customHeight="1" x14ac:dyDescent="0.3">
      <c r="A610" s="49"/>
      <c r="B610" s="130" t="str">
        <f ca="1">'Translation Table'!H2330</f>
        <v>Fractionation Tower: Crude Oil</v>
      </c>
      <c r="C610" s="54" t="str">
        <f ca="1">'Translation Table'!H2330</f>
        <v>Fractionation Tower: Crude Oil</v>
      </c>
      <c r="D610" s="219">
        <v>1</v>
      </c>
      <c r="E610" s="221">
        <v>0</v>
      </c>
      <c r="F610" s="221"/>
      <c r="G610" s="221"/>
      <c r="H610" s="221">
        <v>0</v>
      </c>
      <c r="I610" s="221"/>
      <c r="J610" s="221"/>
      <c r="K610" s="219">
        <f t="shared" si="11"/>
        <v>12</v>
      </c>
      <c r="L610" s="219">
        <v>12</v>
      </c>
      <c r="M610" s="219">
        <v>0</v>
      </c>
      <c r="N610" s="219">
        <v>40</v>
      </c>
      <c r="O610" s="219">
        <v>2</v>
      </c>
      <c r="P610" s="221"/>
      <c r="Q610" s="221"/>
      <c r="R610" s="221"/>
      <c r="S610" s="221"/>
      <c r="T610" s="221"/>
      <c r="U610" s="221"/>
      <c r="V610" s="221">
        <v>5</v>
      </c>
      <c r="W610" s="220">
        <v>85</v>
      </c>
      <c r="X610" s="220">
        <v>290</v>
      </c>
      <c r="Y610" s="220"/>
      <c r="Z610" s="221">
        <v>1</v>
      </c>
      <c r="AA610" s="220" t="s">
        <v>2474</v>
      </c>
    </row>
    <row r="611" spans="1:29" ht="16.5" customHeight="1" x14ac:dyDescent="0.3">
      <c r="A611" s="49"/>
      <c r="B611" s="54" t="str">
        <f ca="1">'Translation Table'!H2331</f>
        <v>Heat Exchanger: Natural Gas/Steam</v>
      </c>
      <c r="C611" s="54" t="str">
        <f ca="1">'Translation Table'!H2331</f>
        <v>Heat Exchanger: Natural Gas/Steam</v>
      </c>
      <c r="D611" s="219">
        <v>0</v>
      </c>
      <c r="E611" s="219">
        <v>0</v>
      </c>
      <c r="F611" s="219"/>
      <c r="G611" s="219"/>
      <c r="H611" s="219">
        <v>0</v>
      </c>
      <c r="I611" s="219"/>
      <c r="J611" s="219"/>
      <c r="K611" s="219">
        <f t="shared" si="11"/>
        <v>4</v>
      </c>
      <c r="L611" s="219">
        <v>3</v>
      </c>
      <c r="M611" s="219">
        <v>1</v>
      </c>
      <c r="N611" s="219">
        <v>10</v>
      </c>
      <c r="O611" s="219">
        <v>0</v>
      </c>
      <c r="P611" s="219"/>
      <c r="Q611" s="219"/>
      <c r="R611" s="219"/>
      <c r="S611" s="219"/>
      <c r="T611" s="219"/>
      <c r="U611" s="219"/>
      <c r="V611" s="219">
        <v>0</v>
      </c>
      <c r="W611" s="219">
        <v>0</v>
      </c>
      <c r="X611" s="219">
        <v>0</v>
      </c>
      <c r="Y611" s="219"/>
      <c r="Z611" s="219">
        <v>0</v>
      </c>
      <c r="AA611" s="220" t="s">
        <v>2474</v>
      </c>
      <c r="AC611" s="46">
        <v>0</v>
      </c>
    </row>
    <row r="612" spans="1:29" ht="16.5" customHeight="1" x14ac:dyDescent="0.3">
      <c r="A612" s="49"/>
      <c r="B612" s="130" t="str">
        <f ca="1">'Translation Table'!H2332</f>
        <v>Heat Exchanger: Natural Gas/Natural Gas</v>
      </c>
      <c r="C612" s="54" t="str">
        <f ca="1">'Translation Table'!H2332</f>
        <v>Heat Exchanger: Natural Gas/Natural Gas</v>
      </c>
      <c r="D612" s="219">
        <v>0</v>
      </c>
      <c r="E612" s="219">
        <v>0</v>
      </c>
      <c r="F612" s="219"/>
      <c r="G612" s="219"/>
      <c r="H612" s="219">
        <v>0</v>
      </c>
      <c r="I612" s="219"/>
      <c r="J612" s="219"/>
      <c r="K612" s="219">
        <f t="shared" si="11"/>
        <v>10</v>
      </c>
      <c r="L612" s="219">
        <v>8</v>
      </c>
      <c r="M612" s="219">
        <v>2</v>
      </c>
      <c r="N612" s="219">
        <v>22</v>
      </c>
      <c r="O612" s="219">
        <v>0</v>
      </c>
      <c r="P612" s="219"/>
      <c r="Q612" s="219"/>
      <c r="R612" s="219"/>
      <c r="S612" s="219"/>
      <c r="T612" s="219"/>
      <c r="U612" s="219"/>
      <c r="V612" s="219">
        <v>0</v>
      </c>
      <c r="W612" s="219">
        <v>0</v>
      </c>
      <c r="X612" s="219">
        <v>0</v>
      </c>
      <c r="Y612" s="219"/>
      <c r="Z612" s="219">
        <v>0</v>
      </c>
      <c r="AA612" s="220" t="s">
        <v>2474</v>
      </c>
      <c r="AC612" s="46">
        <v>0</v>
      </c>
    </row>
    <row r="613" spans="1:29" ht="16.5" customHeight="1" x14ac:dyDescent="0.3">
      <c r="A613" s="49"/>
      <c r="B613" s="54" t="str">
        <f ca="1">'Translation Table'!H2333</f>
        <v>Heat Exchanger: Natural Gas/Non-Hydrocarbon Liquid</v>
      </c>
      <c r="C613" s="54" t="str">
        <f ca="1">'Translation Table'!H2333</f>
        <v>Heat Exchanger: Natural Gas/Non-Hydrocarbon Liquid</v>
      </c>
      <c r="D613" s="219">
        <v>0</v>
      </c>
      <c r="E613" s="219">
        <v>0</v>
      </c>
      <c r="F613" s="219"/>
      <c r="G613" s="219"/>
      <c r="H613" s="219">
        <v>0</v>
      </c>
      <c r="I613" s="219"/>
      <c r="J613" s="219"/>
      <c r="K613" s="219">
        <f t="shared" si="11"/>
        <v>4</v>
      </c>
      <c r="L613" s="219">
        <v>3</v>
      </c>
      <c r="M613" s="219">
        <v>1</v>
      </c>
      <c r="N613" s="219">
        <v>10</v>
      </c>
      <c r="O613" s="219">
        <v>0</v>
      </c>
      <c r="P613" s="219"/>
      <c r="Q613" s="219"/>
      <c r="R613" s="219"/>
      <c r="S613" s="219"/>
      <c r="T613" s="219"/>
      <c r="U613" s="219"/>
      <c r="V613" s="219">
        <v>0</v>
      </c>
      <c r="W613" s="219">
        <v>0</v>
      </c>
      <c r="X613" s="219">
        <v>0</v>
      </c>
      <c r="Y613" s="219"/>
      <c r="Z613" s="219">
        <v>0</v>
      </c>
      <c r="AA613" s="220" t="s">
        <v>2474</v>
      </c>
    </row>
    <row r="614" spans="1:29" ht="16.5" customHeight="1" x14ac:dyDescent="0.3">
      <c r="A614" s="49"/>
      <c r="B614" s="130" t="str">
        <f ca="1">'Translation Table'!H2334</f>
        <v>Heat Exchanger: Natural Gas/Hydrocarbon Liquid</v>
      </c>
      <c r="C614" s="54" t="str">
        <f ca="1">'Translation Table'!H2334</f>
        <v>Heat Exchanger: Natural Gas/Hydrocarbon Liquid</v>
      </c>
      <c r="D614" s="219">
        <v>0</v>
      </c>
      <c r="E614" s="219">
        <v>0</v>
      </c>
      <c r="F614" s="219"/>
      <c r="G614" s="219"/>
      <c r="H614" s="219">
        <v>0</v>
      </c>
      <c r="I614" s="219"/>
      <c r="J614" s="219"/>
      <c r="K614" s="219">
        <f t="shared" si="11"/>
        <v>4</v>
      </c>
      <c r="L614" s="219">
        <v>3</v>
      </c>
      <c r="M614" s="219">
        <v>1</v>
      </c>
      <c r="N614" s="219">
        <v>10</v>
      </c>
      <c r="O614" s="219">
        <v>0</v>
      </c>
      <c r="P614" s="219"/>
      <c r="Q614" s="219"/>
      <c r="R614" s="219"/>
      <c r="S614" s="219"/>
      <c r="T614" s="219"/>
      <c r="U614" s="219"/>
      <c r="V614" s="219">
        <v>0</v>
      </c>
      <c r="W614" s="219">
        <v>5</v>
      </c>
      <c r="X614" s="219">
        <v>10</v>
      </c>
      <c r="Y614" s="219"/>
      <c r="Z614" s="219">
        <v>0</v>
      </c>
      <c r="AA614" s="220" t="s">
        <v>2474</v>
      </c>
    </row>
    <row r="615" spans="1:29" ht="16.5" customHeight="1" x14ac:dyDescent="0.3">
      <c r="A615" s="49"/>
      <c r="B615" s="54" t="str">
        <f ca="1">'Translation Table'!H2335</f>
        <v>Heat Exchanger: Steam/Hydrocarbon Liquid</v>
      </c>
      <c r="C615" s="54" t="str">
        <f ca="1">'Translation Table'!H2335</f>
        <v>Heat Exchanger: Steam/Hydrocarbon Liquid</v>
      </c>
      <c r="D615" s="219">
        <v>0</v>
      </c>
      <c r="E615" s="219">
        <v>0</v>
      </c>
      <c r="F615" s="219"/>
      <c r="G615" s="219"/>
      <c r="H615" s="219">
        <v>0</v>
      </c>
      <c r="I615" s="219"/>
      <c r="J615" s="219"/>
      <c r="K615" s="219">
        <f t="shared" si="11"/>
        <v>0</v>
      </c>
      <c r="L615" s="219">
        <v>0</v>
      </c>
      <c r="M615" s="219">
        <v>0</v>
      </c>
      <c r="N615" s="219">
        <v>0</v>
      </c>
      <c r="O615" s="219">
        <v>0</v>
      </c>
      <c r="P615" s="219"/>
      <c r="Q615" s="219"/>
      <c r="R615" s="219"/>
      <c r="S615" s="219"/>
      <c r="T615" s="219"/>
      <c r="U615" s="219"/>
      <c r="V615" s="219">
        <v>0</v>
      </c>
      <c r="W615" s="219">
        <v>5</v>
      </c>
      <c r="X615" s="219">
        <v>10</v>
      </c>
      <c r="Y615" s="219"/>
      <c r="Z615" s="219">
        <v>0</v>
      </c>
      <c r="AA615" s="220" t="s">
        <v>2474</v>
      </c>
    </row>
    <row r="616" spans="1:29" ht="16.5" customHeight="1" x14ac:dyDescent="0.3">
      <c r="A616" s="49"/>
      <c r="B616" s="130" t="str">
        <f ca="1">'Translation Table'!H2336</f>
        <v>Heat Exchanger: Hydrocarbon Liquid/Hydrocarbon Liquid</v>
      </c>
      <c r="C616" s="54" t="str">
        <f ca="1">'Translation Table'!H2336</f>
        <v>Heat Exchanger: Hydrocarbon Liquid/Hydrocarbon Liquid</v>
      </c>
      <c r="D616" s="219">
        <v>0</v>
      </c>
      <c r="E616" s="219">
        <v>0</v>
      </c>
      <c r="F616" s="219"/>
      <c r="G616" s="219"/>
      <c r="H616" s="219">
        <v>0</v>
      </c>
      <c r="I616" s="219"/>
      <c r="J616" s="219"/>
      <c r="K616" s="219">
        <f t="shared" si="11"/>
        <v>0</v>
      </c>
      <c r="L616" s="219">
        <v>0</v>
      </c>
      <c r="M616" s="219">
        <v>0</v>
      </c>
      <c r="N616" s="219">
        <v>0</v>
      </c>
      <c r="O616" s="219">
        <v>0</v>
      </c>
      <c r="P616" s="219"/>
      <c r="Q616" s="219"/>
      <c r="R616" s="219"/>
      <c r="S616" s="219"/>
      <c r="T616" s="219"/>
      <c r="U616" s="219"/>
      <c r="V616" s="219">
        <v>0</v>
      </c>
      <c r="W616" s="219">
        <v>10</v>
      </c>
      <c r="X616" s="219">
        <v>20</v>
      </c>
      <c r="Y616" s="219"/>
      <c r="Z616" s="219">
        <v>0</v>
      </c>
      <c r="AA616" s="220" t="s">
        <v>2474</v>
      </c>
    </row>
    <row r="617" spans="1:29" ht="16.5" customHeight="1" x14ac:dyDescent="0.3">
      <c r="A617" s="49"/>
      <c r="B617" s="54" t="str">
        <f ca="1">'Translation Table'!H2337</f>
        <v>Heater/Boiler/Reboiler: Generic (Burner Assemblies: 1)</v>
      </c>
      <c r="C617" s="54" t="str">
        <f ca="1">'Translation Table'!H2337</f>
        <v>Heater/Boiler/Reboiler: Generic (Burner Assemblies: 1)</v>
      </c>
      <c r="D617" s="219">
        <v>2.29</v>
      </c>
      <c r="E617" s="221">
        <v>0.43</v>
      </c>
      <c r="F617" s="221"/>
      <c r="G617" s="221"/>
      <c r="H617" s="221">
        <v>0</v>
      </c>
      <c r="I617" s="221"/>
      <c r="J617" s="221"/>
      <c r="K617" s="219">
        <f t="shared" si="11"/>
        <v>31.21</v>
      </c>
      <c r="L617" s="219">
        <v>29.71</v>
      </c>
      <c r="M617" s="219">
        <v>1.5</v>
      </c>
      <c r="N617" s="219">
        <v>222.61</v>
      </c>
      <c r="O617" s="219">
        <v>5.76</v>
      </c>
      <c r="P617" s="221"/>
      <c r="Q617" s="221"/>
      <c r="R617" s="221"/>
      <c r="S617" s="221"/>
      <c r="T617" s="221"/>
      <c r="U617" s="221"/>
      <c r="V617" s="221">
        <v>0</v>
      </c>
      <c r="W617" s="220">
        <v>0</v>
      </c>
      <c r="X617" s="220">
        <v>0</v>
      </c>
      <c r="Y617" s="220"/>
      <c r="Z617" s="221">
        <v>1</v>
      </c>
      <c r="AA617" s="220" t="s">
        <v>2474</v>
      </c>
      <c r="AC617" s="46">
        <v>0</v>
      </c>
    </row>
    <row r="618" spans="1:29" ht="16.5" customHeight="1" x14ac:dyDescent="0.3">
      <c r="A618" s="49"/>
      <c r="B618" s="130" t="str">
        <f ca="1">'Translation Table'!H2338</f>
        <v>Heater/Boiler/Reboiler: Generic (Burner Assemblies: 2)</v>
      </c>
      <c r="C618" s="54" t="str">
        <f ca="1">'Translation Table'!H2338</f>
        <v>Heater/Boiler/Reboiler: Generic (Burner Assemblies: 2)</v>
      </c>
      <c r="D618" s="219">
        <v>7.59</v>
      </c>
      <c r="E618" s="221">
        <v>0.43</v>
      </c>
      <c r="F618" s="221"/>
      <c r="G618" s="221"/>
      <c r="H618" s="221">
        <v>0</v>
      </c>
      <c r="I618" s="221"/>
      <c r="J618" s="221"/>
      <c r="K618" s="219">
        <f t="shared" si="11"/>
        <v>44.510000000000005</v>
      </c>
      <c r="L618" s="219">
        <v>41.31</v>
      </c>
      <c r="M618" s="219">
        <v>3.2</v>
      </c>
      <c r="N618" s="219">
        <v>252.51</v>
      </c>
      <c r="O618" s="219">
        <v>7.59</v>
      </c>
      <c r="P618" s="221"/>
      <c r="Q618" s="221"/>
      <c r="R618" s="221"/>
      <c r="S618" s="221"/>
      <c r="T618" s="221"/>
      <c r="U618" s="221"/>
      <c r="V618" s="221">
        <v>0</v>
      </c>
      <c r="W618" s="220">
        <v>0</v>
      </c>
      <c r="X618" s="220">
        <v>0</v>
      </c>
      <c r="Y618" s="220"/>
      <c r="Z618" s="221">
        <v>1</v>
      </c>
      <c r="AA618" s="220" t="s">
        <v>2474</v>
      </c>
      <c r="AC618" s="46">
        <v>0</v>
      </c>
    </row>
    <row r="619" spans="1:29" ht="16.5" customHeight="1" x14ac:dyDescent="0.3">
      <c r="A619" s="49"/>
      <c r="B619" s="54" t="str">
        <f ca="1">'Translation Table'!H2339</f>
        <v>Heater/Boiler/Reboiler: Generic (Burner Assemblies: 3)</v>
      </c>
      <c r="C619" s="54" t="str">
        <f ca="1">'Translation Table'!H2339</f>
        <v>Heater/Boiler/Reboiler: Generic (Burner Assemblies: 3)</v>
      </c>
      <c r="D619" s="219">
        <v>12.89</v>
      </c>
      <c r="E619" s="221">
        <v>0.43</v>
      </c>
      <c r="F619" s="221"/>
      <c r="G619" s="221"/>
      <c r="H619" s="221">
        <v>0</v>
      </c>
      <c r="I619" s="221"/>
      <c r="J619" s="221"/>
      <c r="K619" s="219">
        <f t="shared" si="11"/>
        <v>57.809999999999995</v>
      </c>
      <c r="L619" s="219">
        <v>52.91</v>
      </c>
      <c r="M619" s="219">
        <v>4.9000000000000004</v>
      </c>
      <c r="N619" s="219">
        <v>282.41000000000003</v>
      </c>
      <c r="O619" s="219">
        <v>9.42</v>
      </c>
      <c r="P619" s="221"/>
      <c r="Q619" s="221"/>
      <c r="R619" s="221"/>
      <c r="S619" s="221"/>
      <c r="T619" s="221"/>
      <c r="U619" s="221"/>
      <c r="V619" s="221">
        <v>0</v>
      </c>
      <c r="W619" s="220">
        <v>0</v>
      </c>
      <c r="X619" s="220">
        <v>0</v>
      </c>
      <c r="Y619" s="220"/>
      <c r="Z619" s="221">
        <v>1</v>
      </c>
      <c r="AA619" s="220" t="s">
        <v>2474</v>
      </c>
      <c r="AC619" s="46">
        <v>0</v>
      </c>
    </row>
    <row r="620" spans="1:29" ht="16.5" customHeight="1" x14ac:dyDescent="0.3">
      <c r="A620" s="49"/>
      <c r="B620" s="130" t="str">
        <f ca="1">'Translation Table'!H2340</f>
        <v>Heater/Boiler/Reboiler: Line (Burner Assemblies: 1)</v>
      </c>
      <c r="C620" s="54" t="str">
        <f ca="1">'Translation Table'!H2340</f>
        <v>Heater/Boiler/Reboiler: Line (Burner Assemblies: 1)</v>
      </c>
      <c r="D620" s="219">
        <v>2.29</v>
      </c>
      <c r="E620" s="221">
        <v>0.43</v>
      </c>
      <c r="F620" s="221"/>
      <c r="G620" s="221"/>
      <c r="H620" s="221">
        <v>0</v>
      </c>
      <c r="I620" s="221"/>
      <c r="J620" s="221"/>
      <c r="K620" s="219">
        <f t="shared" si="11"/>
        <v>31.21</v>
      </c>
      <c r="L620" s="219">
        <v>29.71</v>
      </c>
      <c r="M620" s="219">
        <v>1.5</v>
      </c>
      <c r="N620" s="219">
        <v>222.61</v>
      </c>
      <c r="O620" s="219">
        <v>5.76</v>
      </c>
      <c r="P620" s="221"/>
      <c r="Q620" s="221"/>
      <c r="R620" s="221"/>
      <c r="S620" s="221"/>
      <c r="T620" s="221"/>
      <c r="U620" s="221"/>
      <c r="V620" s="221">
        <v>0</v>
      </c>
      <c r="W620" s="220">
        <v>0</v>
      </c>
      <c r="X620" s="220">
        <v>0</v>
      </c>
      <c r="Y620" s="220"/>
      <c r="Z620" s="221">
        <v>1</v>
      </c>
      <c r="AA620" s="220" t="s">
        <v>2474</v>
      </c>
    </row>
    <row r="621" spans="1:29" ht="16.5" customHeight="1" x14ac:dyDescent="0.3">
      <c r="A621" s="49"/>
      <c r="B621" s="54" t="str">
        <f ca="1">'Translation Table'!H2341</f>
        <v>Heater/Boiler/Reboiler: Line (Burner Assemblies: 2)</v>
      </c>
      <c r="C621" s="54" t="str">
        <f ca="1">'Translation Table'!H2341</f>
        <v>Heater/Boiler/Reboiler: Line (Burner Assemblies: 2)</v>
      </c>
      <c r="D621" s="219">
        <v>7.59</v>
      </c>
      <c r="E621" s="221">
        <v>0.43</v>
      </c>
      <c r="F621" s="221"/>
      <c r="G621" s="221"/>
      <c r="H621" s="221">
        <v>0</v>
      </c>
      <c r="I621" s="221"/>
      <c r="J621" s="221"/>
      <c r="K621" s="219">
        <f t="shared" si="11"/>
        <v>44.510000000000005</v>
      </c>
      <c r="L621" s="219">
        <v>41.31</v>
      </c>
      <c r="M621" s="219">
        <v>3.2</v>
      </c>
      <c r="N621" s="219">
        <v>252.51</v>
      </c>
      <c r="O621" s="219">
        <v>7.59</v>
      </c>
      <c r="P621" s="221"/>
      <c r="Q621" s="221"/>
      <c r="R621" s="221"/>
      <c r="S621" s="221"/>
      <c r="T621" s="221"/>
      <c r="U621" s="221"/>
      <c r="V621" s="221">
        <v>0</v>
      </c>
      <c r="W621" s="220">
        <v>0</v>
      </c>
      <c r="X621" s="220">
        <v>0</v>
      </c>
      <c r="Y621" s="220"/>
      <c r="Z621" s="221">
        <v>1</v>
      </c>
      <c r="AA621" s="220" t="s">
        <v>2474</v>
      </c>
    </row>
    <row r="622" spans="1:29" ht="16.5" customHeight="1" x14ac:dyDescent="0.3">
      <c r="A622" s="49"/>
      <c r="B622" s="130" t="str">
        <f ca="1">'Translation Table'!H2342</f>
        <v>Heater/Boiler/Reboiler: Line (Burner Assemblies: 3)</v>
      </c>
      <c r="C622" s="54" t="str">
        <f ca="1">'Translation Table'!H2342</f>
        <v>Heater/Boiler/Reboiler: Line (Burner Assemblies: 3)</v>
      </c>
      <c r="D622" s="219">
        <v>12.89</v>
      </c>
      <c r="E622" s="221">
        <v>0.43</v>
      </c>
      <c r="F622" s="221"/>
      <c r="G622" s="221"/>
      <c r="H622" s="221">
        <v>0</v>
      </c>
      <c r="I622" s="221"/>
      <c r="J622" s="221"/>
      <c r="K622" s="219">
        <f t="shared" si="11"/>
        <v>57.809999999999995</v>
      </c>
      <c r="L622" s="219">
        <v>52.91</v>
      </c>
      <c r="M622" s="219">
        <v>4.9000000000000004</v>
      </c>
      <c r="N622" s="219">
        <v>282.41000000000003</v>
      </c>
      <c r="O622" s="219">
        <v>9.42</v>
      </c>
      <c r="P622" s="221"/>
      <c r="Q622" s="221"/>
      <c r="R622" s="221"/>
      <c r="S622" s="221"/>
      <c r="T622" s="221"/>
      <c r="U622" s="221"/>
      <c r="V622" s="221">
        <v>0</v>
      </c>
      <c r="W622" s="220">
        <v>0</v>
      </c>
      <c r="X622" s="220">
        <v>0</v>
      </c>
      <c r="Y622" s="220"/>
      <c r="Z622" s="221">
        <v>1</v>
      </c>
      <c r="AA622" s="220" t="s">
        <v>2474</v>
      </c>
    </row>
    <row r="623" spans="1:29" ht="16.5" customHeight="1" x14ac:dyDescent="0.3">
      <c r="A623" s="49"/>
      <c r="B623" s="54" t="str">
        <f ca="1">'Translation Table'!H2343</f>
        <v>Heater/Boiler/Reboiler: Treater (Burner Assemblies: 1)</v>
      </c>
      <c r="C623" s="54" t="str">
        <f ca="1">'Translation Table'!H2343</f>
        <v>Heater/Boiler/Reboiler: Treater (Burner Assemblies: 1)</v>
      </c>
      <c r="D623" s="219">
        <v>2.29</v>
      </c>
      <c r="E623" s="221">
        <v>0.43</v>
      </c>
      <c r="F623" s="221"/>
      <c r="G623" s="221"/>
      <c r="H623" s="221">
        <v>0</v>
      </c>
      <c r="I623" s="221"/>
      <c r="J623" s="221"/>
      <c r="K623" s="219">
        <f t="shared" si="11"/>
        <v>31.21</v>
      </c>
      <c r="L623" s="219">
        <v>29.71</v>
      </c>
      <c r="M623" s="219">
        <v>1.5</v>
      </c>
      <c r="N623" s="219">
        <v>222.61</v>
      </c>
      <c r="O623" s="219">
        <v>5.76</v>
      </c>
      <c r="P623" s="221"/>
      <c r="Q623" s="221"/>
      <c r="R623" s="221"/>
      <c r="S623" s="221"/>
      <c r="T623" s="221"/>
      <c r="U623" s="221"/>
      <c r="V623" s="221">
        <v>0</v>
      </c>
      <c r="W623" s="220">
        <v>0</v>
      </c>
      <c r="X623" s="220">
        <v>0</v>
      </c>
      <c r="Y623" s="220"/>
      <c r="Z623" s="221">
        <v>2</v>
      </c>
      <c r="AA623" s="220" t="s">
        <v>2474</v>
      </c>
      <c r="AC623" s="46">
        <v>0</v>
      </c>
    </row>
    <row r="624" spans="1:29" ht="16.5" customHeight="1" x14ac:dyDescent="0.3">
      <c r="A624" s="49"/>
      <c r="B624" s="130" t="str">
        <f ca="1">'Translation Table'!H2344</f>
        <v>Heater/Boiler/Reboiler: Treater (Burner Assemblies: 2)</v>
      </c>
      <c r="C624" s="54" t="str">
        <f ca="1">'Translation Table'!H2344</f>
        <v>Heater/Boiler/Reboiler: Treater (Burner Assemblies: 2)</v>
      </c>
      <c r="D624" s="219">
        <v>7.59</v>
      </c>
      <c r="E624" s="221">
        <v>0.43</v>
      </c>
      <c r="F624" s="221"/>
      <c r="G624" s="221"/>
      <c r="H624" s="221">
        <v>0</v>
      </c>
      <c r="I624" s="221"/>
      <c r="J624" s="221"/>
      <c r="K624" s="219">
        <f t="shared" si="11"/>
        <v>44.510000000000005</v>
      </c>
      <c r="L624" s="219">
        <v>41.31</v>
      </c>
      <c r="M624" s="219">
        <v>3.2</v>
      </c>
      <c r="N624" s="219">
        <v>252.51</v>
      </c>
      <c r="O624" s="219">
        <v>7.59</v>
      </c>
      <c r="P624" s="221"/>
      <c r="Q624" s="221"/>
      <c r="R624" s="221"/>
      <c r="S624" s="221"/>
      <c r="T624" s="221"/>
      <c r="U624" s="221"/>
      <c r="V624" s="221">
        <v>0</v>
      </c>
      <c r="W624" s="220">
        <v>0</v>
      </c>
      <c r="X624" s="220">
        <v>0</v>
      </c>
      <c r="Y624" s="220"/>
      <c r="Z624" s="221">
        <v>2</v>
      </c>
      <c r="AA624" s="220" t="s">
        <v>2474</v>
      </c>
      <c r="AC624" s="46">
        <v>0</v>
      </c>
    </row>
    <row r="625" spans="1:29" ht="16.5" customHeight="1" x14ac:dyDescent="0.3">
      <c r="A625" s="49"/>
      <c r="B625" s="54" t="str">
        <f ca="1">'Translation Table'!H2345</f>
        <v>Heater/Boiler/Reboiler: Treater (Burner Assemblies: 3)</v>
      </c>
      <c r="C625" s="54" t="str">
        <f ca="1">'Translation Table'!H2345</f>
        <v>Heater/Boiler/Reboiler: Treater (Burner Assemblies: 3)</v>
      </c>
      <c r="D625" s="219">
        <v>12.89</v>
      </c>
      <c r="E625" s="221">
        <v>0.43</v>
      </c>
      <c r="F625" s="221"/>
      <c r="G625" s="221"/>
      <c r="H625" s="221">
        <v>0</v>
      </c>
      <c r="I625" s="221"/>
      <c r="J625" s="221"/>
      <c r="K625" s="219">
        <f t="shared" si="11"/>
        <v>57.809999999999995</v>
      </c>
      <c r="L625" s="219">
        <v>52.91</v>
      </c>
      <c r="M625" s="219">
        <v>4.9000000000000004</v>
      </c>
      <c r="N625" s="219">
        <v>282.41000000000003</v>
      </c>
      <c r="O625" s="219">
        <v>9.42</v>
      </c>
      <c r="P625" s="221"/>
      <c r="Q625" s="221"/>
      <c r="R625" s="221"/>
      <c r="S625" s="221"/>
      <c r="T625" s="221"/>
      <c r="U625" s="221"/>
      <c r="V625" s="221">
        <v>0</v>
      </c>
      <c r="W625" s="220">
        <v>0</v>
      </c>
      <c r="X625" s="220">
        <v>0</v>
      </c>
      <c r="Y625" s="220"/>
      <c r="Z625" s="221">
        <v>2</v>
      </c>
      <c r="AA625" s="220" t="s">
        <v>2474</v>
      </c>
      <c r="AC625" s="46">
        <v>0</v>
      </c>
    </row>
    <row r="626" spans="1:29" ht="16.5" customHeight="1" x14ac:dyDescent="0.3">
      <c r="A626" s="49"/>
      <c r="B626" s="130" t="str">
        <f ca="1">'Translation Table'!H2346</f>
        <v>Hydrocarbon Dewpoint Control: Joule-Thomson Unit (Excluding Compressor)</v>
      </c>
      <c r="C626" s="54" t="str">
        <f ca="1">'Translation Table'!H2346</f>
        <v>Hydrocarbon Dewpoint Control: Joule-Thomson Unit (Excluding Compressor)</v>
      </c>
      <c r="D626" s="219">
        <v>0</v>
      </c>
      <c r="E626" s="221">
        <v>0</v>
      </c>
      <c r="F626" s="221"/>
      <c r="G626" s="221"/>
      <c r="H626" s="221">
        <v>0</v>
      </c>
      <c r="I626" s="221"/>
      <c r="J626" s="221"/>
      <c r="K626" s="219">
        <f t="shared" si="11"/>
        <v>19</v>
      </c>
      <c r="L626" s="219">
        <v>19</v>
      </c>
      <c r="M626" s="219"/>
      <c r="N626" s="219">
        <v>79</v>
      </c>
      <c r="O626" s="219">
        <v>2</v>
      </c>
      <c r="P626" s="221"/>
      <c r="Q626" s="221"/>
      <c r="R626" s="221"/>
      <c r="S626" s="221"/>
      <c r="T626" s="221"/>
      <c r="U626" s="221"/>
      <c r="V626" s="221">
        <v>2</v>
      </c>
      <c r="W626" s="220">
        <v>11</v>
      </c>
      <c r="X626" s="220">
        <v>41</v>
      </c>
      <c r="Y626" s="220"/>
      <c r="Z626" s="221">
        <v>0</v>
      </c>
      <c r="AA626" s="220" t="s">
        <v>517</v>
      </c>
      <c r="AC626" s="46">
        <v>0</v>
      </c>
    </row>
    <row r="627" spans="1:29" ht="16.5" customHeight="1" x14ac:dyDescent="0.3">
      <c r="A627" s="49"/>
      <c r="B627" s="54" t="str">
        <f ca="1">'Translation Table'!H2347</f>
        <v>Hydrocarbon Dewpoint Control: Propane Refrigeration</v>
      </c>
      <c r="C627" s="54" t="str">
        <f ca="1">'Translation Table'!H2347</f>
        <v>Hydrocarbon Dewpoint Control: Propane Refrigeration</v>
      </c>
      <c r="D627" s="219">
        <v>2</v>
      </c>
      <c r="E627" s="221">
        <v>0</v>
      </c>
      <c r="F627" s="221"/>
      <c r="G627" s="221"/>
      <c r="H627" s="221">
        <v>0</v>
      </c>
      <c r="I627" s="221"/>
      <c r="J627" s="221"/>
      <c r="K627" s="219">
        <f t="shared" si="11"/>
        <v>65</v>
      </c>
      <c r="L627" s="219">
        <v>65</v>
      </c>
      <c r="M627" s="219"/>
      <c r="N627" s="219">
        <v>170</v>
      </c>
      <c r="O627" s="219">
        <v>2</v>
      </c>
      <c r="P627" s="221"/>
      <c r="Q627" s="221"/>
      <c r="R627" s="221"/>
      <c r="S627" s="221"/>
      <c r="T627" s="221"/>
      <c r="U627" s="221"/>
      <c r="V627" s="221">
        <v>2</v>
      </c>
      <c r="W627" s="220">
        <v>13</v>
      </c>
      <c r="X627" s="220">
        <v>31</v>
      </c>
      <c r="Y627" s="220"/>
      <c r="Z627" s="221">
        <v>4</v>
      </c>
      <c r="AA627" s="220" t="s">
        <v>517</v>
      </c>
      <c r="AC627" s="46">
        <v>0</v>
      </c>
    </row>
    <row r="628" spans="1:29" ht="16.5" customHeight="1" x14ac:dyDescent="0.3">
      <c r="A628" s="49"/>
      <c r="B628" s="130" t="str">
        <f ca="1">'Translation Table'!H2348</f>
        <v>Inlet/Outlet Header: Gas Facilities (Fittings Per Pipeline)</v>
      </c>
      <c r="C628" s="54" t="str">
        <f ca="1">'Translation Table'!H2348</f>
        <v>Inlet/Outlet Header: Gas Facilities (Fittings Per Pipeline)</v>
      </c>
      <c r="D628" s="219">
        <v>0</v>
      </c>
      <c r="E628" s="221">
        <v>0</v>
      </c>
      <c r="F628" s="221"/>
      <c r="G628" s="221"/>
      <c r="H628" s="221">
        <v>0</v>
      </c>
      <c r="I628" s="221"/>
      <c r="J628" s="221"/>
      <c r="K628" s="219">
        <f t="shared" si="11"/>
        <v>7</v>
      </c>
      <c r="L628" s="219">
        <v>6</v>
      </c>
      <c r="M628" s="219">
        <v>1</v>
      </c>
      <c r="N628" s="219">
        <v>16</v>
      </c>
      <c r="O628" s="219">
        <v>0</v>
      </c>
      <c r="P628" s="221"/>
      <c r="Q628" s="221"/>
      <c r="R628" s="221"/>
      <c r="S628" s="221"/>
      <c r="T628" s="221"/>
      <c r="U628" s="221"/>
      <c r="V628" s="221">
        <v>0</v>
      </c>
      <c r="W628" s="220">
        <v>0</v>
      </c>
      <c r="X628" s="220">
        <v>0</v>
      </c>
      <c r="Y628" s="220"/>
      <c r="Z628" s="221">
        <v>0</v>
      </c>
      <c r="AA628" s="220" t="s">
        <v>2474</v>
      </c>
    </row>
    <row r="629" spans="1:29" ht="16.5" customHeight="1" x14ac:dyDescent="0.3">
      <c r="A629" s="49"/>
      <c r="B629" s="54" t="str">
        <f ca="1">'Translation Table'!H2349</f>
        <v>Inlet/Outlet Header: Oil Facilities (Fittings Per Pipeline)</v>
      </c>
      <c r="C629" s="54" t="str">
        <f ca="1">'Translation Table'!H2349</f>
        <v>Inlet/Outlet Header: Oil Facilities (Fittings Per Pipeline)</v>
      </c>
      <c r="D629" s="219">
        <v>0</v>
      </c>
      <c r="E629" s="221">
        <v>0</v>
      </c>
      <c r="F629" s="221"/>
      <c r="G629" s="221"/>
      <c r="H629" s="221">
        <v>0</v>
      </c>
      <c r="I629" s="221"/>
      <c r="J629" s="221"/>
      <c r="K629" s="219">
        <f t="shared" si="11"/>
        <v>0</v>
      </c>
      <c r="L629" s="219"/>
      <c r="M629" s="219"/>
      <c r="N629" s="219"/>
      <c r="O629" s="219"/>
      <c r="P629" s="221"/>
      <c r="Q629" s="221"/>
      <c r="R629" s="221"/>
      <c r="S629" s="221"/>
      <c r="T629" s="221"/>
      <c r="U629" s="221"/>
      <c r="V629" s="221">
        <v>0</v>
      </c>
      <c r="W629" s="220">
        <v>7</v>
      </c>
      <c r="X629" s="220">
        <v>16</v>
      </c>
      <c r="Y629" s="220"/>
      <c r="Z629" s="221">
        <v>0</v>
      </c>
      <c r="AA629" s="220" t="s">
        <v>2474</v>
      </c>
    </row>
    <row r="630" spans="1:29" ht="16.5" customHeight="1" x14ac:dyDescent="0.3">
      <c r="A630" s="49"/>
      <c r="B630" s="130" t="str">
        <f ca="1">'Translation Table'!H2350</f>
        <v>LPG Extraction: Deepcut (C2 to C4)</v>
      </c>
      <c r="C630" s="54" t="str">
        <f ca="1">'Translation Table'!H2350</f>
        <v>LPG Extraction: Deepcut (C2 to C4)</v>
      </c>
      <c r="D630" s="219">
        <v>10</v>
      </c>
      <c r="E630" s="221">
        <v>0</v>
      </c>
      <c r="F630" s="221"/>
      <c r="G630" s="221"/>
      <c r="H630" s="221">
        <v>0</v>
      </c>
      <c r="I630" s="221"/>
      <c r="J630" s="221"/>
      <c r="K630" s="219">
        <f t="shared" si="11"/>
        <v>131</v>
      </c>
      <c r="L630" s="219">
        <v>131</v>
      </c>
      <c r="M630" s="219"/>
      <c r="N630" s="219">
        <v>241</v>
      </c>
      <c r="O630" s="219">
        <v>4</v>
      </c>
      <c r="P630" s="221"/>
      <c r="Q630" s="221">
        <v>2</v>
      </c>
      <c r="R630" s="221"/>
      <c r="S630" s="221"/>
      <c r="T630" s="221"/>
      <c r="U630" s="221"/>
      <c r="V630" s="221">
        <v>14</v>
      </c>
      <c r="W630" s="220">
        <v>121</v>
      </c>
      <c r="X630" s="220">
        <v>386</v>
      </c>
      <c r="Y630" s="220">
        <v>2</v>
      </c>
      <c r="Z630" s="221">
        <v>6</v>
      </c>
      <c r="AA630" s="220" t="s">
        <v>517</v>
      </c>
      <c r="AC630" s="46">
        <v>0</v>
      </c>
    </row>
    <row r="631" spans="1:29" ht="16.5" customHeight="1" x14ac:dyDescent="0.3">
      <c r="A631" s="49"/>
      <c r="B631" s="54" t="str">
        <f ca="1">'Translation Table'!H2351</f>
        <v>LPG Extraction: Shallow Cut (C3 to C4)</v>
      </c>
      <c r="C631" s="54" t="str">
        <f ca="1">'Translation Table'!H2351</f>
        <v>LPG Extraction: Shallow Cut (C3 to C4)</v>
      </c>
      <c r="D631" s="219">
        <v>6</v>
      </c>
      <c r="E631" s="221">
        <v>0</v>
      </c>
      <c r="F631" s="221"/>
      <c r="G631" s="221"/>
      <c r="H631" s="221">
        <v>0</v>
      </c>
      <c r="I631" s="221"/>
      <c r="J631" s="221"/>
      <c r="K631" s="219">
        <f t="shared" si="11"/>
        <v>48</v>
      </c>
      <c r="L631" s="219">
        <v>48</v>
      </c>
      <c r="M631" s="219"/>
      <c r="N631" s="219">
        <v>123</v>
      </c>
      <c r="O631" s="219">
        <v>4</v>
      </c>
      <c r="P631" s="221"/>
      <c r="Q631" s="221"/>
      <c r="R631" s="221"/>
      <c r="S631" s="221"/>
      <c r="T631" s="221"/>
      <c r="U631" s="221"/>
      <c r="V631" s="221">
        <v>6</v>
      </c>
      <c r="W631" s="220">
        <v>2</v>
      </c>
      <c r="X631" s="220">
        <v>9</v>
      </c>
      <c r="Y631" s="220"/>
      <c r="Z631" s="221">
        <v>8</v>
      </c>
      <c r="AA631" s="220" t="s">
        <v>517</v>
      </c>
      <c r="AC631" s="46">
        <v>0</v>
      </c>
    </row>
    <row r="632" spans="1:29" ht="16.5" customHeight="1" x14ac:dyDescent="0.3">
      <c r="A632" s="49"/>
      <c r="B632" s="130" t="str">
        <f ca="1">'Translation Table'!H2352</f>
        <v>NGL – Natural Gas Liquefaction</v>
      </c>
      <c r="C632" s="54" t="str">
        <f ca="1">'Translation Table'!H2352</f>
        <v>NGL – Natural Gas Liquefaction</v>
      </c>
      <c r="D632" s="219">
        <v>10</v>
      </c>
      <c r="E632" s="221">
        <v>0</v>
      </c>
      <c r="F632" s="221"/>
      <c r="G632" s="221"/>
      <c r="H632" s="221">
        <v>0</v>
      </c>
      <c r="I632" s="221"/>
      <c r="J632" s="221"/>
      <c r="K632" s="219">
        <f t="shared" si="11"/>
        <v>131</v>
      </c>
      <c r="L632" s="219">
        <v>131</v>
      </c>
      <c r="M632" s="219"/>
      <c r="N632" s="219">
        <v>192</v>
      </c>
      <c r="O632" s="219">
        <v>6</v>
      </c>
      <c r="P632" s="221"/>
      <c r="Q632" s="221"/>
      <c r="R632" s="221"/>
      <c r="S632" s="221"/>
      <c r="T632" s="221"/>
      <c r="U632" s="221"/>
      <c r="V632" s="221">
        <v>10</v>
      </c>
      <c r="W632" s="220">
        <v>121</v>
      </c>
      <c r="X632" s="220">
        <v>386</v>
      </c>
      <c r="Y632" s="220"/>
      <c r="Z632" s="221">
        <v>8</v>
      </c>
      <c r="AA632" s="220" t="s">
        <v>517</v>
      </c>
      <c r="AC632" s="46">
        <v>0</v>
      </c>
    </row>
    <row r="633" spans="1:29" ht="16.5" customHeight="1" x14ac:dyDescent="0.3">
      <c r="A633" s="49"/>
      <c r="B633" s="54" t="str">
        <f ca="1">'Translation Table'!H2353</f>
        <v>PIG Receiver or Sender</v>
      </c>
      <c r="C633" s="54" t="str">
        <f ca="1">'Translation Table'!H2353</f>
        <v>PIG Receiver or Sender</v>
      </c>
      <c r="D633" s="219">
        <v>0</v>
      </c>
      <c r="E633" s="221">
        <v>0</v>
      </c>
      <c r="F633" s="221"/>
      <c r="G633" s="221"/>
      <c r="H633" s="221">
        <v>0</v>
      </c>
      <c r="I633" s="221"/>
      <c r="J633" s="221"/>
      <c r="K633" s="219">
        <f t="shared" si="11"/>
        <v>3</v>
      </c>
      <c r="L633" s="219">
        <v>3</v>
      </c>
      <c r="M633" s="219"/>
      <c r="N633" s="219">
        <v>241</v>
      </c>
      <c r="O633" s="219">
        <v>0</v>
      </c>
      <c r="P633" s="221"/>
      <c r="Q633" s="221"/>
      <c r="R633" s="221"/>
      <c r="S633" s="221"/>
      <c r="T633" s="221"/>
      <c r="U633" s="221"/>
      <c r="V633" s="221">
        <v>0</v>
      </c>
      <c r="W633" s="220"/>
      <c r="X633" s="220"/>
      <c r="Y633" s="220"/>
      <c r="Z633" s="221">
        <v>1</v>
      </c>
      <c r="AA633" s="220" t="s">
        <v>517</v>
      </c>
      <c r="AC633" s="46">
        <v>0</v>
      </c>
    </row>
    <row r="634" spans="1:29" ht="16.5" customHeight="1" x14ac:dyDescent="0.3">
      <c r="A634" s="49"/>
      <c r="B634" s="130" t="str">
        <f ca="1">'Translation Table'!H2354</f>
        <v>Power Generator: Natural Gas Fuelled (Driver: Gas Turbine)</v>
      </c>
      <c r="C634" s="54" t="str">
        <f ca="1">'Translation Table'!H2354</f>
        <v>Power Generator: Natural Gas Fuelled (Driver: Gas Turbine)</v>
      </c>
      <c r="D634" s="219">
        <v>1.62</v>
      </c>
      <c r="E634" s="221">
        <v>1.93</v>
      </c>
      <c r="F634" s="221"/>
      <c r="G634" s="221"/>
      <c r="H634" s="221">
        <v>0</v>
      </c>
      <c r="I634" s="221"/>
      <c r="J634" s="221"/>
      <c r="K634" s="219">
        <f t="shared" si="11"/>
        <v>39.86</v>
      </c>
      <c r="L634" s="219">
        <v>32.94</v>
      </c>
      <c r="M634" s="219">
        <v>6.92</v>
      </c>
      <c r="N634" s="219">
        <v>203.8</v>
      </c>
      <c r="O634" s="219">
        <v>4.33</v>
      </c>
      <c r="P634" s="221"/>
      <c r="Q634" s="221"/>
      <c r="R634" s="221"/>
      <c r="S634" s="221"/>
      <c r="T634" s="221"/>
      <c r="U634" s="221"/>
      <c r="V634" s="221">
        <v>2</v>
      </c>
      <c r="W634" s="220">
        <v>0</v>
      </c>
      <c r="X634" s="220">
        <v>0</v>
      </c>
      <c r="Y634" s="220">
        <v>0</v>
      </c>
      <c r="Z634" s="221">
        <v>1</v>
      </c>
      <c r="AA634" s="220" t="s">
        <v>2474</v>
      </c>
      <c r="AC634" s="46">
        <v>0</v>
      </c>
    </row>
    <row r="635" spans="1:29" ht="16.5" customHeight="1" x14ac:dyDescent="0.3">
      <c r="A635" s="49"/>
      <c r="B635" s="54" t="str">
        <f ca="1">'Translation Table'!H2355</f>
        <v>Power Generator: Natural Gas Fuelled (Driver: Recip. Engine)</v>
      </c>
      <c r="C635" s="54" t="str">
        <f ca="1">'Translation Table'!H2355</f>
        <v>Power Generator: Natural Gas Fuelled (Driver: Recip. Engine)</v>
      </c>
      <c r="D635" s="219">
        <v>3.29</v>
      </c>
      <c r="E635" s="221">
        <v>1.76</v>
      </c>
      <c r="F635" s="221"/>
      <c r="G635" s="221"/>
      <c r="H635" s="221">
        <v>0</v>
      </c>
      <c r="I635" s="221"/>
      <c r="J635" s="221"/>
      <c r="K635" s="219">
        <f t="shared" si="11"/>
        <v>26.189999999999998</v>
      </c>
      <c r="L635" s="219">
        <v>20.86</v>
      </c>
      <c r="M635" s="219">
        <v>5.33</v>
      </c>
      <c r="N635" s="219">
        <v>157.71</v>
      </c>
      <c r="O635" s="219">
        <v>1.5</v>
      </c>
      <c r="P635" s="221"/>
      <c r="Q635" s="221"/>
      <c r="R635" s="221"/>
      <c r="S635" s="221"/>
      <c r="T635" s="221"/>
      <c r="U635" s="221"/>
      <c r="V635" s="221">
        <v>2</v>
      </c>
      <c r="W635" s="220">
        <v>0</v>
      </c>
      <c r="X635" s="220">
        <v>0</v>
      </c>
      <c r="Y635" s="220">
        <v>0</v>
      </c>
      <c r="Z635" s="221">
        <v>1</v>
      </c>
      <c r="AA635" s="220" t="s">
        <v>2474</v>
      </c>
      <c r="AC635" s="46">
        <v>0</v>
      </c>
    </row>
    <row r="636" spans="1:29" ht="16.5" customHeight="1" x14ac:dyDescent="0.3">
      <c r="A636" s="49"/>
      <c r="B636" s="130" t="str">
        <f ca="1">'Translation Table'!H2356</f>
        <v>Pump: Hydrocarbon Service (Driver: Motor)</v>
      </c>
      <c r="C636" s="54" t="str">
        <f ca="1">'Translation Table'!H2356</f>
        <v>Pump: Hydrocarbon Service (Driver: Motor)</v>
      </c>
      <c r="D636" s="219">
        <v>0</v>
      </c>
      <c r="E636" s="219">
        <v>0</v>
      </c>
      <c r="F636" s="219"/>
      <c r="G636" s="219"/>
      <c r="H636" s="219">
        <v>0</v>
      </c>
      <c r="I636" s="219"/>
      <c r="J636" s="219"/>
      <c r="K636" s="219">
        <f t="shared" si="11"/>
        <v>0</v>
      </c>
      <c r="L636" s="219">
        <v>0</v>
      </c>
      <c r="M636" s="219">
        <v>0</v>
      </c>
      <c r="N636" s="219">
        <v>0</v>
      </c>
      <c r="O636" s="219">
        <v>0</v>
      </c>
      <c r="P636" s="219"/>
      <c r="Q636" s="219"/>
      <c r="R636" s="219"/>
      <c r="S636" s="219"/>
      <c r="T636" s="219"/>
      <c r="U636" s="219"/>
      <c r="V636" s="219">
        <v>0</v>
      </c>
      <c r="W636" s="219">
        <v>4</v>
      </c>
      <c r="X636" s="219">
        <v>10</v>
      </c>
      <c r="Y636" s="219">
        <v>1</v>
      </c>
      <c r="Z636" s="219">
        <v>0</v>
      </c>
      <c r="AA636" s="220" t="s">
        <v>2474</v>
      </c>
    </row>
    <row r="637" spans="1:29" ht="16.5" customHeight="1" x14ac:dyDescent="0.3">
      <c r="A637" s="49"/>
      <c r="B637" s="54" t="str">
        <f ca="1">'Translation Table'!H2357</f>
        <v>Pump: Hydrocarbon Service (Driver: Recip Engine) (Fuel: Gaseous)</v>
      </c>
      <c r="C637" s="54" t="str">
        <f ca="1">'Translation Table'!H2357</f>
        <v>Pump: Hydrocarbon Service (Driver: Recip Engine) (Fuel: Gaseous)</v>
      </c>
      <c r="D637" s="219">
        <v>3.29</v>
      </c>
      <c r="E637" s="221">
        <v>1.76</v>
      </c>
      <c r="F637" s="221"/>
      <c r="G637" s="221"/>
      <c r="H637" s="221">
        <v>0</v>
      </c>
      <c r="I637" s="221"/>
      <c r="J637" s="221"/>
      <c r="K637" s="219">
        <f t="shared" si="11"/>
        <v>26.189999999999998</v>
      </c>
      <c r="L637" s="219">
        <v>20.86</v>
      </c>
      <c r="M637" s="219">
        <v>5.33</v>
      </c>
      <c r="N637" s="219">
        <v>157.71</v>
      </c>
      <c r="O637" s="219">
        <v>1.5</v>
      </c>
      <c r="P637" s="221"/>
      <c r="Q637" s="219"/>
      <c r="R637" s="219"/>
      <c r="S637" s="219"/>
      <c r="T637" s="221"/>
      <c r="U637" s="221"/>
      <c r="V637" s="221">
        <v>2</v>
      </c>
      <c r="W637" s="219">
        <v>4</v>
      </c>
      <c r="X637" s="219">
        <v>10</v>
      </c>
      <c r="Y637" s="219">
        <v>1</v>
      </c>
      <c r="Z637" s="221">
        <v>0</v>
      </c>
      <c r="AA637" s="220" t="s">
        <v>2474</v>
      </c>
      <c r="AC637" s="46">
        <v>0</v>
      </c>
    </row>
    <row r="638" spans="1:29" ht="16.5" customHeight="1" x14ac:dyDescent="0.3">
      <c r="A638" s="49"/>
      <c r="B638" s="130" t="str">
        <f ca="1">'Translation Table'!H2358</f>
        <v>Pump: Hydrocarbon Service (Driver: Recip Engine) (Fuel: Liquid)</v>
      </c>
      <c r="C638" s="54" t="str">
        <f ca="1">'Translation Table'!H2358</f>
        <v>Pump: Hydrocarbon Service (Driver: Recip Engine) (Fuel: Liquid)</v>
      </c>
      <c r="D638" s="219">
        <v>0</v>
      </c>
      <c r="E638" s="221">
        <v>0</v>
      </c>
      <c r="F638" s="221"/>
      <c r="G638" s="221"/>
      <c r="H638" s="221">
        <v>0</v>
      </c>
      <c r="I638" s="221"/>
      <c r="J638" s="221"/>
      <c r="K638" s="219">
        <f t="shared" si="11"/>
        <v>0</v>
      </c>
      <c r="L638" s="219">
        <v>0</v>
      </c>
      <c r="M638" s="219">
        <v>0</v>
      </c>
      <c r="N638" s="219">
        <v>0</v>
      </c>
      <c r="O638" s="219">
        <v>0</v>
      </c>
      <c r="P638" s="221"/>
      <c r="Q638" s="219"/>
      <c r="R638" s="219"/>
      <c r="S638" s="219"/>
      <c r="T638" s="221"/>
      <c r="U638" s="221"/>
      <c r="V638" s="221">
        <v>1</v>
      </c>
      <c r="W638" s="219">
        <v>4</v>
      </c>
      <c r="X638" s="219">
        <v>10</v>
      </c>
      <c r="Y638" s="219">
        <v>1</v>
      </c>
      <c r="Z638" s="221">
        <v>0</v>
      </c>
      <c r="AA638" s="220" t="s">
        <v>2474</v>
      </c>
    </row>
    <row r="639" spans="1:29" ht="16.5" customHeight="1" x14ac:dyDescent="0.3">
      <c r="A639" s="49"/>
      <c r="B639" s="54" t="str">
        <f ca="1">'Translation Table'!H2359</f>
        <v>Pump: Non-Hydrocarbon Service (Driver: Recip Engine) (Fuel: Gaseous)</v>
      </c>
      <c r="C639" s="54" t="str">
        <f ca="1">'Translation Table'!H2359</f>
        <v>Pump: Non-Hydrocarbon Service (Driver: Recip Engine) (Fuel: Gaseous)</v>
      </c>
      <c r="D639" s="219">
        <v>3.29</v>
      </c>
      <c r="E639" s="221">
        <v>1.76</v>
      </c>
      <c r="F639" s="221"/>
      <c r="G639" s="221"/>
      <c r="H639" s="221">
        <v>0</v>
      </c>
      <c r="I639" s="221"/>
      <c r="J639" s="221"/>
      <c r="K639" s="219">
        <f t="shared" si="11"/>
        <v>26.189999999999998</v>
      </c>
      <c r="L639" s="219">
        <v>20.86</v>
      </c>
      <c r="M639" s="219">
        <v>5.33</v>
      </c>
      <c r="N639" s="219">
        <v>157.71</v>
      </c>
      <c r="O639" s="219">
        <v>1.5</v>
      </c>
      <c r="P639" s="221"/>
      <c r="Q639" s="219"/>
      <c r="R639" s="219"/>
      <c r="S639" s="219"/>
      <c r="T639" s="221"/>
      <c r="U639" s="221"/>
      <c r="V639" s="221">
        <v>2</v>
      </c>
      <c r="W639" s="220">
        <v>0</v>
      </c>
      <c r="X639" s="220">
        <v>0</v>
      </c>
      <c r="Y639" s="220">
        <v>0</v>
      </c>
      <c r="Z639" s="221">
        <v>0</v>
      </c>
      <c r="AA639" s="220" t="s">
        <v>2474</v>
      </c>
    </row>
    <row r="640" spans="1:29" ht="16.5" customHeight="1" x14ac:dyDescent="0.3">
      <c r="A640" s="49"/>
      <c r="B640" s="130" t="str">
        <f ca="1">'Translation Table'!H2360</f>
        <v>Pump: Non-Hydrocarbon Service (Driver: Recip Engine) (Fuel: Gaseous)</v>
      </c>
      <c r="C640" s="54" t="str">
        <f ca="1">'Translation Table'!H2360</f>
        <v>Pump: Non-Hydrocarbon Service (Driver: Recip Engine) (Fuel: Gaseous)</v>
      </c>
      <c r="D640" s="219">
        <v>3.29</v>
      </c>
      <c r="E640" s="221">
        <v>1.76</v>
      </c>
      <c r="F640" s="221"/>
      <c r="G640" s="221"/>
      <c r="H640" s="221">
        <v>0</v>
      </c>
      <c r="I640" s="221"/>
      <c r="J640" s="221"/>
      <c r="K640" s="219">
        <f t="shared" si="11"/>
        <v>26.189999999999998</v>
      </c>
      <c r="L640" s="219">
        <v>20.86</v>
      </c>
      <c r="M640" s="219">
        <v>5.33</v>
      </c>
      <c r="N640" s="219">
        <v>157.71</v>
      </c>
      <c r="O640" s="219">
        <v>1.5</v>
      </c>
      <c r="P640" s="221"/>
      <c r="Q640" s="219"/>
      <c r="R640" s="219"/>
      <c r="S640" s="219"/>
      <c r="T640" s="221"/>
      <c r="U640" s="221"/>
      <c r="V640" s="221">
        <v>2</v>
      </c>
      <c r="W640" s="220">
        <v>0</v>
      </c>
      <c r="X640" s="220">
        <v>0</v>
      </c>
      <c r="Y640" s="220">
        <v>0</v>
      </c>
      <c r="Z640" s="221">
        <v>0</v>
      </c>
      <c r="AA640" s="220" t="s">
        <v>2474</v>
      </c>
    </row>
    <row r="641" spans="1:29" ht="16.5" customHeight="1" x14ac:dyDescent="0.3">
      <c r="A641" s="49"/>
      <c r="B641" s="54" t="str">
        <f ca="1">'Translation Table'!H2361</f>
        <v>Refrigeration (Propane)</v>
      </c>
      <c r="C641" s="54" t="str">
        <f ca="1">'Translation Table'!H2361</f>
        <v>Refrigeration (Propane)</v>
      </c>
      <c r="D641" s="219">
        <v>2</v>
      </c>
      <c r="E641" s="221">
        <v>0</v>
      </c>
      <c r="F641" s="221"/>
      <c r="G641" s="221"/>
      <c r="H641" s="221">
        <v>0</v>
      </c>
      <c r="I641" s="221"/>
      <c r="J641" s="221"/>
      <c r="K641" s="219">
        <f t="shared" si="11"/>
        <v>65</v>
      </c>
      <c r="L641" s="219">
        <v>65</v>
      </c>
      <c r="M641" s="219"/>
      <c r="N641" s="219">
        <v>170</v>
      </c>
      <c r="O641" s="219">
        <v>2</v>
      </c>
      <c r="P641" s="221"/>
      <c r="Q641" s="221"/>
      <c r="R641" s="221"/>
      <c r="S641" s="221"/>
      <c r="T641" s="221"/>
      <c r="U641" s="221"/>
      <c r="V641" s="221">
        <v>6</v>
      </c>
      <c r="W641" s="220">
        <v>13</v>
      </c>
      <c r="X641" s="220">
        <v>31</v>
      </c>
      <c r="Y641" s="220"/>
      <c r="Z641" s="221">
        <v>4</v>
      </c>
      <c r="AA641" s="220" t="s">
        <v>517</v>
      </c>
      <c r="AC641" s="46">
        <v>0</v>
      </c>
    </row>
    <row r="642" spans="1:29" ht="16.5" customHeight="1" x14ac:dyDescent="0.3">
      <c r="A642" s="49"/>
      <c r="B642" s="130" t="str">
        <f ca="1">'Translation Table'!H2362</f>
        <v>Separator: Filter Separator</v>
      </c>
      <c r="C642" s="54" t="str">
        <f ca="1">'Translation Table'!H2362</f>
        <v>Separator: Filter Separator</v>
      </c>
      <c r="D642" s="219">
        <v>0.5</v>
      </c>
      <c r="E642" s="221">
        <v>1.5</v>
      </c>
      <c r="F642" s="221"/>
      <c r="G642" s="221"/>
      <c r="H642" s="221">
        <v>0</v>
      </c>
      <c r="I642" s="221"/>
      <c r="J642" s="221"/>
      <c r="K642" s="219">
        <f t="shared" si="11"/>
        <v>14</v>
      </c>
      <c r="L642" s="219">
        <v>13</v>
      </c>
      <c r="M642" s="219">
        <v>1</v>
      </c>
      <c r="N642" s="219">
        <v>64</v>
      </c>
      <c r="O642" s="219">
        <v>0.5</v>
      </c>
      <c r="P642" s="221"/>
      <c r="Q642" s="221"/>
      <c r="R642" s="221"/>
      <c r="S642" s="221"/>
      <c r="T642" s="221"/>
      <c r="U642" s="221"/>
      <c r="V642" s="221">
        <v>2</v>
      </c>
      <c r="W642" s="220">
        <v>6</v>
      </c>
      <c r="X642" s="220">
        <v>19.5</v>
      </c>
      <c r="Y642" s="220">
        <v>0</v>
      </c>
      <c r="Z642" s="221">
        <v>1</v>
      </c>
      <c r="AA642" s="220" t="s">
        <v>2474</v>
      </c>
      <c r="AC642" s="46">
        <v>0</v>
      </c>
    </row>
    <row r="643" spans="1:29" ht="16.5" customHeight="1" x14ac:dyDescent="0.3">
      <c r="A643" s="49"/>
      <c r="B643" s="54" t="str">
        <f ca="1">'Translation Table'!H2363</f>
        <v>Separator: Horizontal (Phases: 2)</v>
      </c>
      <c r="C643" s="54" t="str">
        <f ca="1">'Translation Table'!H2363</f>
        <v>Separator: Horizontal (Phases: 2)</v>
      </c>
      <c r="D643" s="219">
        <v>1</v>
      </c>
      <c r="E643" s="221">
        <v>0</v>
      </c>
      <c r="F643" s="221"/>
      <c r="G643" s="221"/>
      <c r="H643" s="221">
        <v>0</v>
      </c>
      <c r="I643" s="221"/>
      <c r="J643" s="221"/>
      <c r="K643" s="219">
        <f t="shared" si="11"/>
        <v>12</v>
      </c>
      <c r="L643" s="219">
        <v>12</v>
      </c>
      <c r="M643" s="219">
        <v>0</v>
      </c>
      <c r="N643" s="219">
        <v>40</v>
      </c>
      <c r="O643" s="219">
        <v>2</v>
      </c>
      <c r="P643" s="221"/>
      <c r="Q643" s="221"/>
      <c r="R643" s="221"/>
      <c r="S643" s="221"/>
      <c r="T643" s="221"/>
      <c r="U643" s="221"/>
      <c r="V643" s="221">
        <v>2</v>
      </c>
      <c r="W643" s="220">
        <v>17</v>
      </c>
      <c r="X643" s="220">
        <v>58</v>
      </c>
      <c r="Y643" s="220"/>
      <c r="Z643" s="221">
        <v>1</v>
      </c>
      <c r="AA643" s="220" t="s">
        <v>517</v>
      </c>
      <c r="AC643" s="46">
        <v>0</v>
      </c>
    </row>
    <row r="644" spans="1:29" ht="16.5" customHeight="1" x14ac:dyDescent="0.3">
      <c r="A644" s="49"/>
      <c r="B644" s="130" t="str">
        <f ca="1">'Translation Table'!H2364</f>
        <v>Separator: Horizontal (Phases: 3)</v>
      </c>
      <c r="C644" s="54" t="str">
        <f ca="1">'Translation Table'!H2364</f>
        <v>Separator: Horizontal (Phases: 3)</v>
      </c>
      <c r="D644" s="219">
        <v>1</v>
      </c>
      <c r="E644" s="221">
        <v>0</v>
      </c>
      <c r="F644" s="221"/>
      <c r="G644" s="221"/>
      <c r="H644" s="221">
        <v>0</v>
      </c>
      <c r="I644" s="221"/>
      <c r="J644" s="221"/>
      <c r="K644" s="219">
        <f t="shared" si="11"/>
        <v>12</v>
      </c>
      <c r="L644" s="219">
        <v>12</v>
      </c>
      <c r="M644" s="219">
        <v>0</v>
      </c>
      <c r="N644" s="219">
        <v>40</v>
      </c>
      <c r="O644" s="219">
        <v>2</v>
      </c>
      <c r="P644" s="221"/>
      <c r="Q644" s="221"/>
      <c r="R644" s="221"/>
      <c r="S644" s="221"/>
      <c r="T644" s="221"/>
      <c r="U644" s="221"/>
      <c r="V644" s="221">
        <v>2</v>
      </c>
      <c r="W644" s="220">
        <v>17</v>
      </c>
      <c r="X644" s="220">
        <v>58</v>
      </c>
      <c r="Y644" s="220"/>
      <c r="Z644" s="221">
        <v>1</v>
      </c>
      <c r="AA644" s="220" t="s">
        <v>2474</v>
      </c>
      <c r="AC644" s="46">
        <v>0</v>
      </c>
    </row>
    <row r="645" spans="1:29" ht="16.5" customHeight="1" x14ac:dyDescent="0.3">
      <c r="A645" s="49"/>
      <c r="B645" s="54" t="str">
        <f ca="1">'Translation Table'!H2365</f>
        <v>Separator: Vertical (Phases: 2)</v>
      </c>
      <c r="C645" s="54" t="str">
        <f ca="1">'Translation Table'!H2365</f>
        <v>Separator: Vertical (Phases: 2)</v>
      </c>
      <c r="D645" s="219">
        <v>1</v>
      </c>
      <c r="E645" s="221">
        <v>0</v>
      </c>
      <c r="F645" s="221"/>
      <c r="G645" s="221"/>
      <c r="H645" s="221">
        <v>0</v>
      </c>
      <c r="I645" s="221"/>
      <c r="J645" s="221"/>
      <c r="K645" s="219">
        <f t="shared" si="11"/>
        <v>12</v>
      </c>
      <c r="L645" s="219">
        <v>12</v>
      </c>
      <c r="M645" s="219">
        <v>0</v>
      </c>
      <c r="N645" s="219">
        <v>40</v>
      </c>
      <c r="O645" s="219">
        <v>2</v>
      </c>
      <c r="P645" s="221"/>
      <c r="Q645" s="221"/>
      <c r="R645" s="221"/>
      <c r="S645" s="221"/>
      <c r="T645" s="221"/>
      <c r="U645" s="221"/>
      <c r="V645" s="221">
        <v>2</v>
      </c>
      <c r="W645" s="220">
        <v>17</v>
      </c>
      <c r="X645" s="220">
        <v>58</v>
      </c>
      <c r="Y645" s="220"/>
      <c r="Z645" s="221">
        <v>1</v>
      </c>
      <c r="AA645" s="220" t="s">
        <v>517</v>
      </c>
      <c r="AC645" s="46">
        <v>0</v>
      </c>
    </row>
    <row r="646" spans="1:29" ht="16.5" customHeight="1" x14ac:dyDescent="0.3">
      <c r="A646" s="49"/>
      <c r="B646" s="130" t="str">
        <f ca="1">'Translation Table'!H2366</f>
        <v>Separator: Vertical (Phases: 3)</v>
      </c>
      <c r="C646" s="54" t="str">
        <f ca="1">'Translation Table'!H2366</f>
        <v>Separator: Vertical (Phases: 3)</v>
      </c>
      <c r="D646" s="219">
        <v>1</v>
      </c>
      <c r="E646" s="221">
        <v>0</v>
      </c>
      <c r="F646" s="221"/>
      <c r="G646" s="221"/>
      <c r="H646" s="221">
        <v>0</v>
      </c>
      <c r="I646" s="221"/>
      <c r="J646" s="221"/>
      <c r="K646" s="219">
        <f t="shared" si="11"/>
        <v>12</v>
      </c>
      <c r="L646" s="219">
        <v>12</v>
      </c>
      <c r="M646" s="219">
        <v>0</v>
      </c>
      <c r="N646" s="219">
        <v>40</v>
      </c>
      <c r="O646" s="219">
        <v>2</v>
      </c>
      <c r="P646" s="221"/>
      <c r="Q646" s="221"/>
      <c r="R646" s="221"/>
      <c r="S646" s="221"/>
      <c r="T646" s="221"/>
      <c r="U646" s="221"/>
      <c r="V646" s="221">
        <v>2</v>
      </c>
      <c r="W646" s="220">
        <v>17</v>
      </c>
      <c r="X646" s="220">
        <v>58</v>
      </c>
      <c r="Y646" s="220"/>
      <c r="Z646" s="221">
        <v>1</v>
      </c>
      <c r="AA646" s="220" t="s">
        <v>2474</v>
      </c>
    </row>
    <row r="647" spans="1:29" ht="16.5" customHeight="1" x14ac:dyDescent="0.3">
      <c r="A647" s="49"/>
      <c r="B647" s="54" t="str">
        <f ca="1">'Translation Table'!H2367</f>
        <v>Stabilizer: with Reflux Loop</v>
      </c>
      <c r="C647" s="54" t="str">
        <f ca="1">'Translation Table'!H2367</f>
        <v>Stabilizer: with Reflux Loop</v>
      </c>
      <c r="D647" s="219">
        <v>3</v>
      </c>
      <c r="E647" s="221">
        <v>0</v>
      </c>
      <c r="F647" s="221"/>
      <c r="G647" s="221"/>
      <c r="H647" s="221">
        <v>0</v>
      </c>
      <c r="I647" s="221"/>
      <c r="J647" s="221"/>
      <c r="K647" s="219">
        <f t="shared" si="11"/>
        <v>20</v>
      </c>
      <c r="L647" s="219">
        <v>20</v>
      </c>
      <c r="M647" s="219"/>
      <c r="N647" s="219">
        <v>80</v>
      </c>
      <c r="O647" s="219">
        <v>2</v>
      </c>
      <c r="P647" s="221"/>
      <c r="Q647" s="221"/>
      <c r="R647" s="221"/>
      <c r="S647" s="221"/>
      <c r="T647" s="221"/>
      <c r="U647" s="221"/>
      <c r="V647" s="221">
        <v>4</v>
      </c>
      <c r="W647" s="220">
        <v>77</v>
      </c>
      <c r="X647" s="220">
        <v>247</v>
      </c>
      <c r="Y647" s="220"/>
      <c r="Z647" s="221">
        <v>1</v>
      </c>
      <c r="AA647" s="220" t="s">
        <v>517</v>
      </c>
    </row>
    <row r="648" spans="1:29" ht="16.5" customHeight="1" x14ac:dyDescent="0.3">
      <c r="A648" s="49"/>
      <c r="B648" s="130" t="str">
        <f ca="1">'Translation Table'!H2368</f>
        <v>Stabilizer: without Reflux Loop</v>
      </c>
      <c r="C648" s="54" t="str">
        <f ca="1">'Translation Table'!H2368</f>
        <v>Stabilizer: without Reflux Loop</v>
      </c>
      <c r="D648" s="219">
        <v>2</v>
      </c>
      <c r="E648" s="221">
        <v>0</v>
      </c>
      <c r="F648" s="221"/>
      <c r="G648" s="221"/>
      <c r="H648" s="221">
        <v>0</v>
      </c>
      <c r="I648" s="221"/>
      <c r="J648" s="221"/>
      <c r="K648" s="219">
        <f t="shared" ref="K648:K672" si="12">L648+M648</f>
        <v>17</v>
      </c>
      <c r="L648" s="219">
        <v>17</v>
      </c>
      <c r="M648" s="219"/>
      <c r="N648" s="219">
        <v>74</v>
      </c>
      <c r="O648" s="219">
        <v>2</v>
      </c>
      <c r="P648" s="221"/>
      <c r="Q648" s="221"/>
      <c r="R648" s="221"/>
      <c r="S648" s="221"/>
      <c r="T648" s="221"/>
      <c r="U648" s="221"/>
      <c r="V648" s="221">
        <v>3</v>
      </c>
      <c r="W648" s="220">
        <v>74</v>
      </c>
      <c r="X648" s="220">
        <v>241</v>
      </c>
      <c r="Y648" s="220"/>
      <c r="Z648" s="221">
        <v>1</v>
      </c>
      <c r="AA648" s="220" t="s">
        <v>2474</v>
      </c>
    </row>
    <row r="649" spans="1:29" ht="16.5" customHeight="1" x14ac:dyDescent="0.3">
      <c r="A649" s="49"/>
      <c r="B649" s="54" t="str">
        <f ca="1">'Translation Table'!H2369</f>
        <v>Storage Tank (Produced Oil, with Vapor Control)</v>
      </c>
      <c r="C649" s="54" t="str">
        <f ca="1">'Translation Table'!H2369</f>
        <v>Storage Tank (Produced Oil, with Vapor Control)</v>
      </c>
      <c r="D649" s="219">
        <v>1</v>
      </c>
      <c r="E649" s="221">
        <v>0</v>
      </c>
      <c r="F649" s="221"/>
      <c r="G649" s="221"/>
      <c r="H649" s="221">
        <v>0</v>
      </c>
      <c r="I649" s="221"/>
      <c r="J649" s="221"/>
      <c r="K649" s="219">
        <f t="shared" si="12"/>
        <v>1</v>
      </c>
      <c r="L649" s="219">
        <v>1</v>
      </c>
      <c r="M649" s="219"/>
      <c r="N649" s="219">
        <v>2</v>
      </c>
      <c r="O649" s="219">
        <v>1</v>
      </c>
      <c r="P649" s="221"/>
      <c r="Q649" s="221"/>
      <c r="R649" s="221"/>
      <c r="S649" s="221"/>
      <c r="T649" s="221"/>
      <c r="U649" s="221"/>
      <c r="V649" s="221">
        <v>0</v>
      </c>
      <c r="W649" s="220">
        <v>10</v>
      </c>
      <c r="X649" s="220">
        <v>24</v>
      </c>
      <c r="Y649" s="220"/>
      <c r="Z649" s="221">
        <v>0</v>
      </c>
      <c r="AA649" s="220" t="s">
        <v>517</v>
      </c>
    </row>
    <row r="650" spans="1:29" ht="16.5" customHeight="1" x14ac:dyDescent="0.3">
      <c r="A650" s="49"/>
      <c r="B650" s="130" t="str">
        <f ca="1">'Translation Table'!H2370</f>
        <v>Storage Tank (Produced Oil, without Vapor Control)</v>
      </c>
      <c r="C650" s="54" t="str">
        <f ca="1">'Translation Table'!H2370</f>
        <v>Storage Tank (Produced Oil, without Vapor Control)</v>
      </c>
      <c r="D650" s="219">
        <v>0</v>
      </c>
      <c r="E650" s="221">
        <v>0</v>
      </c>
      <c r="F650" s="221"/>
      <c r="G650" s="221"/>
      <c r="H650" s="221">
        <v>0</v>
      </c>
      <c r="I650" s="221"/>
      <c r="J650" s="221"/>
      <c r="K650" s="219">
        <f t="shared" si="12"/>
        <v>0</v>
      </c>
      <c r="L650" s="219">
        <v>0</v>
      </c>
      <c r="M650" s="219"/>
      <c r="N650" s="219">
        <v>0</v>
      </c>
      <c r="O650" s="219">
        <v>0</v>
      </c>
      <c r="P650" s="221"/>
      <c r="Q650" s="221"/>
      <c r="R650" s="221"/>
      <c r="S650" s="221"/>
      <c r="T650" s="221"/>
      <c r="U650" s="221"/>
      <c r="V650" s="221">
        <v>0</v>
      </c>
      <c r="W650" s="220">
        <v>10</v>
      </c>
      <c r="X650" s="220">
        <v>24</v>
      </c>
      <c r="Y650" s="220"/>
      <c r="Z650" s="221">
        <v>0</v>
      </c>
      <c r="AA650" s="220" t="s">
        <v>517</v>
      </c>
    </row>
    <row r="651" spans="1:29" ht="16.5" customHeight="1" x14ac:dyDescent="0.3">
      <c r="A651" s="49"/>
      <c r="B651" s="54" t="str">
        <f ca="1">'Translation Table'!H2371</f>
        <v>Storage Tank (Produced Water, with Vapor Control)</v>
      </c>
      <c r="C651" s="54" t="str">
        <f ca="1">'Translation Table'!H2371</f>
        <v>Storage Tank (Produced Water, with Vapor Control)</v>
      </c>
      <c r="D651" s="219">
        <v>1</v>
      </c>
      <c r="E651" s="221">
        <v>0</v>
      </c>
      <c r="F651" s="221"/>
      <c r="G651" s="221"/>
      <c r="H651" s="221">
        <v>0</v>
      </c>
      <c r="I651" s="221"/>
      <c r="J651" s="221"/>
      <c r="K651" s="219">
        <f t="shared" si="12"/>
        <v>1</v>
      </c>
      <c r="L651" s="219">
        <v>1</v>
      </c>
      <c r="M651" s="219"/>
      <c r="N651" s="219">
        <v>2</v>
      </c>
      <c r="O651" s="219">
        <v>1</v>
      </c>
      <c r="P651" s="221"/>
      <c r="Q651" s="221"/>
      <c r="R651" s="221"/>
      <c r="S651" s="221"/>
      <c r="T651" s="221"/>
      <c r="U651" s="221"/>
      <c r="V651" s="221">
        <v>0</v>
      </c>
      <c r="W651" s="220">
        <v>10</v>
      </c>
      <c r="X651" s="220">
        <v>24</v>
      </c>
      <c r="Y651" s="220"/>
      <c r="Z651" s="221">
        <v>0</v>
      </c>
      <c r="AA651" s="220" t="s">
        <v>517</v>
      </c>
    </row>
    <row r="652" spans="1:29" ht="16.5" customHeight="1" x14ac:dyDescent="0.3">
      <c r="A652" s="49"/>
      <c r="B652" s="130" t="str">
        <f ca="1">'Translation Table'!H2372</f>
        <v>Storage Tank (Produced Water, without Vapor Control)</v>
      </c>
      <c r="C652" s="54" t="str">
        <f ca="1">'Translation Table'!H2372</f>
        <v>Storage Tank (Produced Water, without Vapor Control)</v>
      </c>
      <c r="D652" s="219">
        <v>0</v>
      </c>
      <c r="E652" s="221">
        <v>0</v>
      </c>
      <c r="F652" s="221"/>
      <c r="G652" s="221"/>
      <c r="H652" s="221">
        <v>0</v>
      </c>
      <c r="I652" s="221"/>
      <c r="J652" s="221"/>
      <c r="K652" s="219">
        <f t="shared" si="12"/>
        <v>0</v>
      </c>
      <c r="L652" s="219">
        <v>0</v>
      </c>
      <c r="M652" s="219"/>
      <c r="N652" s="219">
        <v>0</v>
      </c>
      <c r="O652" s="219">
        <v>0</v>
      </c>
      <c r="P652" s="221"/>
      <c r="Q652" s="221"/>
      <c r="R652" s="221"/>
      <c r="S652" s="221"/>
      <c r="T652" s="221"/>
      <c r="U652" s="221"/>
      <c r="V652" s="221">
        <v>0</v>
      </c>
      <c r="W652" s="220">
        <v>10</v>
      </c>
      <c r="X652" s="220">
        <v>24</v>
      </c>
      <c r="Y652" s="220"/>
      <c r="Z652" s="221">
        <v>0</v>
      </c>
      <c r="AA652" s="220" t="s">
        <v>517</v>
      </c>
    </row>
    <row r="653" spans="1:29" ht="16.5" customHeight="1" x14ac:dyDescent="0.3">
      <c r="A653" s="49"/>
      <c r="B653" s="54" t="str">
        <f ca="1">'Translation Table'!H2373</f>
        <v>Storage Tank (Refined Product, with Vapor Control)</v>
      </c>
      <c r="C653" s="54" t="str">
        <f ca="1">'Translation Table'!H2373</f>
        <v>Storage Tank (Refined Product, with Vapor Control)</v>
      </c>
      <c r="D653" s="219">
        <v>1</v>
      </c>
      <c r="E653" s="221">
        <v>0</v>
      </c>
      <c r="F653" s="221"/>
      <c r="G653" s="221"/>
      <c r="H653" s="221">
        <v>0</v>
      </c>
      <c r="I653" s="221"/>
      <c r="J653" s="221"/>
      <c r="K653" s="219">
        <f t="shared" si="12"/>
        <v>1</v>
      </c>
      <c r="L653" s="219">
        <v>1</v>
      </c>
      <c r="M653" s="219"/>
      <c r="N653" s="219">
        <v>2</v>
      </c>
      <c r="O653" s="219">
        <v>1</v>
      </c>
      <c r="P653" s="221"/>
      <c r="Q653" s="221"/>
      <c r="R653" s="221"/>
      <c r="S653" s="221"/>
      <c r="T653" s="221"/>
      <c r="U653" s="221"/>
      <c r="V653" s="221">
        <v>0</v>
      </c>
      <c r="W653" s="220">
        <v>10</v>
      </c>
      <c r="X653" s="220">
        <v>24</v>
      </c>
      <c r="Y653" s="220"/>
      <c r="Z653" s="221">
        <v>0</v>
      </c>
      <c r="AA653" s="220" t="s">
        <v>517</v>
      </c>
    </row>
    <row r="654" spans="1:29" ht="16.5" customHeight="1" x14ac:dyDescent="0.3">
      <c r="A654" s="49"/>
      <c r="B654" s="130" t="str">
        <f ca="1">'Translation Table'!H2374</f>
        <v>Storage Tank (Refined Product, without Vapor Control)</v>
      </c>
      <c r="C654" s="54" t="str">
        <f ca="1">'Translation Table'!H2374</f>
        <v>Storage Tank (Refined Product, without Vapor Control)</v>
      </c>
      <c r="D654" s="219">
        <v>0</v>
      </c>
      <c r="E654" s="221">
        <v>0</v>
      </c>
      <c r="F654" s="221"/>
      <c r="G654" s="221"/>
      <c r="H654" s="221">
        <v>0</v>
      </c>
      <c r="I654" s="221"/>
      <c r="J654" s="221"/>
      <c r="K654" s="219">
        <f t="shared" si="12"/>
        <v>0</v>
      </c>
      <c r="L654" s="219">
        <v>0</v>
      </c>
      <c r="M654" s="219"/>
      <c r="N654" s="219">
        <v>0</v>
      </c>
      <c r="O654" s="219">
        <v>0</v>
      </c>
      <c r="P654" s="221"/>
      <c r="Q654" s="221"/>
      <c r="R654" s="221"/>
      <c r="S654" s="221"/>
      <c r="T654" s="221"/>
      <c r="U654" s="221"/>
      <c r="V654" s="221">
        <v>0</v>
      </c>
      <c r="W654" s="220">
        <v>10</v>
      </c>
      <c r="X654" s="220">
        <v>24</v>
      </c>
      <c r="Y654" s="220"/>
      <c r="Z654" s="221">
        <v>0</v>
      </c>
      <c r="AA654" s="220" t="s">
        <v>517</v>
      </c>
    </row>
    <row r="655" spans="1:29" ht="16.5" customHeight="1" x14ac:dyDescent="0.3">
      <c r="A655" s="49"/>
      <c r="B655" s="54" t="str">
        <f ca="1">'Translation Table'!H2375</f>
        <v>Storage Tank: Chemicals with Natural Gas Blanketing)</v>
      </c>
      <c r="C655" s="54" t="str">
        <f ca="1">'Translation Table'!H2375</f>
        <v>Storage Tank: Chemicals with Natural Gas Blanketing)</v>
      </c>
      <c r="D655" s="219">
        <v>1</v>
      </c>
      <c r="E655" s="221">
        <v>0</v>
      </c>
      <c r="F655" s="221"/>
      <c r="G655" s="221"/>
      <c r="H655" s="221">
        <v>0</v>
      </c>
      <c r="I655" s="221"/>
      <c r="J655" s="221"/>
      <c r="K655" s="219">
        <f t="shared" si="12"/>
        <v>1</v>
      </c>
      <c r="L655" s="219">
        <v>1</v>
      </c>
      <c r="M655" s="219"/>
      <c r="N655" s="219">
        <v>2</v>
      </c>
      <c r="O655" s="219">
        <v>1</v>
      </c>
      <c r="P655" s="221"/>
      <c r="Q655" s="221"/>
      <c r="R655" s="221"/>
      <c r="S655" s="221"/>
      <c r="T655" s="221"/>
      <c r="U655" s="221"/>
      <c r="V655" s="221">
        <v>0</v>
      </c>
      <c r="W655" s="220">
        <v>0</v>
      </c>
      <c r="X655" s="220">
        <v>0</v>
      </c>
      <c r="Y655" s="220"/>
      <c r="Z655" s="221">
        <v>0</v>
      </c>
      <c r="AA655" s="691" t="s">
        <v>3413</v>
      </c>
    </row>
    <row r="656" spans="1:29" ht="16.5" customHeight="1" x14ac:dyDescent="0.3">
      <c r="A656" s="49"/>
      <c r="B656" s="130" t="str">
        <f ca="1">'Translation Table'!H2376</f>
        <v>Stripper</v>
      </c>
      <c r="C656" s="54" t="str">
        <f ca="1">'Translation Table'!H2376</f>
        <v>Stripper</v>
      </c>
      <c r="D656" s="219">
        <v>1</v>
      </c>
      <c r="E656" s="221">
        <v>0</v>
      </c>
      <c r="F656" s="221"/>
      <c r="G656" s="221"/>
      <c r="H656" s="221">
        <v>0</v>
      </c>
      <c r="I656" s="221"/>
      <c r="J656" s="221"/>
      <c r="K656" s="219">
        <f t="shared" si="12"/>
        <v>12</v>
      </c>
      <c r="L656" s="219">
        <v>12</v>
      </c>
      <c r="M656" s="219">
        <v>0</v>
      </c>
      <c r="N656" s="219">
        <v>40</v>
      </c>
      <c r="O656" s="219">
        <v>2</v>
      </c>
      <c r="P656" s="221"/>
      <c r="Q656" s="221"/>
      <c r="R656" s="221"/>
      <c r="S656" s="221"/>
      <c r="T656" s="221"/>
      <c r="U656" s="221"/>
      <c r="V656" s="221">
        <v>2</v>
      </c>
      <c r="W656" s="220">
        <v>17</v>
      </c>
      <c r="X656" s="220">
        <v>58</v>
      </c>
      <c r="Y656" s="220"/>
      <c r="Z656" s="221">
        <v>1</v>
      </c>
      <c r="AA656" s="691" t="s">
        <v>2474</v>
      </c>
      <c r="AC656" s="46">
        <v>0</v>
      </c>
    </row>
    <row r="657" spans="1:27" ht="16.5" customHeight="1" x14ac:dyDescent="0.3">
      <c r="A657" s="49"/>
      <c r="B657" s="54" t="str">
        <f ca="1">'Translation Table'!H2377</f>
        <v>Sulphur Recovery: Claus</v>
      </c>
      <c r="C657" s="54" t="str">
        <f ca="1">'Translation Table'!H2377</f>
        <v>Sulphur Recovery: Claus</v>
      </c>
      <c r="D657" s="219">
        <v>1</v>
      </c>
      <c r="E657" s="221">
        <v>0</v>
      </c>
      <c r="F657" s="221"/>
      <c r="G657" s="221"/>
      <c r="H657" s="221">
        <v>0</v>
      </c>
      <c r="I657" s="221"/>
      <c r="J657" s="221"/>
      <c r="K657" s="219">
        <f t="shared" si="12"/>
        <v>31</v>
      </c>
      <c r="L657" s="219">
        <v>31</v>
      </c>
      <c r="M657" s="219"/>
      <c r="N657" s="219">
        <v>134</v>
      </c>
      <c r="O657" s="219">
        <v>4</v>
      </c>
      <c r="P657" s="221"/>
      <c r="Q657" s="221"/>
      <c r="R657" s="221"/>
      <c r="S657" s="221"/>
      <c r="T657" s="221"/>
      <c r="U657" s="221"/>
      <c r="V657" s="221">
        <v>2</v>
      </c>
      <c r="W657" s="220">
        <v>7</v>
      </c>
      <c r="X657" s="220">
        <v>12</v>
      </c>
      <c r="Y657" s="220"/>
      <c r="Z657" s="221">
        <v>1</v>
      </c>
      <c r="AA657" s="220" t="s">
        <v>517</v>
      </c>
    </row>
    <row r="658" spans="1:27" ht="16.5" customHeight="1" x14ac:dyDescent="0.3">
      <c r="A658" s="49"/>
      <c r="B658" s="130" t="str">
        <f ca="1">'Translation Table'!H2378</f>
        <v>Sulphur Recovery: MCRC (Sub-dewpoint)</v>
      </c>
      <c r="C658" s="54" t="str">
        <f ca="1">'Translation Table'!H2378</f>
        <v>Sulphur Recovery: MCRC (Sub-dewpoint)</v>
      </c>
      <c r="D658" s="219">
        <v>1</v>
      </c>
      <c r="E658" s="221">
        <v>0</v>
      </c>
      <c r="F658" s="221"/>
      <c r="G658" s="221"/>
      <c r="H658" s="221">
        <v>0</v>
      </c>
      <c r="I658" s="221"/>
      <c r="J658" s="221"/>
      <c r="K658" s="219">
        <f t="shared" si="12"/>
        <v>31</v>
      </c>
      <c r="L658" s="219">
        <v>31</v>
      </c>
      <c r="M658" s="219"/>
      <c r="N658" s="219">
        <v>134</v>
      </c>
      <c r="O658" s="219">
        <v>4</v>
      </c>
      <c r="P658" s="221"/>
      <c r="Q658" s="221"/>
      <c r="R658" s="221"/>
      <c r="S658" s="221"/>
      <c r="T658" s="221"/>
      <c r="U658" s="221"/>
      <c r="V658" s="221">
        <v>2</v>
      </c>
      <c r="W658" s="220">
        <v>7</v>
      </c>
      <c r="X658" s="220">
        <v>12</v>
      </c>
      <c r="Y658" s="220"/>
      <c r="Z658" s="221">
        <v>1</v>
      </c>
      <c r="AA658" s="220" t="s">
        <v>517</v>
      </c>
    </row>
    <row r="659" spans="1:27" ht="16.5" customHeight="1" x14ac:dyDescent="0.3">
      <c r="A659" s="49"/>
      <c r="B659" s="54" t="str">
        <f ca="1">'Translation Table'!H2379</f>
        <v>Sweetening: (Physical Solvent)</v>
      </c>
      <c r="C659" s="54" t="str">
        <f ca="1">'Translation Table'!H2379</f>
        <v>Sweetening: (Physical Solvent)</v>
      </c>
      <c r="D659" s="219">
        <v>4</v>
      </c>
      <c r="E659" s="221">
        <v>0</v>
      </c>
      <c r="F659" s="221"/>
      <c r="G659" s="221"/>
      <c r="H659" s="221">
        <v>0</v>
      </c>
      <c r="I659" s="221"/>
      <c r="J659" s="221"/>
      <c r="K659" s="219">
        <f t="shared" si="12"/>
        <v>104</v>
      </c>
      <c r="L659" s="219">
        <v>104</v>
      </c>
      <c r="M659" s="219"/>
      <c r="N659" s="219">
        <v>248</v>
      </c>
      <c r="O659" s="219">
        <v>2</v>
      </c>
      <c r="P659" s="221"/>
      <c r="Q659" s="221"/>
      <c r="R659" s="221"/>
      <c r="S659" s="221"/>
      <c r="T659" s="221"/>
      <c r="U659" s="221"/>
      <c r="V659" s="221">
        <v>6</v>
      </c>
      <c r="W659" s="220">
        <v>26</v>
      </c>
      <c r="X659" s="220">
        <v>62</v>
      </c>
      <c r="Y659" s="220"/>
      <c r="Z659" s="221">
        <v>3</v>
      </c>
      <c r="AA659" s="220" t="s">
        <v>517</v>
      </c>
    </row>
    <row r="660" spans="1:27" ht="16.5" customHeight="1" x14ac:dyDescent="0.3">
      <c r="A660" s="49"/>
      <c r="B660" s="130" t="str">
        <f ca="1">'Translation Table'!H2380</f>
        <v>Sweetening: Chemsweet</v>
      </c>
      <c r="C660" s="54" t="str">
        <f ca="1">'Translation Table'!H2380</f>
        <v>Sweetening: Chemsweet</v>
      </c>
      <c r="D660" s="219">
        <v>8</v>
      </c>
      <c r="E660" s="221">
        <v>0</v>
      </c>
      <c r="F660" s="221"/>
      <c r="G660" s="221"/>
      <c r="H660" s="221">
        <v>0</v>
      </c>
      <c r="I660" s="221"/>
      <c r="J660" s="221"/>
      <c r="K660" s="219">
        <f t="shared" si="12"/>
        <v>63</v>
      </c>
      <c r="L660" s="219">
        <v>63</v>
      </c>
      <c r="M660" s="219"/>
      <c r="N660" s="219">
        <v>243</v>
      </c>
      <c r="O660" s="219">
        <v>2</v>
      </c>
      <c r="P660" s="221"/>
      <c r="Q660" s="221"/>
      <c r="R660" s="221"/>
      <c r="S660" s="221"/>
      <c r="T660" s="221"/>
      <c r="U660" s="221"/>
      <c r="V660" s="221">
        <v>6</v>
      </c>
      <c r="W660" s="220">
        <v>2</v>
      </c>
      <c r="X660" s="220">
        <v>0</v>
      </c>
      <c r="Y660" s="220"/>
      <c r="Z660" s="221">
        <v>3</v>
      </c>
      <c r="AA660" s="220" t="s">
        <v>517</v>
      </c>
    </row>
    <row r="661" spans="1:27" ht="16.5" customHeight="1" x14ac:dyDescent="0.3">
      <c r="A661" s="49"/>
      <c r="B661" s="54" t="str">
        <f ca="1">'Translation Table'!H2381</f>
        <v>Sweetening: DEA (Diethanolamine)</v>
      </c>
      <c r="C661" s="54" t="str">
        <f ca="1">'Translation Table'!H2381</f>
        <v>Sweetening: DEA (Diethanolamine)</v>
      </c>
      <c r="D661" s="219">
        <v>2</v>
      </c>
      <c r="E661" s="221">
        <v>3</v>
      </c>
      <c r="F661" s="221"/>
      <c r="G661" s="221"/>
      <c r="H661" s="221">
        <v>0</v>
      </c>
      <c r="I661" s="221"/>
      <c r="J661" s="221"/>
      <c r="K661" s="219">
        <f t="shared" si="12"/>
        <v>60</v>
      </c>
      <c r="L661" s="219">
        <v>60</v>
      </c>
      <c r="M661" s="219"/>
      <c r="N661" s="219">
        <v>702</v>
      </c>
      <c r="O661" s="219">
        <v>2</v>
      </c>
      <c r="P661" s="221"/>
      <c r="Q661" s="221"/>
      <c r="R661" s="221"/>
      <c r="S661" s="221"/>
      <c r="T661" s="221"/>
      <c r="U661" s="221"/>
      <c r="V661" s="221">
        <v>13</v>
      </c>
      <c r="W661" s="220">
        <v>1</v>
      </c>
      <c r="X661" s="220">
        <v>3</v>
      </c>
      <c r="Y661" s="220"/>
      <c r="Z661" s="221">
        <v>3</v>
      </c>
      <c r="AA661" s="220" t="s">
        <v>517</v>
      </c>
    </row>
    <row r="662" spans="1:27" ht="16.5" customHeight="1" x14ac:dyDescent="0.3">
      <c r="A662" s="49"/>
      <c r="B662" s="130" t="str">
        <f ca="1">'Translation Table'!H2382</f>
        <v>Sweetening: DGA (Diglycolamine)</v>
      </c>
      <c r="C662" s="54" t="str">
        <f ca="1">'Translation Table'!H2382</f>
        <v>Sweetening: DGA (Diglycolamine)</v>
      </c>
      <c r="D662" s="219">
        <v>2</v>
      </c>
      <c r="E662" s="221">
        <v>3</v>
      </c>
      <c r="F662" s="221"/>
      <c r="G662" s="221"/>
      <c r="H662" s="221">
        <v>0</v>
      </c>
      <c r="I662" s="221"/>
      <c r="J662" s="221"/>
      <c r="K662" s="219">
        <f t="shared" si="12"/>
        <v>60</v>
      </c>
      <c r="L662" s="219">
        <v>60</v>
      </c>
      <c r="M662" s="219"/>
      <c r="N662" s="219">
        <v>702</v>
      </c>
      <c r="O662" s="219">
        <v>2</v>
      </c>
      <c r="P662" s="221"/>
      <c r="Q662" s="221"/>
      <c r="R662" s="221"/>
      <c r="S662" s="221"/>
      <c r="T662" s="221"/>
      <c r="U662" s="221"/>
      <c r="V662" s="221">
        <v>13</v>
      </c>
      <c r="W662" s="220">
        <v>1</v>
      </c>
      <c r="X662" s="220">
        <v>3</v>
      </c>
      <c r="Y662" s="220"/>
      <c r="Z662" s="221">
        <v>3</v>
      </c>
      <c r="AA662" s="220" t="s">
        <v>517</v>
      </c>
    </row>
    <row r="663" spans="1:27" ht="16.5" customHeight="1" x14ac:dyDescent="0.3">
      <c r="A663" s="49"/>
      <c r="B663" s="54" t="str">
        <f ca="1">'Translation Table'!H2383</f>
        <v>Sweetening: Generic</v>
      </c>
      <c r="C663" s="54" t="str">
        <f ca="1">'Translation Table'!H2383</f>
        <v>Sweetening: Generic</v>
      </c>
      <c r="D663" s="219">
        <v>2</v>
      </c>
      <c r="E663" s="221">
        <v>3</v>
      </c>
      <c r="F663" s="221"/>
      <c r="G663" s="221"/>
      <c r="H663" s="221">
        <v>0</v>
      </c>
      <c r="I663" s="221"/>
      <c r="J663" s="221"/>
      <c r="K663" s="219">
        <f t="shared" si="12"/>
        <v>60</v>
      </c>
      <c r="L663" s="219">
        <v>60</v>
      </c>
      <c r="M663" s="219"/>
      <c r="N663" s="219">
        <v>702</v>
      </c>
      <c r="O663" s="219">
        <v>2</v>
      </c>
      <c r="P663" s="221"/>
      <c r="Q663" s="221"/>
      <c r="R663" s="221"/>
      <c r="S663" s="221"/>
      <c r="T663" s="221"/>
      <c r="U663" s="221"/>
      <c r="V663" s="221">
        <v>13</v>
      </c>
      <c r="W663" s="220">
        <v>1</v>
      </c>
      <c r="X663" s="220">
        <v>3</v>
      </c>
      <c r="Y663" s="220"/>
      <c r="Z663" s="221">
        <v>3</v>
      </c>
      <c r="AA663" s="220" t="s">
        <v>517</v>
      </c>
    </row>
    <row r="664" spans="1:27" ht="16.5" customHeight="1" x14ac:dyDescent="0.3">
      <c r="A664" s="49"/>
      <c r="B664" s="130" t="str">
        <f ca="1">'Translation Table'!H2384</f>
        <v>Sweetening: Iron Sponge</v>
      </c>
      <c r="C664" s="54" t="str">
        <f ca="1">'Translation Table'!H2384</f>
        <v>Sweetening: Iron Sponge</v>
      </c>
      <c r="D664" s="219">
        <v>1</v>
      </c>
      <c r="E664" s="221">
        <v>0</v>
      </c>
      <c r="F664" s="221"/>
      <c r="G664" s="221"/>
      <c r="H664" s="221">
        <v>0</v>
      </c>
      <c r="I664" s="221"/>
      <c r="J664" s="221"/>
      <c r="K664" s="219">
        <f t="shared" si="12"/>
        <v>31</v>
      </c>
      <c r="L664" s="219">
        <v>31</v>
      </c>
      <c r="M664" s="219"/>
      <c r="N664" s="219">
        <v>134</v>
      </c>
      <c r="O664" s="219">
        <v>2</v>
      </c>
      <c r="P664" s="221"/>
      <c r="Q664" s="221"/>
      <c r="R664" s="221"/>
      <c r="S664" s="221"/>
      <c r="T664" s="221"/>
      <c r="U664" s="221"/>
      <c r="V664" s="221">
        <v>2</v>
      </c>
      <c r="W664" s="220">
        <v>7</v>
      </c>
      <c r="X664" s="220">
        <v>12</v>
      </c>
      <c r="Y664" s="220"/>
      <c r="Z664" s="221">
        <v>3</v>
      </c>
      <c r="AA664" s="220" t="s">
        <v>517</v>
      </c>
    </row>
    <row r="665" spans="1:27" ht="16.5" customHeight="1" x14ac:dyDescent="0.3">
      <c r="A665" s="49"/>
      <c r="B665" s="54" t="str">
        <f ca="1">'Translation Table'!H2385</f>
        <v>Sweetening: LoCat</v>
      </c>
      <c r="C665" s="54" t="str">
        <f ca="1">'Translation Table'!H2385</f>
        <v>Sweetening: LoCat</v>
      </c>
      <c r="D665" s="219">
        <v>1</v>
      </c>
      <c r="E665" s="221">
        <v>0</v>
      </c>
      <c r="F665" s="221"/>
      <c r="G665" s="221"/>
      <c r="H665" s="221">
        <v>0</v>
      </c>
      <c r="I665" s="221"/>
      <c r="J665" s="221"/>
      <c r="K665" s="219">
        <f t="shared" si="12"/>
        <v>24</v>
      </c>
      <c r="L665" s="219">
        <v>24</v>
      </c>
      <c r="M665" s="219"/>
      <c r="N665" s="219">
        <v>100</v>
      </c>
      <c r="O665" s="219">
        <v>2</v>
      </c>
      <c r="P665" s="221"/>
      <c r="Q665" s="221"/>
      <c r="R665" s="221"/>
      <c r="S665" s="221"/>
      <c r="T665" s="221"/>
      <c r="U665" s="221"/>
      <c r="V665" s="221">
        <v>2</v>
      </c>
      <c r="W665" s="220">
        <v>7</v>
      </c>
      <c r="X665" s="220">
        <v>14</v>
      </c>
      <c r="Y665" s="220"/>
      <c r="Z665" s="221">
        <v>3</v>
      </c>
      <c r="AA665" s="220" t="s">
        <v>517</v>
      </c>
    </row>
    <row r="666" spans="1:27" ht="16.5" customHeight="1" x14ac:dyDescent="0.3">
      <c r="A666" s="49"/>
      <c r="B666" s="130" t="str">
        <f ca="1">'Translation Table'!H2386</f>
        <v>Sweetening: MDEA (Monodiethanolamine)</v>
      </c>
      <c r="C666" s="54" t="str">
        <f ca="1">'Translation Table'!H2386</f>
        <v>Sweetening: MDEA (Monodiethanolamine)</v>
      </c>
      <c r="D666" s="219">
        <v>2</v>
      </c>
      <c r="E666" s="221">
        <v>3</v>
      </c>
      <c r="F666" s="221"/>
      <c r="G666" s="221"/>
      <c r="H666" s="221">
        <v>0</v>
      </c>
      <c r="I666" s="221"/>
      <c r="J666" s="221"/>
      <c r="K666" s="219">
        <f t="shared" si="12"/>
        <v>60</v>
      </c>
      <c r="L666" s="219">
        <v>60</v>
      </c>
      <c r="M666" s="219"/>
      <c r="N666" s="219">
        <v>702</v>
      </c>
      <c r="O666" s="219">
        <v>2</v>
      </c>
      <c r="P666" s="221"/>
      <c r="Q666" s="221"/>
      <c r="R666" s="221"/>
      <c r="S666" s="221"/>
      <c r="T666" s="221"/>
      <c r="U666" s="221"/>
      <c r="V666" s="221">
        <v>13</v>
      </c>
      <c r="W666" s="220">
        <v>1</v>
      </c>
      <c r="X666" s="220">
        <v>3</v>
      </c>
      <c r="Y666" s="220"/>
      <c r="Z666" s="221">
        <v>3</v>
      </c>
      <c r="AA666" s="220" t="s">
        <v>517</v>
      </c>
    </row>
    <row r="667" spans="1:27" ht="16.5" customHeight="1" x14ac:dyDescent="0.3">
      <c r="A667" s="49"/>
      <c r="B667" s="54" t="str">
        <f ca="1">'Translation Table'!H2387</f>
        <v>Sweetening: MEA (Monoethanolamine)</v>
      </c>
      <c r="C667" s="54" t="str">
        <f ca="1">'Translation Table'!H2387</f>
        <v>Sweetening: MEA (Monoethanolamine)</v>
      </c>
      <c r="D667" s="219">
        <v>2</v>
      </c>
      <c r="E667" s="221">
        <v>3</v>
      </c>
      <c r="F667" s="221"/>
      <c r="G667" s="221"/>
      <c r="H667" s="221">
        <v>0</v>
      </c>
      <c r="I667" s="221"/>
      <c r="J667" s="221"/>
      <c r="K667" s="219">
        <f t="shared" si="12"/>
        <v>60</v>
      </c>
      <c r="L667" s="219">
        <v>60</v>
      </c>
      <c r="M667" s="219"/>
      <c r="N667" s="219">
        <v>702</v>
      </c>
      <c r="O667" s="219">
        <v>2</v>
      </c>
      <c r="P667" s="221"/>
      <c r="Q667" s="221"/>
      <c r="R667" s="221"/>
      <c r="S667" s="221"/>
      <c r="T667" s="221"/>
      <c r="U667" s="221"/>
      <c r="V667" s="221">
        <v>13</v>
      </c>
      <c r="W667" s="220">
        <v>1</v>
      </c>
      <c r="X667" s="220">
        <v>3</v>
      </c>
      <c r="Y667" s="220"/>
      <c r="Z667" s="221">
        <v>3</v>
      </c>
      <c r="AA667" s="220" t="s">
        <v>517</v>
      </c>
    </row>
    <row r="668" spans="1:27" ht="16.5" customHeight="1" x14ac:dyDescent="0.3">
      <c r="A668" s="49"/>
      <c r="B668" s="130" t="str">
        <f ca="1">'Translation Table'!H2388</f>
        <v>Sweetening: Selexol</v>
      </c>
      <c r="C668" s="54" t="str">
        <f ca="1">'Translation Table'!H2388</f>
        <v>Sweetening: Selexol</v>
      </c>
      <c r="D668" s="219">
        <v>4</v>
      </c>
      <c r="E668" s="221">
        <v>0</v>
      </c>
      <c r="F668" s="221"/>
      <c r="G668" s="221"/>
      <c r="H668" s="221">
        <v>0</v>
      </c>
      <c r="I668" s="221"/>
      <c r="J668" s="221"/>
      <c r="K668" s="219">
        <f t="shared" si="12"/>
        <v>104</v>
      </c>
      <c r="L668" s="219">
        <v>104</v>
      </c>
      <c r="M668" s="219"/>
      <c r="N668" s="219">
        <v>248</v>
      </c>
      <c r="O668" s="219">
        <v>2</v>
      </c>
      <c r="P668" s="221"/>
      <c r="Q668" s="221"/>
      <c r="R668" s="221"/>
      <c r="S668" s="221"/>
      <c r="T668" s="221"/>
      <c r="U668" s="221"/>
      <c r="V668" s="221">
        <v>6</v>
      </c>
      <c r="W668" s="220">
        <v>26</v>
      </c>
      <c r="X668" s="220">
        <v>62</v>
      </c>
      <c r="Y668" s="220"/>
      <c r="Z668" s="221">
        <v>3</v>
      </c>
      <c r="AA668" s="220" t="s">
        <v>517</v>
      </c>
    </row>
    <row r="669" spans="1:27" ht="16.5" customHeight="1" x14ac:dyDescent="0.3">
      <c r="A669" s="49"/>
      <c r="B669" s="54" t="str">
        <f ca="1">'Translation Table'!H2389</f>
        <v>Sweetening: Sulfacheck</v>
      </c>
      <c r="C669" s="54" t="str">
        <f ca="1">'Translation Table'!H2389</f>
        <v>Sweetening: Sulfacheck</v>
      </c>
      <c r="D669" s="219">
        <v>2</v>
      </c>
      <c r="E669" s="221">
        <v>3</v>
      </c>
      <c r="F669" s="221"/>
      <c r="G669" s="221"/>
      <c r="H669" s="221">
        <v>0</v>
      </c>
      <c r="I669" s="221"/>
      <c r="J669" s="221"/>
      <c r="K669" s="219">
        <f t="shared" si="12"/>
        <v>60</v>
      </c>
      <c r="L669" s="219">
        <v>60</v>
      </c>
      <c r="M669" s="219"/>
      <c r="N669" s="219">
        <v>702</v>
      </c>
      <c r="O669" s="219">
        <v>2</v>
      </c>
      <c r="P669" s="221"/>
      <c r="Q669" s="221"/>
      <c r="R669" s="221"/>
      <c r="S669" s="221"/>
      <c r="T669" s="221"/>
      <c r="U669" s="221"/>
      <c r="V669" s="221">
        <v>13</v>
      </c>
      <c r="W669" s="220">
        <v>1</v>
      </c>
      <c r="X669" s="220">
        <v>3</v>
      </c>
      <c r="Y669" s="220"/>
      <c r="Z669" s="221">
        <v>3</v>
      </c>
      <c r="AA669" s="220" t="s">
        <v>517</v>
      </c>
    </row>
    <row r="670" spans="1:27" ht="16.5" customHeight="1" x14ac:dyDescent="0.3">
      <c r="A670" s="49"/>
      <c r="B670" s="130" t="str">
        <f ca="1">'Translation Table'!H2390</f>
        <v>Sweetening: Sulfinol</v>
      </c>
      <c r="C670" s="54" t="str">
        <f ca="1">'Translation Table'!H2390</f>
        <v>Sweetening: Sulfinol</v>
      </c>
      <c r="D670" s="219">
        <v>2</v>
      </c>
      <c r="E670" s="221">
        <v>3</v>
      </c>
      <c r="F670" s="221"/>
      <c r="G670" s="221"/>
      <c r="H670" s="221">
        <v>0</v>
      </c>
      <c r="I670" s="221"/>
      <c r="J670" s="221"/>
      <c r="K670" s="219">
        <f t="shared" si="12"/>
        <v>60</v>
      </c>
      <c r="L670" s="219">
        <v>60</v>
      </c>
      <c r="M670" s="219"/>
      <c r="N670" s="219">
        <v>702</v>
      </c>
      <c r="O670" s="219">
        <v>2</v>
      </c>
      <c r="P670" s="221"/>
      <c r="Q670" s="221"/>
      <c r="R670" s="221"/>
      <c r="S670" s="221"/>
      <c r="T670" s="221"/>
      <c r="U670" s="221"/>
      <c r="V670" s="221">
        <v>12</v>
      </c>
      <c r="W670" s="220">
        <v>1</v>
      </c>
      <c r="X670" s="220">
        <v>3</v>
      </c>
      <c r="Y670" s="220"/>
      <c r="Z670" s="221">
        <v>3</v>
      </c>
      <c r="AA670" s="220" t="s">
        <v>517</v>
      </c>
    </row>
    <row r="671" spans="1:27" ht="16.5" customHeight="1" x14ac:dyDescent="0.3">
      <c r="A671" s="49"/>
      <c r="B671" s="54" t="str">
        <f ca="1">'Translation Table'!H2391</f>
        <v>Vapor Recovery Unit: Offshore</v>
      </c>
      <c r="C671" s="54" t="str">
        <f ca="1">'Translation Table'!H2391</f>
        <v>Vapor Recovery Unit: Offshore</v>
      </c>
      <c r="D671" s="219">
        <v>1</v>
      </c>
      <c r="E671" s="221">
        <v>8</v>
      </c>
      <c r="F671" s="221"/>
      <c r="G671" s="221"/>
      <c r="H671" s="221">
        <v>0</v>
      </c>
      <c r="I671" s="221"/>
      <c r="J671" s="221"/>
      <c r="K671" s="219">
        <f t="shared" si="12"/>
        <v>41</v>
      </c>
      <c r="L671" s="219">
        <v>41</v>
      </c>
      <c r="M671" s="219"/>
      <c r="N671" s="219">
        <v>162</v>
      </c>
      <c r="O671" s="219">
        <v>2</v>
      </c>
      <c r="P671" s="221"/>
      <c r="Q671" s="221"/>
      <c r="R671" s="221"/>
      <c r="S671" s="221"/>
      <c r="T671" s="221"/>
      <c r="U671" s="221"/>
      <c r="V671" s="221">
        <v>1</v>
      </c>
      <c r="W671" s="220">
        <v>0</v>
      </c>
      <c r="X671" s="220">
        <v>0</v>
      </c>
      <c r="Y671" s="220"/>
      <c r="Z671" s="221">
        <v>1</v>
      </c>
      <c r="AA671" s="220" t="s">
        <v>2081</v>
      </c>
    </row>
    <row r="672" spans="1:27" ht="16.5" customHeight="1" x14ac:dyDescent="0.3">
      <c r="A672" s="49"/>
      <c r="B672" s="130" t="str">
        <f ca="1">'Translation Table'!H2392</f>
        <v>Vapor Recovery Unit: Onshore</v>
      </c>
      <c r="C672" s="54" t="str">
        <f ca="1">'Translation Table'!H2392</f>
        <v>Vapor Recovery Unit: Onshore</v>
      </c>
      <c r="D672" s="219">
        <v>1</v>
      </c>
      <c r="E672" s="221">
        <v>3</v>
      </c>
      <c r="F672" s="221"/>
      <c r="G672" s="221"/>
      <c r="H672" s="221">
        <v>0</v>
      </c>
      <c r="I672" s="221"/>
      <c r="J672" s="221"/>
      <c r="K672" s="219">
        <f t="shared" si="12"/>
        <v>10</v>
      </c>
      <c r="L672" s="219">
        <v>10</v>
      </c>
      <c r="M672" s="219"/>
      <c r="N672" s="219">
        <v>78</v>
      </c>
      <c r="O672" s="219">
        <v>2</v>
      </c>
      <c r="P672" s="221"/>
      <c r="Q672" s="221"/>
      <c r="R672" s="221"/>
      <c r="S672" s="221"/>
      <c r="T672" s="221"/>
      <c r="U672" s="221"/>
      <c r="V672" s="221">
        <v>1</v>
      </c>
      <c r="W672" s="220">
        <v>0</v>
      </c>
      <c r="X672" s="220">
        <v>0</v>
      </c>
      <c r="Y672" s="220"/>
      <c r="Z672" s="221">
        <v>1</v>
      </c>
      <c r="AA672" s="220" t="s">
        <v>2081</v>
      </c>
    </row>
    <row r="674" spans="3:10" x14ac:dyDescent="0.3">
      <c r="C674" s="39" t="s">
        <v>1322</v>
      </c>
    </row>
    <row r="675" spans="3:10" x14ac:dyDescent="0.3">
      <c r="C675" s="39"/>
    </row>
    <row r="676" spans="3:10" hidden="1" x14ac:dyDescent="0.3">
      <c r="C676" s="1100" t="s">
        <v>30</v>
      </c>
      <c r="D676" s="1102" t="s">
        <v>1189</v>
      </c>
      <c r="E676" s="1102"/>
      <c r="F676" s="1102" t="s">
        <v>1188</v>
      </c>
      <c r="G676" s="1102"/>
      <c r="H676" s="1100" t="s">
        <v>1186</v>
      </c>
      <c r="I676" s="1100" t="s">
        <v>1187</v>
      </c>
      <c r="J676" s="1100" t="s">
        <v>824</v>
      </c>
    </row>
    <row r="677" spans="3:10" hidden="1" x14ac:dyDescent="0.3">
      <c r="C677" s="1101"/>
      <c r="D677" s="95" t="s">
        <v>1190</v>
      </c>
      <c r="E677" s="95" t="s">
        <v>1191</v>
      </c>
      <c r="F677" s="95" t="s">
        <v>1190</v>
      </c>
      <c r="G677" s="95" t="s">
        <v>1191</v>
      </c>
      <c r="H677" s="1101"/>
      <c r="I677" s="1101"/>
      <c r="J677" s="1101"/>
    </row>
    <row r="678" spans="3:10" hidden="1" x14ac:dyDescent="0.3">
      <c r="C678" s="49" t="str">
        <f ca="1">OffshoreOilProduction</f>
        <v>Offshore Oil Production</v>
      </c>
      <c r="D678" s="49">
        <f>ROW(OfOP)</f>
        <v>6</v>
      </c>
      <c r="E678" s="49">
        <f>ROW(OfGP)-1</f>
        <v>93</v>
      </c>
      <c r="F678" s="128">
        <f>ROW('Translation Table'!I$1720)+D678</f>
        <v>1726</v>
      </c>
      <c r="G678" s="128">
        <f>ROW('Translation Table'!I$1720)+E678</f>
        <v>1813</v>
      </c>
      <c r="H678" s="97" t="str">
        <f>CONCATENATE("'Translation Table'!I",$F678,":I",$G678)</f>
        <v>'Translation Table'!I1726:I1813</v>
      </c>
      <c r="I678" s="97" t="str">
        <f>CONCATENATE("'Translation Table'!j",$F678,":j",$G678)</f>
        <v>'Translation Table'!j1726:j1813</v>
      </c>
      <c r="J678" s="97" t="str">
        <f>CONCATENATE("'Translation Table'!h",$F678,":h",$G678)</f>
        <v>'Translation Table'!h1726:h1813</v>
      </c>
    </row>
    <row r="679" spans="3:10" hidden="1" x14ac:dyDescent="0.3">
      <c r="C679" s="49" t="str">
        <f ca="1">OffshoreGasProduction</f>
        <v>Offshore Gas Production</v>
      </c>
      <c r="D679" s="49">
        <f>ROW(OfGP)</f>
        <v>94</v>
      </c>
      <c r="E679" s="49">
        <f>ROW(OnOP)-1</f>
        <v>181</v>
      </c>
      <c r="F679" s="128">
        <f>ROW('Translation Table'!I$1720)+D679</f>
        <v>1814</v>
      </c>
      <c r="G679" s="128">
        <f>ROW('Translation Table'!I$1720)+E679</f>
        <v>1901</v>
      </c>
      <c r="H679" s="97" t="str">
        <f>CONCATENATE("'Translation Table'!I",$F678,":I",$G678)</f>
        <v>'Translation Table'!I1726:I1813</v>
      </c>
      <c r="I679" s="97" t="str">
        <f>CONCATENATE("'Translation Table'!j",$F678,":j",$G678)</f>
        <v>'Translation Table'!j1726:j1813</v>
      </c>
      <c r="J679" s="97" t="str">
        <f>CONCATENATE("'Translation Table'!h",$F678,":h",$G678)</f>
        <v>'Translation Table'!h1726:h1813</v>
      </c>
    </row>
    <row r="680" spans="3:10" hidden="1" x14ac:dyDescent="0.3">
      <c r="C680" s="49" t="str">
        <f ca="1">OnshoreOilProduction</f>
        <v>Onshore Oil Production</v>
      </c>
      <c r="D680" s="49">
        <f>ROW(OnOP)</f>
        <v>182</v>
      </c>
      <c r="E680" s="49">
        <f>ROW(OnGP)-1</f>
        <v>273</v>
      </c>
      <c r="F680" s="128">
        <f>ROW('Translation Table'!I$1720)+D680</f>
        <v>1902</v>
      </c>
      <c r="G680" s="128">
        <f>ROW('Translation Table'!I$1720)+E680</f>
        <v>1993</v>
      </c>
      <c r="H680" s="97" t="str">
        <f t="shared" ref="H680:H686" si="13">CONCATENATE("'Translation Table'!i",$F680,":i",$G680)</f>
        <v>'Translation Table'!i1902:i1993</v>
      </c>
      <c r="I680" s="97" t="str">
        <f t="shared" ref="I680:I686" si="14">CONCATENATE("'Translation Table'!j",$F680,":j",$G680)</f>
        <v>'Translation Table'!j1902:j1993</v>
      </c>
      <c r="J680" s="97" t="str">
        <f t="shared" ref="J680:J686" si="15">CONCATENATE("'Translation Table'!h",$F680,":h",$G680)</f>
        <v>'Translation Table'!h1902:h1993</v>
      </c>
    </row>
    <row r="681" spans="3:10" hidden="1" x14ac:dyDescent="0.3">
      <c r="C681" s="49" t="str">
        <f ca="1">OnshoreGasProduction</f>
        <v>Onshore Gas Production</v>
      </c>
      <c r="D681" s="49">
        <f>ROW(OnGP)</f>
        <v>274</v>
      </c>
      <c r="E681" s="49">
        <f>ROW(GP)-1</f>
        <v>368</v>
      </c>
      <c r="F681" s="128">
        <f>ROW('Translation Table'!I$1720)+D681</f>
        <v>1994</v>
      </c>
      <c r="G681" s="128">
        <f>ROW('Translation Table'!I$1720)+E681</f>
        <v>2088</v>
      </c>
      <c r="H681" s="97" t="str">
        <f t="shared" si="13"/>
        <v>'Translation Table'!i1994:i2088</v>
      </c>
      <c r="I681" s="97" t="str">
        <f t="shared" si="14"/>
        <v>'Translation Table'!j1994:j2088</v>
      </c>
      <c r="J681" s="97" t="str">
        <f t="shared" si="15"/>
        <v>'Translation Table'!h1994:h2088</v>
      </c>
    </row>
    <row r="682" spans="3:10" hidden="1" x14ac:dyDescent="0.3">
      <c r="C682" s="49" t="str">
        <f ca="1">GasProcessing</f>
        <v>Gas Processing</v>
      </c>
      <c r="D682" s="49">
        <f>ROW(GP)</f>
        <v>369</v>
      </c>
      <c r="E682" s="49">
        <f>ROW(GT)-1</f>
        <v>462</v>
      </c>
      <c r="F682" s="128">
        <f>ROW('Translation Table'!I$1720)+D682</f>
        <v>2089</v>
      </c>
      <c r="G682" s="128">
        <f>ROW('Translation Table'!I$1720)+E682</f>
        <v>2182</v>
      </c>
      <c r="H682" s="97" t="str">
        <f t="shared" si="13"/>
        <v>'Translation Table'!i2089:i2182</v>
      </c>
      <c r="I682" s="97" t="str">
        <f t="shared" si="14"/>
        <v>'Translation Table'!j2089:j2182</v>
      </c>
      <c r="J682" s="97" t="str">
        <f t="shared" si="15"/>
        <v>'Translation Table'!h2089:h2182</v>
      </c>
    </row>
    <row r="683" spans="3:10" hidden="1" x14ac:dyDescent="0.3">
      <c r="C683" s="49" t="str">
        <f ca="1">GasTransmission</f>
        <v>Gas Transmission</v>
      </c>
      <c r="D683" s="49">
        <f>ROW(GT)</f>
        <v>463</v>
      </c>
      <c r="E683" s="49">
        <f>ROW(GS)-1</f>
        <v>505</v>
      </c>
      <c r="F683" s="128">
        <f>ROW('Translation Table'!I$1720)+D683</f>
        <v>2183</v>
      </c>
      <c r="G683" s="128">
        <f>ROW('Translation Table'!I$1720)+E683</f>
        <v>2225</v>
      </c>
      <c r="H683" s="97" t="str">
        <f t="shared" si="13"/>
        <v>'Translation Table'!i2183:i2225</v>
      </c>
      <c r="I683" s="97" t="str">
        <f t="shared" si="14"/>
        <v>'Translation Table'!j2183:j2225</v>
      </c>
      <c r="J683" s="97" t="str">
        <f t="shared" si="15"/>
        <v>'Translation Table'!h2183:h2225</v>
      </c>
    </row>
    <row r="684" spans="3:10" hidden="1" x14ac:dyDescent="0.3">
      <c r="C684" s="49" t="str">
        <f ca="1">GasStorage</f>
        <v>Gas Storage</v>
      </c>
      <c r="D684" s="49">
        <f>ROW(GS)</f>
        <v>506</v>
      </c>
      <c r="E684" s="49">
        <f>ROW(GD)-1</f>
        <v>547</v>
      </c>
      <c r="F684" s="128">
        <f>ROW('Translation Table'!I$1720)+D684</f>
        <v>2226</v>
      </c>
      <c r="G684" s="128">
        <f>ROW('Translation Table'!I$1720)+E684</f>
        <v>2267</v>
      </c>
      <c r="H684" s="97" t="str">
        <f t="shared" si="13"/>
        <v>'Translation Table'!i2226:i2267</v>
      </c>
      <c r="I684" s="97" t="str">
        <f t="shared" si="14"/>
        <v>'Translation Table'!j2226:j2267</v>
      </c>
      <c r="J684" s="97" t="str">
        <f t="shared" si="15"/>
        <v>'Translation Table'!h2226:h2267</v>
      </c>
    </row>
    <row r="685" spans="3:10" hidden="1" x14ac:dyDescent="0.3">
      <c r="C685" s="49" t="str">
        <f ca="1">GasDistribution</f>
        <v>Gas Distribution</v>
      </c>
      <c r="D685" s="49">
        <f>ROW(GD)</f>
        <v>548</v>
      </c>
      <c r="E685" s="49">
        <f>ROW(PR)-1</f>
        <v>580</v>
      </c>
      <c r="F685" s="128">
        <f>ROW('Translation Table'!I$1720)+D685</f>
        <v>2268</v>
      </c>
      <c r="G685" s="128">
        <f>ROW('Translation Table'!I$1720)+E685</f>
        <v>2300</v>
      </c>
      <c r="H685" s="97" t="str">
        <f t="shared" si="13"/>
        <v>'Translation Table'!i2268:i2300</v>
      </c>
      <c r="I685" s="97" t="str">
        <f t="shared" si="14"/>
        <v>'Translation Table'!j2268:j2300</v>
      </c>
      <c r="J685" s="97" t="str">
        <f t="shared" si="15"/>
        <v>'Translation Table'!h2268:h2300</v>
      </c>
    </row>
    <row r="686" spans="3:10" hidden="1" x14ac:dyDescent="0.3">
      <c r="C686" s="49" t="str">
        <f ca="1">PetroleumRefining</f>
        <v>Petroleum Refining</v>
      </c>
      <c r="D686" s="49">
        <f>ROW(PR)</f>
        <v>581</v>
      </c>
      <c r="E686" s="49">
        <f>ROW($A672)</f>
        <v>672</v>
      </c>
      <c r="F686" s="128">
        <f>ROW('Translation Table'!I$1720)+D686</f>
        <v>2301</v>
      </c>
      <c r="G686" s="128">
        <f>ROW('Translation Table'!I$1720)+E686</f>
        <v>2392</v>
      </c>
      <c r="H686" s="97" t="str">
        <f t="shared" si="13"/>
        <v>'Translation Table'!i2301:i2392</v>
      </c>
      <c r="I686" s="97" t="str">
        <f t="shared" si="14"/>
        <v>'Translation Table'!j2301:j2392</v>
      </c>
      <c r="J686" s="97" t="str">
        <f t="shared" si="15"/>
        <v>'Translation Table'!h2301:h2392</v>
      </c>
    </row>
    <row r="688" spans="3:10" x14ac:dyDescent="0.3">
      <c r="C688" s="57"/>
    </row>
  </sheetData>
  <sheetProtection algorithmName="SHA-512" hashValue="dWBpOOrJ7qM6DrGKcCe5V40xVB8jGohIAs8zFOTNnS0V+a/9UmUIjt8qEy7Mf3wW63IiePS+id5873MFl8564A==" saltValue="2XLD5j8Zd5Z+38hQN+AMPQ==" spinCount="100000" sheet="1" objects="1" scenarios="1"/>
  <sortState xmlns:xlrd2="http://schemas.microsoft.com/office/spreadsheetml/2017/richdata2" ref="C30:V69">
    <sortCondition ref="C30:C69"/>
  </sortState>
  <mergeCells count="18">
    <mergeCell ref="B2:H2"/>
    <mergeCell ref="I676:I677"/>
    <mergeCell ref="J676:J677"/>
    <mergeCell ref="C676:C677"/>
    <mergeCell ref="F676:G676"/>
    <mergeCell ref="D676:E676"/>
    <mergeCell ref="H676:H677"/>
    <mergeCell ref="I4:I5"/>
    <mergeCell ref="J4:J5"/>
    <mergeCell ref="B3:B5"/>
    <mergeCell ref="AA4:AA5"/>
    <mergeCell ref="H4:H5"/>
    <mergeCell ref="C3:C5"/>
    <mergeCell ref="D3:Y3"/>
    <mergeCell ref="D4:D5"/>
    <mergeCell ref="K4:V4"/>
    <mergeCell ref="W4:Y4"/>
    <mergeCell ref="E4:G4"/>
  </mergeCells>
  <pageMargins left="0.7" right="0.7" top="0.75" bottom="0.75" header="0.3" footer="0.3"/>
  <pageSetup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EEA47F"/>
  </sheetPr>
  <dimension ref="A1:U350"/>
  <sheetViews>
    <sheetView showGridLines="0" workbookViewId="0">
      <selection activeCell="D1" sqref="D1"/>
    </sheetView>
  </sheetViews>
  <sheetFormatPr defaultColWidth="9.1796875" defaultRowHeight="14" x14ac:dyDescent="0.3"/>
  <cols>
    <col min="1" max="1" width="25.1796875" style="256" customWidth="1"/>
    <col min="2" max="2" width="49.26953125" style="256" bestFit="1" customWidth="1"/>
    <col min="3" max="3" width="31.1796875" style="256" bestFit="1" customWidth="1"/>
    <col min="4" max="4" width="40.1796875" style="256" customWidth="1"/>
    <col min="5" max="5" width="30.26953125" style="256" bestFit="1" customWidth="1"/>
    <col min="6" max="6" width="31" style="256" bestFit="1" customWidth="1"/>
    <col min="7" max="7" width="33.81640625" style="256" bestFit="1" customWidth="1"/>
    <col min="8" max="8" width="25.7265625" style="256" bestFit="1" customWidth="1"/>
    <col min="9" max="9" width="17.54296875" style="91" bestFit="1" customWidth="1"/>
    <col min="10" max="10" width="52" style="91" customWidth="1"/>
    <col min="11" max="11" width="27.1796875" style="256" hidden="1" customWidth="1"/>
    <col min="12" max="12" width="28.1796875" style="256" hidden="1" customWidth="1"/>
    <col min="13" max="13" width="15.81640625" style="256" hidden="1" customWidth="1"/>
    <col min="14" max="14" width="12.453125" style="256" hidden="1" customWidth="1"/>
    <col min="15" max="15" width="9.1796875" style="256" hidden="1" customWidth="1"/>
    <col min="16" max="16" width="22.453125" style="256" customWidth="1"/>
    <col min="17" max="17" width="9.1796875" style="325" customWidth="1"/>
    <col min="18" max="16384" width="9.1796875" style="256"/>
  </cols>
  <sheetData>
    <row r="1" spans="1:21" ht="22.5" x14ac:dyDescent="0.45">
      <c r="A1" s="1109" t="str">
        <f ca="1">'Translation Table'!H1372</f>
        <v>Pneumatic Controllers</v>
      </c>
      <c r="B1" s="1109"/>
    </row>
    <row r="3" spans="1:21" ht="15.5" x14ac:dyDescent="0.3">
      <c r="A3" s="92" t="str">
        <f ca="1">'Translation Table'!H1373</f>
        <v>Industry Segment</v>
      </c>
      <c r="B3" s="92" t="str">
        <f ca="1">'Translation Table'!H1374</f>
        <v>Controller</v>
      </c>
      <c r="C3" s="92" t="str">
        <f ca="1">'Translation Table'!H1375</f>
        <v>Uncontrolled Emission Factor</v>
      </c>
      <c r="D3" s="92" t="str">
        <f ca="1">'Translation Table'!H1376</f>
        <v xml:space="preserve">Data </v>
      </c>
      <c r="E3" s="1095" t="str">
        <f ca="1">'Translation Table'!H1377</f>
        <v>As Reported in Reference</v>
      </c>
      <c r="F3" s="1105"/>
      <c r="G3" s="68" t="str">
        <f ca="1">'Translation Table'!H1378</f>
        <v>Conversion Factor</v>
      </c>
      <c r="H3" s="91"/>
      <c r="J3" s="256"/>
      <c r="P3" s="325"/>
      <c r="Q3" s="256"/>
    </row>
    <row r="4" spans="1:21" ht="15.5" x14ac:dyDescent="0.3">
      <c r="A4" s="93"/>
      <c r="B4" s="93" t="str">
        <f ca="1">'Translation Table'!H1379</f>
        <v>Type</v>
      </c>
      <c r="C4" s="93" t="str">
        <f ca="1">'Translation Table'!H1380</f>
        <v>(Nm3/d/device)</v>
      </c>
      <c r="D4" s="93" t="str">
        <f ca="1">'Translation Table'!H1381</f>
        <v>Source</v>
      </c>
      <c r="E4" s="92" t="str">
        <f ca="1">'Translation Table'!H1382</f>
        <v>EF Value</v>
      </c>
      <c r="F4" s="92" t="str">
        <f ca="1">'Translation Table'!H1383</f>
        <v>Units of</v>
      </c>
      <c r="G4" s="92" t="str">
        <f ca="1">'Translation Table'!H1384</f>
        <v>Value</v>
      </c>
      <c r="H4" s="91"/>
      <c r="J4" s="256"/>
      <c r="K4" s="1100" t="s">
        <v>30</v>
      </c>
      <c r="L4" s="1102" t="str">
        <f ca="1">A1</f>
        <v>Pneumatic Controllers</v>
      </c>
      <c r="M4" s="1102"/>
      <c r="N4" s="1100" t="s">
        <v>1186</v>
      </c>
      <c r="P4" s="325"/>
      <c r="Q4" s="256"/>
    </row>
    <row r="5" spans="1:21" ht="15.5" x14ac:dyDescent="0.3">
      <c r="A5" s="94"/>
      <c r="B5" s="94"/>
      <c r="C5" s="94"/>
      <c r="D5" s="94"/>
      <c r="E5" s="94" t="s">
        <v>2747</v>
      </c>
      <c r="F5" s="94" t="str">
        <f ca="1">'Translation Table'!H1386</f>
        <v>Measure</v>
      </c>
      <c r="G5" s="94"/>
      <c r="H5" s="91"/>
      <c r="J5" s="256"/>
      <c r="K5" s="873"/>
      <c r="L5" s="95" t="s">
        <v>1190</v>
      </c>
      <c r="M5" s="95" t="s">
        <v>1191</v>
      </c>
      <c r="N5" s="873"/>
      <c r="P5" s="325"/>
      <c r="Q5" s="256"/>
    </row>
    <row r="6" spans="1:21" s="257" customFormat="1" ht="15" customHeight="1" x14ac:dyDescent="0.3">
      <c r="A6" s="238" t="str">
        <f t="shared" ref="A6:A11" ca="1" si="0">OffshoreOilProduction</f>
        <v>Offshore Oil Production</v>
      </c>
      <c r="B6" s="238" t="str">
        <f ca="1">'Translation Table'!H1387</f>
        <v>High-Bleed</v>
      </c>
      <c r="C6" s="457">
        <f t="shared" ref="C6:C11" si="1">E6*G6</f>
        <v>25.349244119999998</v>
      </c>
      <c r="D6" s="225" t="s">
        <v>2069</v>
      </c>
      <c r="E6" s="194">
        <f>37.3</f>
        <v>37.299999999999997</v>
      </c>
      <c r="F6" s="225" t="s">
        <v>2746</v>
      </c>
      <c r="G6" s="238">
        <f>scf_per_h_per_device_to_m3_per_d_per_device</f>
        <v>0.6796044</v>
      </c>
      <c r="H6" s="96"/>
      <c r="I6" s="96"/>
      <c r="K6" s="237" t="str">
        <f ca="1">OffshoreOilProduction</f>
        <v>Offshore Oil Production</v>
      </c>
      <c r="L6" s="237">
        <f>ROW(A6)</f>
        <v>6</v>
      </c>
      <c r="M6" s="237">
        <f>ROW(A11)</f>
        <v>11</v>
      </c>
      <c r="N6" s="664" t="str">
        <f t="shared" ref="N6:N11" si="2">CONCATENATE("'EFs - Other'!b",$L6,":b",$M6)</f>
        <v>'EFs - Other'!b6:b11</v>
      </c>
      <c r="O6" s="98" t="s">
        <v>2176</v>
      </c>
      <c r="P6" s="358"/>
    </row>
    <row r="7" spans="1:21" s="257" customFormat="1" ht="15" customHeight="1" x14ac:dyDescent="0.3">
      <c r="A7" s="237" t="str">
        <f t="shared" ca="1" si="0"/>
        <v>Offshore Oil Production</v>
      </c>
      <c r="B7" s="237" t="str">
        <f ca="1">'Translation Table'!H1388</f>
        <v>Intermittent Bleed</v>
      </c>
      <c r="C7" s="260">
        <f t="shared" si="1"/>
        <v>9.1746593999999995</v>
      </c>
      <c r="D7" s="225" t="s">
        <v>2070</v>
      </c>
      <c r="E7" s="194">
        <f>13.5</f>
        <v>13.5</v>
      </c>
      <c r="F7" s="225" t="s">
        <v>2746</v>
      </c>
      <c r="G7" s="237">
        <f>scf_per_h_per_device_to_m3_per_d_per_device</f>
        <v>0.6796044</v>
      </c>
      <c r="H7" s="96"/>
      <c r="I7" s="96"/>
      <c r="K7" s="237" t="str">
        <f ca="1">OffshoreGasProduction</f>
        <v>Offshore Gas Production</v>
      </c>
      <c r="L7" s="237">
        <f>ROW(A12)</f>
        <v>12</v>
      </c>
      <c r="M7" s="237">
        <f>ROW(A17)</f>
        <v>17</v>
      </c>
      <c r="N7" s="664" t="str">
        <f t="shared" si="2"/>
        <v>'EFs - Other'!b12:b17</v>
      </c>
      <c r="O7" s="98" t="s">
        <v>3340</v>
      </c>
      <c r="P7" s="358"/>
    </row>
    <row r="8" spans="1:21" s="257" customFormat="1" ht="15" customHeight="1" x14ac:dyDescent="0.3">
      <c r="A8" s="238" t="str">
        <f t="shared" ca="1" si="0"/>
        <v>Offshore Oil Production</v>
      </c>
      <c r="B8" s="238" t="str">
        <f ca="1">'Translation Table'!H1389</f>
        <v>Low-Bleed</v>
      </c>
      <c r="C8" s="457">
        <f t="shared" si="1"/>
        <v>0.94465011599999993</v>
      </c>
      <c r="D8" s="225" t="s">
        <v>2069</v>
      </c>
      <c r="E8" s="194">
        <f>1.39</f>
        <v>1.39</v>
      </c>
      <c r="F8" s="225" t="s">
        <v>2746</v>
      </c>
      <c r="G8" s="238">
        <f>scf_per_h_per_device_to_m3_per_d_per_device</f>
        <v>0.6796044</v>
      </c>
      <c r="H8" s="96"/>
      <c r="I8" s="96"/>
      <c r="K8" s="237" t="str">
        <f ca="1">OnshoreOilProduction</f>
        <v>Onshore Oil Production</v>
      </c>
      <c r="L8" s="237">
        <f>ROW(A18)</f>
        <v>18</v>
      </c>
      <c r="M8" s="237">
        <f>ROW(A23)</f>
        <v>23</v>
      </c>
      <c r="N8" s="664" t="str">
        <f t="shared" si="2"/>
        <v>'EFs - Other'!b18:b23</v>
      </c>
      <c r="O8" s="98" t="s">
        <v>3341</v>
      </c>
      <c r="P8" s="358"/>
    </row>
    <row r="9" spans="1:21" s="257" customFormat="1" ht="15" customHeight="1" x14ac:dyDescent="0.3">
      <c r="A9" s="237" t="str">
        <f t="shared" ca="1" si="0"/>
        <v>Offshore Oil Production</v>
      </c>
      <c r="B9" s="237" t="str">
        <f ca="1">'Translation Table'!H1390</f>
        <v>No-Bleed</v>
      </c>
      <c r="C9" s="260">
        <f t="shared" si="1"/>
        <v>0</v>
      </c>
      <c r="D9" s="225" t="s">
        <v>14</v>
      </c>
      <c r="E9" s="194">
        <v>0</v>
      </c>
      <c r="F9" s="225" t="s">
        <v>20</v>
      </c>
      <c r="G9" s="237">
        <f>scf_per_d_per_device_to_m3_per_d_per_device</f>
        <v>2.8316850000000001E-2</v>
      </c>
      <c r="H9" s="96"/>
      <c r="I9" s="96"/>
      <c r="K9" s="237" t="str">
        <f ca="1">OnshoreGasProduction</f>
        <v>Onshore Gas Production</v>
      </c>
      <c r="L9" s="237">
        <f>ROW(A24)</f>
        <v>24</v>
      </c>
      <c r="M9" s="237">
        <f>ROW(A29)</f>
        <v>29</v>
      </c>
      <c r="N9" s="664" t="str">
        <f t="shared" si="2"/>
        <v>'EFs - Other'!b24:b29</v>
      </c>
      <c r="O9" s="98" t="s">
        <v>3342</v>
      </c>
      <c r="P9" s="358"/>
    </row>
    <row r="10" spans="1:21" s="257" customFormat="1" ht="15" customHeight="1" x14ac:dyDescent="0.3">
      <c r="A10" s="238" t="str">
        <f t="shared" ca="1" si="0"/>
        <v>Offshore Oil Production</v>
      </c>
      <c r="B10" s="238" t="str">
        <f ca="1">'Translation Table'!H1392</f>
        <v>Not Applicable</v>
      </c>
      <c r="C10" s="457">
        <f t="shared" si="1"/>
        <v>0</v>
      </c>
      <c r="D10" s="225" t="s">
        <v>14</v>
      </c>
      <c r="E10" s="194">
        <v>0</v>
      </c>
      <c r="F10" s="225" t="s">
        <v>20</v>
      </c>
      <c r="G10" s="238" cm="1">
        <f t="array" ref="G10">scf_per_d_per_device_to_m3_per_d_per_device</f>
        <v>2.8316850000000001E-2</v>
      </c>
      <c r="H10" s="96"/>
      <c r="I10" s="96"/>
      <c r="K10" s="237" t="str">
        <f ca="1">GasProcessing</f>
        <v>Gas Processing</v>
      </c>
      <c r="L10" s="237">
        <f>ROW(A30)</f>
        <v>30</v>
      </c>
      <c r="M10" s="237">
        <f>ROW(B34)</f>
        <v>34</v>
      </c>
      <c r="N10" s="664" t="str">
        <f t="shared" si="2"/>
        <v>'EFs - Other'!b30:b34</v>
      </c>
      <c r="O10" s="98" t="s">
        <v>3343</v>
      </c>
      <c r="S10" s="99"/>
      <c r="T10" s="100"/>
      <c r="U10" s="358"/>
    </row>
    <row r="11" spans="1:21" s="257" customFormat="1" ht="15" customHeight="1" x14ac:dyDescent="0.3">
      <c r="A11" s="237" t="str">
        <f t="shared" ca="1" si="0"/>
        <v>Offshore Oil Production</v>
      </c>
      <c r="B11" s="237" t="str">
        <f ca="1">'Translation Table'!H1391</f>
        <v>Type Unknown</v>
      </c>
      <c r="C11" s="260">
        <f t="shared" si="1"/>
        <v>6.2523604799999992</v>
      </c>
      <c r="D11" s="225" t="s">
        <v>2106</v>
      </c>
      <c r="E11" s="194">
        <f>9.2</f>
        <v>9.1999999999999993</v>
      </c>
      <c r="F11" s="225" t="s">
        <v>2746</v>
      </c>
      <c r="G11" s="237">
        <f>scf_per_h_per_device_to_m3_per_d_per_device</f>
        <v>0.6796044</v>
      </c>
      <c r="H11" s="96"/>
      <c r="I11" s="96"/>
      <c r="K11" s="237" t="str">
        <f ca="1">GasTransmission</f>
        <v>Gas Transmission</v>
      </c>
      <c r="L11" s="237">
        <f>ROW(A35)</f>
        <v>35</v>
      </c>
      <c r="M11" s="237">
        <f>ROW(B39)</f>
        <v>39</v>
      </c>
      <c r="N11" s="664" t="str">
        <f t="shared" si="2"/>
        <v>'EFs - Other'!b35:b39</v>
      </c>
      <c r="O11" s="98" t="s">
        <v>3344</v>
      </c>
      <c r="P11" s="358"/>
    </row>
    <row r="12" spans="1:21" s="257" customFormat="1" ht="15" customHeight="1" x14ac:dyDescent="0.3">
      <c r="A12" s="238" t="str">
        <f t="shared" ref="A12:A17" ca="1" si="3">OffshoreGasProduction</f>
        <v>Offshore Gas Production</v>
      </c>
      <c r="B12" s="238" t="str">
        <f ca="1">'Translation Table'!H1387</f>
        <v>High-Bleed</v>
      </c>
      <c r="C12" s="457">
        <f t="shared" ref="C12:C17" si="4">E12*G12</f>
        <v>25.349244119999998</v>
      </c>
      <c r="D12" s="225" t="s">
        <v>2069</v>
      </c>
      <c r="E12" s="194">
        <f>37.3</f>
        <v>37.299999999999997</v>
      </c>
      <c r="F12" s="225" t="s">
        <v>2746</v>
      </c>
      <c r="G12" s="238">
        <f>scf_per_h_per_device_to_m3_per_d_per_device</f>
        <v>0.6796044</v>
      </c>
      <c r="H12" s="96"/>
      <c r="I12" s="96"/>
      <c r="K12" s="237" t="str">
        <f ca="1">GasStorage</f>
        <v>Gas Storage</v>
      </c>
      <c r="L12" s="237">
        <f>ROW(A40)</f>
        <v>40</v>
      </c>
      <c r="M12" s="237">
        <f>ROW(B44)</f>
        <v>44</v>
      </c>
      <c r="N12" s="664" t="str">
        <f>CONCATENATE("'EFs - Other'!b",$L12,":b",$M12)</f>
        <v>'EFs - Other'!b40:b44</v>
      </c>
      <c r="O12" s="98" t="s">
        <v>3345</v>
      </c>
      <c r="P12" s="358"/>
    </row>
    <row r="13" spans="1:21" s="257" customFormat="1" ht="15" customHeight="1" x14ac:dyDescent="0.3">
      <c r="A13" s="237" t="str">
        <f t="shared" ca="1" si="3"/>
        <v>Offshore Gas Production</v>
      </c>
      <c r="B13" s="237" t="str">
        <f ca="1">'Translation Table'!H1388</f>
        <v>Intermittent Bleed</v>
      </c>
      <c r="C13" s="260">
        <f t="shared" si="4"/>
        <v>9.1746593999999995</v>
      </c>
      <c r="D13" s="225" t="s">
        <v>2070</v>
      </c>
      <c r="E13" s="194">
        <f>13.5</f>
        <v>13.5</v>
      </c>
      <c r="F13" s="225" t="s">
        <v>2746</v>
      </c>
      <c r="G13" s="237">
        <f>scf_per_h_per_device_to_m3_per_d_per_device</f>
        <v>0.6796044</v>
      </c>
      <c r="H13" s="96"/>
      <c r="I13" s="96"/>
      <c r="K13" s="237" t="str">
        <f ca="1">GasDistribution</f>
        <v>Gas Distribution</v>
      </c>
      <c r="L13" s="237">
        <f>ROW(A45)</f>
        <v>45</v>
      </c>
      <c r="M13" s="237">
        <f>ROW(A49)</f>
        <v>49</v>
      </c>
      <c r="N13" s="97" t="str">
        <f>CONCATENATE("'EFs - Other'!b",$L13,":b",$M13)</f>
        <v>'EFs - Other'!b45:b49</v>
      </c>
      <c r="O13" s="98" t="s">
        <v>3346</v>
      </c>
      <c r="P13" s="358"/>
    </row>
    <row r="14" spans="1:21" s="257" customFormat="1" ht="15" customHeight="1" x14ac:dyDescent="0.3">
      <c r="A14" s="238" t="str">
        <f t="shared" ca="1" si="3"/>
        <v>Offshore Gas Production</v>
      </c>
      <c r="B14" s="238" t="str">
        <f ca="1">'Translation Table'!H1389</f>
        <v>Low-Bleed</v>
      </c>
      <c r="C14" s="457">
        <f t="shared" si="4"/>
        <v>0.94465011599999993</v>
      </c>
      <c r="D14" s="225" t="s">
        <v>2069</v>
      </c>
      <c r="E14" s="194">
        <f>1.39</f>
        <v>1.39</v>
      </c>
      <c r="F14" s="225" t="s">
        <v>2746</v>
      </c>
      <c r="G14" s="238">
        <f>scf_per_h_per_device_to_m3_per_d_per_device</f>
        <v>0.6796044</v>
      </c>
      <c r="H14" s="96"/>
      <c r="I14" s="96"/>
      <c r="K14" s="237" t="str">
        <f ca="1">PetroleumRefining</f>
        <v>Petroleum Refining</v>
      </c>
      <c r="L14" s="237">
        <f>ROW(A50)</f>
        <v>50</v>
      </c>
      <c r="M14" s="237">
        <f>ROW(A54)</f>
        <v>54</v>
      </c>
      <c r="N14" s="97" t="str">
        <f>CONCATENATE("'EFs - Other'!b",$L14,":b",$M14)</f>
        <v>'EFs - Other'!b50:b54</v>
      </c>
      <c r="O14" s="98" t="s">
        <v>3347</v>
      </c>
      <c r="P14" s="358"/>
    </row>
    <row r="15" spans="1:21" s="257" customFormat="1" ht="15" customHeight="1" x14ac:dyDescent="0.3">
      <c r="A15" s="237" t="str">
        <f t="shared" ca="1" si="3"/>
        <v>Offshore Gas Production</v>
      </c>
      <c r="B15" s="237" t="str">
        <f ca="1">'Translation Table'!H1390</f>
        <v>No-Bleed</v>
      </c>
      <c r="C15" s="260">
        <f t="shared" si="4"/>
        <v>0</v>
      </c>
      <c r="D15" s="225" t="s">
        <v>14</v>
      </c>
      <c r="E15" s="194">
        <v>0</v>
      </c>
      <c r="F15" s="225" t="s">
        <v>20</v>
      </c>
      <c r="G15" s="237">
        <f>scf_per_d_per_device_to_m3_per_d_per_device</f>
        <v>2.8316850000000001E-2</v>
      </c>
      <c r="H15" s="96"/>
      <c r="I15" s="96"/>
      <c r="N15" s="99"/>
      <c r="O15" s="100"/>
      <c r="P15" s="358"/>
    </row>
    <row r="16" spans="1:21" s="257" customFormat="1" ht="15" customHeight="1" x14ac:dyDescent="0.3">
      <c r="A16" s="238" t="str">
        <f t="shared" ca="1" si="3"/>
        <v>Offshore Gas Production</v>
      </c>
      <c r="B16" s="238" t="str">
        <f ca="1">'Translation Table'!H1392</f>
        <v>Not Applicable</v>
      </c>
      <c r="C16" s="457">
        <f t="shared" si="4"/>
        <v>0</v>
      </c>
      <c r="D16" s="225" t="s">
        <v>14</v>
      </c>
      <c r="E16" s="194">
        <v>0</v>
      </c>
      <c r="F16" s="225" t="s">
        <v>20</v>
      </c>
      <c r="G16" s="238" cm="1">
        <f t="array" ref="G16">scf_per_d_per_device_to_m3_per_d_per_device</f>
        <v>2.8316850000000001E-2</v>
      </c>
      <c r="H16" s="96"/>
      <c r="I16" s="96"/>
      <c r="N16" s="99"/>
      <c r="O16" s="100"/>
      <c r="P16" s="358"/>
    </row>
    <row r="17" spans="1:16" s="257" customFormat="1" ht="15" customHeight="1" x14ac:dyDescent="0.3">
      <c r="A17" s="237" t="str">
        <f t="shared" ca="1" si="3"/>
        <v>Offshore Gas Production</v>
      </c>
      <c r="B17" s="237" t="str">
        <f ca="1">'Translation Table'!H1391</f>
        <v>Type Unknown</v>
      </c>
      <c r="C17" s="260">
        <f t="shared" si="4"/>
        <v>6.2523604799999992</v>
      </c>
      <c r="D17" s="225" t="s">
        <v>2106</v>
      </c>
      <c r="E17" s="194">
        <f>9.2</f>
        <v>9.1999999999999993</v>
      </c>
      <c r="F17" s="225" t="s">
        <v>2746</v>
      </c>
      <c r="G17" s="237">
        <f>scf_per_h_per_device_to_m3_per_d_per_device</f>
        <v>0.6796044</v>
      </c>
      <c r="H17" s="96"/>
      <c r="I17" s="96"/>
      <c r="N17" s="99"/>
      <c r="O17" s="100"/>
      <c r="P17" s="358"/>
    </row>
    <row r="18" spans="1:16" s="257" customFormat="1" ht="15" customHeight="1" x14ac:dyDescent="0.3">
      <c r="A18" s="238" t="str">
        <f t="shared" ref="A18:A23" ca="1" si="5">OnshoreOilProduction</f>
        <v>Onshore Oil Production</v>
      </c>
      <c r="B18" s="238" t="str">
        <f ca="1">'Translation Table'!H1387</f>
        <v>High-Bleed</v>
      </c>
      <c r="C18" s="457">
        <f t="shared" ref="C18:C23" si="6">E18*G18</f>
        <v>25.349244119999998</v>
      </c>
      <c r="D18" s="691" t="s">
        <v>3443</v>
      </c>
      <c r="E18" s="194">
        <f>37.3</f>
        <v>37.299999999999997</v>
      </c>
      <c r="F18" s="225" t="s">
        <v>2746</v>
      </c>
      <c r="G18" s="238">
        <f>scf_per_h_per_device_to_m3_per_d_per_device</f>
        <v>0.6796044</v>
      </c>
      <c r="H18" s="96"/>
      <c r="I18" s="96"/>
      <c r="N18" s="99"/>
      <c r="O18" s="100"/>
      <c r="P18" s="358"/>
    </row>
    <row r="19" spans="1:16" s="257" customFormat="1" ht="15" customHeight="1" x14ac:dyDescent="0.3">
      <c r="A19" s="237" t="str">
        <f t="shared" ca="1" si="5"/>
        <v>Onshore Oil Production</v>
      </c>
      <c r="B19" s="237" t="str">
        <f ca="1">'Translation Table'!H1388</f>
        <v>Intermittent Bleed</v>
      </c>
      <c r="C19" s="260">
        <f t="shared" si="6"/>
        <v>9.1746593999999995</v>
      </c>
      <c r="D19" s="194" t="s">
        <v>3443</v>
      </c>
      <c r="E19" s="194">
        <f>13.5</f>
        <v>13.5</v>
      </c>
      <c r="F19" s="225" t="s">
        <v>2746</v>
      </c>
      <c r="G19" s="237">
        <f>scf_per_h_per_device_to_m3_per_d_per_device</f>
        <v>0.6796044</v>
      </c>
      <c r="H19" s="96"/>
      <c r="I19" s="96"/>
      <c r="N19" s="99"/>
      <c r="O19" s="100"/>
      <c r="P19" s="358"/>
    </row>
    <row r="20" spans="1:16" s="257" customFormat="1" ht="15" customHeight="1" x14ac:dyDescent="0.3">
      <c r="A20" s="238" t="str">
        <f t="shared" ca="1" si="5"/>
        <v>Onshore Oil Production</v>
      </c>
      <c r="B20" s="238" t="str">
        <f ca="1">'Translation Table'!H1389</f>
        <v>Low-Bleed</v>
      </c>
      <c r="C20" s="457">
        <f t="shared" si="6"/>
        <v>0.94465011599999993</v>
      </c>
      <c r="D20" s="194" t="s">
        <v>3443</v>
      </c>
      <c r="E20" s="194">
        <f>1.39</f>
        <v>1.39</v>
      </c>
      <c r="F20" s="225" t="s">
        <v>2746</v>
      </c>
      <c r="G20" s="238">
        <f>scf_per_h_per_device_to_m3_per_d_per_device</f>
        <v>0.6796044</v>
      </c>
      <c r="H20" s="96"/>
      <c r="I20" s="96"/>
      <c r="N20" s="99"/>
      <c r="O20" s="100"/>
      <c r="P20" s="358"/>
    </row>
    <row r="21" spans="1:16" s="257" customFormat="1" ht="15" customHeight="1" x14ac:dyDescent="0.3">
      <c r="A21" s="237" t="str">
        <f t="shared" ca="1" si="5"/>
        <v>Onshore Oil Production</v>
      </c>
      <c r="B21" s="237" t="str">
        <f ca="1">'Translation Table'!H1390</f>
        <v>No-Bleed</v>
      </c>
      <c r="C21" s="260">
        <f t="shared" si="6"/>
        <v>0</v>
      </c>
      <c r="D21" s="225" t="s">
        <v>14</v>
      </c>
      <c r="E21" s="194">
        <v>0</v>
      </c>
      <c r="F21" s="225" t="s">
        <v>20</v>
      </c>
      <c r="G21" s="237">
        <f>scf_per_d_per_device_to_m3_per_d_per_device</f>
        <v>2.8316850000000001E-2</v>
      </c>
      <c r="H21" s="96"/>
      <c r="I21" s="96"/>
      <c r="N21" s="99"/>
      <c r="O21" s="100"/>
      <c r="P21" s="358"/>
    </row>
    <row r="22" spans="1:16" s="257" customFormat="1" ht="15" customHeight="1" x14ac:dyDescent="0.3">
      <c r="A22" s="238" t="str">
        <f t="shared" ca="1" si="5"/>
        <v>Onshore Oil Production</v>
      </c>
      <c r="B22" s="238" t="str">
        <f ca="1">'Translation Table'!H1392</f>
        <v>Not Applicable</v>
      </c>
      <c r="C22" s="457">
        <f t="shared" si="6"/>
        <v>0</v>
      </c>
      <c r="D22" s="225" t="s">
        <v>14</v>
      </c>
      <c r="E22" s="194">
        <v>0</v>
      </c>
      <c r="F22" s="225" t="s">
        <v>20</v>
      </c>
      <c r="G22" s="238" cm="1">
        <f t="array" ref="G22">scf_per_d_per_device_to_m3_per_d_per_device</f>
        <v>2.8316850000000001E-2</v>
      </c>
      <c r="H22" s="96"/>
      <c r="I22" s="96"/>
      <c r="N22" s="99"/>
      <c r="O22" s="100"/>
      <c r="P22" s="358"/>
    </row>
    <row r="23" spans="1:16" s="257" customFormat="1" ht="15" customHeight="1" x14ac:dyDescent="0.3">
      <c r="A23" s="237" t="str">
        <f t="shared" ca="1" si="5"/>
        <v>Onshore Oil Production</v>
      </c>
      <c r="B23" s="237" t="str">
        <f ca="1">'Translation Table'!H1391</f>
        <v>Type Unknown</v>
      </c>
      <c r="C23" s="260">
        <f t="shared" si="6"/>
        <v>6.2523604799999992</v>
      </c>
      <c r="D23" s="225" t="s">
        <v>2106</v>
      </c>
      <c r="E23" s="194">
        <f>9.2</f>
        <v>9.1999999999999993</v>
      </c>
      <c r="F23" s="225" t="s">
        <v>2746</v>
      </c>
      <c r="G23" s="237">
        <f>scf_per_h_per_device_to_m3_per_d_per_device</f>
        <v>0.6796044</v>
      </c>
      <c r="H23" s="96"/>
      <c r="I23" s="96"/>
      <c r="N23" s="99"/>
      <c r="O23" s="100"/>
      <c r="P23" s="358"/>
    </row>
    <row r="24" spans="1:16" s="257" customFormat="1" ht="15" customHeight="1" x14ac:dyDescent="0.3">
      <c r="A24" s="238" t="str">
        <f t="shared" ref="A24:A29" ca="1" si="7">OnshoreGasProduction</f>
        <v>Onshore Gas Production</v>
      </c>
      <c r="B24" s="238" t="str">
        <f ca="1">'Translation Table'!H1387</f>
        <v>High-Bleed</v>
      </c>
      <c r="C24" s="457">
        <f t="shared" ref="C24:C29" si="8">E24*G24</f>
        <v>25.349244119999998</v>
      </c>
      <c r="D24" s="691" t="s">
        <v>3443</v>
      </c>
      <c r="E24" s="194">
        <f>37.3</f>
        <v>37.299999999999997</v>
      </c>
      <c r="F24" s="225" t="s">
        <v>2746</v>
      </c>
      <c r="G24" s="238">
        <f>scf_per_h_per_device_to_m3_per_d_per_device</f>
        <v>0.6796044</v>
      </c>
      <c r="H24" s="96"/>
      <c r="I24" s="96"/>
      <c r="P24" s="358"/>
    </row>
    <row r="25" spans="1:16" s="257" customFormat="1" ht="15" customHeight="1" x14ac:dyDescent="0.3">
      <c r="A25" s="237" t="str">
        <f t="shared" ca="1" si="7"/>
        <v>Onshore Gas Production</v>
      </c>
      <c r="B25" s="237" t="str">
        <f ca="1">'Translation Table'!H1388</f>
        <v>Intermittent Bleed</v>
      </c>
      <c r="C25" s="260">
        <f t="shared" si="8"/>
        <v>9.1746593999999995</v>
      </c>
      <c r="D25" s="194" t="s">
        <v>3443</v>
      </c>
      <c r="E25" s="194">
        <f>13.5</f>
        <v>13.5</v>
      </c>
      <c r="F25" s="225" t="s">
        <v>2746</v>
      </c>
      <c r="G25" s="237">
        <f>scf_per_h_per_device_to_m3_per_d_per_device</f>
        <v>0.6796044</v>
      </c>
      <c r="H25" s="96"/>
      <c r="I25" s="96"/>
      <c r="P25" s="358"/>
    </row>
    <row r="26" spans="1:16" s="257" customFormat="1" ht="15" customHeight="1" x14ac:dyDescent="0.3">
      <c r="A26" s="238" t="str">
        <f t="shared" ca="1" si="7"/>
        <v>Onshore Gas Production</v>
      </c>
      <c r="B26" s="238" t="str">
        <f ca="1">'Translation Table'!H1389</f>
        <v>Low-Bleed</v>
      </c>
      <c r="C26" s="457">
        <f t="shared" si="8"/>
        <v>0.94465011599999993</v>
      </c>
      <c r="D26" s="194" t="s">
        <v>3443</v>
      </c>
      <c r="E26" s="194">
        <f>1.39</f>
        <v>1.39</v>
      </c>
      <c r="F26" s="225" t="s">
        <v>2746</v>
      </c>
      <c r="G26" s="238">
        <f>scf_per_h_per_device_to_m3_per_d_per_device</f>
        <v>0.6796044</v>
      </c>
      <c r="H26" s="96"/>
      <c r="I26" s="96"/>
      <c r="P26" s="358"/>
    </row>
    <row r="27" spans="1:16" s="257" customFormat="1" ht="15" customHeight="1" x14ac:dyDescent="0.3">
      <c r="A27" s="237" t="str">
        <f t="shared" ca="1" si="7"/>
        <v>Onshore Gas Production</v>
      </c>
      <c r="B27" s="237" t="str">
        <f ca="1">'Translation Table'!H1390</f>
        <v>No-Bleed</v>
      </c>
      <c r="C27" s="260">
        <f t="shared" si="8"/>
        <v>0</v>
      </c>
      <c r="D27" s="225" t="s">
        <v>14</v>
      </c>
      <c r="E27" s="194">
        <v>0</v>
      </c>
      <c r="F27" s="225" t="s">
        <v>20</v>
      </c>
      <c r="G27" s="237">
        <f>scf_per_d_per_device_to_m3_per_d_per_device</f>
        <v>2.8316850000000001E-2</v>
      </c>
      <c r="H27" s="96"/>
      <c r="I27" s="96"/>
      <c r="N27" s="99"/>
      <c r="O27" s="100"/>
      <c r="P27" s="358"/>
    </row>
    <row r="28" spans="1:16" s="257" customFormat="1" ht="15" customHeight="1" x14ac:dyDescent="0.3">
      <c r="A28" s="238" t="str">
        <f t="shared" ca="1" si="7"/>
        <v>Onshore Gas Production</v>
      </c>
      <c r="B28" s="238" t="str">
        <f ca="1">'Translation Table'!H1392</f>
        <v>Not Applicable</v>
      </c>
      <c r="C28" s="457">
        <f t="shared" si="8"/>
        <v>0</v>
      </c>
      <c r="D28" s="225" t="s">
        <v>14</v>
      </c>
      <c r="E28" s="194">
        <v>0</v>
      </c>
      <c r="F28" s="225" t="s">
        <v>20</v>
      </c>
      <c r="G28" s="238" cm="1">
        <f t="array" ref="G28">scf_per_d_per_device_to_m3_per_d_per_device</f>
        <v>2.8316850000000001E-2</v>
      </c>
      <c r="H28" s="96"/>
      <c r="I28" s="96"/>
      <c r="N28" s="99"/>
      <c r="O28" s="100"/>
      <c r="P28" s="358"/>
    </row>
    <row r="29" spans="1:16" s="257" customFormat="1" ht="15" customHeight="1" x14ac:dyDescent="0.3">
      <c r="A29" s="237" t="str">
        <f t="shared" ca="1" si="7"/>
        <v>Onshore Gas Production</v>
      </c>
      <c r="B29" s="237" t="str">
        <f ca="1">'Translation Table'!H1391</f>
        <v>Type Unknown</v>
      </c>
      <c r="C29" s="260">
        <f t="shared" si="8"/>
        <v>6.2523604799999992</v>
      </c>
      <c r="D29" s="225" t="s">
        <v>2106</v>
      </c>
      <c r="E29" s="194">
        <f>9.2</f>
        <v>9.1999999999999993</v>
      </c>
      <c r="F29" s="225" t="s">
        <v>2746</v>
      </c>
      <c r="G29" s="237">
        <f>scf_per_h_per_device_to_m3_per_d_per_device</f>
        <v>0.6796044</v>
      </c>
      <c r="H29" s="96"/>
      <c r="I29" s="96"/>
      <c r="N29" s="99"/>
      <c r="O29" s="100"/>
      <c r="P29" s="358"/>
    </row>
    <row r="30" spans="1:16" s="257" customFormat="1" ht="15" customHeight="1" x14ac:dyDescent="0.3">
      <c r="A30" s="238" t="str">
        <f ca="1">GasProcessing</f>
        <v>Gas Processing</v>
      </c>
      <c r="B30" s="238" t="str">
        <f ca="1">'Translation Table'!H1403</f>
        <v>High-Bleed</v>
      </c>
      <c r="C30" s="457">
        <f t="shared" ref="C30:C39" si="9">E30*G30</f>
        <v>12.36880008</v>
      </c>
      <c r="D30" s="691" t="s">
        <v>3443</v>
      </c>
      <c r="E30" s="194">
        <v>18.2</v>
      </c>
      <c r="F30" s="194" t="s">
        <v>2746</v>
      </c>
      <c r="G30" s="238">
        <f>scf_per_h_per_device_to_m3_per_d_per_device</f>
        <v>0.6796044</v>
      </c>
      <c r="H30" s="96"/>
      <c r="I30" s="96"/>
      <c r="N30" s="99"/>
      <c r="O30" s="100"/>
      <c r="P30" s="358"/>
    </row>
    <row r="31" spans="1:16" s="257" customFormat="1" ht="15" customHeight="1" x14ac:dyDescent="0.3">
      <c r="A31" s="237" t="str">
        <f ca="1">GasProcessing</f>
        <v>Gas Processing</v>
      </c>
      <c r="B31" s="237" t="str">
        <f ca="1">'Translation Table'!H1404</f>
        <v>Intermittent Bleed</v>
      </c>
      <c r="C31" s="460">
        <f t="shared" si="9"/>
        <v>1.5970703400000001</v>
      </c>
      <c r="D31" s="194" t="s">
        <v>3443</v>
      </c>
      <c r="E31" s="194">
        <v>2.35</v>
      </c>
      <c r="F31" s="194" t="s">
        <v>2746</v>
      </c>
      <c r="G31" s="237">
        <f>scf_per_h_per_device_to_m3_per_d_per_device</f>
        <v>0.6796044</v>
      </c>
      <c r="H31" s="96"/>
      <c r="I31" s="96"/>
      <c r="N31" s="99"/>
      <c r="O31" s="100"/>
      <c r="P31" s="358"/>
    </row>
    <row r="32" spans="1:16" s="257" customFormat="1" ht="15" customHeight="1" x14ac:dyDescent="0.3">
      <c r="A32" s="238" t="str">
        <f ca="1">GasProcessing</f>
        <v>Gas Processing</v>
      </c>
      <c r="B32" s="238" t="str">
        <f ca="1">'Translation Table'!H1405</f>
        <v>Low-Bleed</v>
      </c>
      <c r="C32" s="457">
        <f t="shared" si="9"/>
        <v>0.93105802800000004</v>
      </c>
      <c r="D32" s="194" t="s">
        <v>3443</v>
      </c>
      <c r="E32" s="194">
        <v>1.37</v>
      </c>
      <c r="F32" s="194" t="s">
        <v>2746</v>
      </c>
      <c r="G32" s="238">
        <f>scf_per_h_per_device_to_m3_per_d_per_device</f>
        <v>0.6796044</v>
      </c>
      <c r="H32" s="96"/>
      <c r="I32" s="96"/>
      <c r="N32" s="99"/>
      <c r="O32" s="100"/>
      <c r="P32" s="358"/>
    </row>
    <row r="33" spans="1:17" ht="15" customHeight="1" x14ac:dyDescent="0.3">
      <c r="A33" s="237" t="str">
        <f ca="1">GasProcessing</f>
        <v>Gas Processing</v>
      </c>
      <c r="B33" s="237" t="str">
        <f ca="1">'Translation Table'!H1406</f>
        <v>No-Bleed</v>
      </c>
      <c r="C33" s="460">
        <f t="shared" si="9"/>
        <v>0</v>
      </c>
      <c r="D33" s="194" t="s">
        <v>14</v>
      </c>
      <c r="E33" s="194">
        <v>0</v>
      </c>
      <c r="F33" s="194" t="s">
        <v>9</v>
      </c>
      <c r="G33" s="237">
        <f>scf_per_d_per_device_to_m3_per_d_per_device</f>
        <v>2.8316850000000001E-2</v>
      </c>
      <c r="H33" s="91"/>
      <c r="J33" s="256"/>
      <c r="K33" s="257"/>
      <c r="L33" s="257"/>
      <c r="M33" s="257"/>
      <c r="N33" s="257"/>
      <c r="O33" s="257"/>
      <c r="P33" s="325"/>
      <c r="Q33" s="256"/>
    </row>
    <row r="34" spans="1:17" ht="15" customHeight="1" x14ac:dyDescent="0.3">
      <c r="A34" s="238" t="str">
        <f ca="1">GasProcessing</f>
        <v>Gas Processing</v>
      </c>
      <c r="B34" s="238" t="str">
        <f ca="1">'Translation Table'!H1407</f>
        <v>Not Applicable</v>
      </c>
      <c r="C34" s="457">
        <f t="shared" si="9"/>
        <v>0</v>
      </c>
      <c r="D34" s="194" t="s">
        <v>14</v>
      </c>
      <c r="E34" s="194">
        <v>0</v>
      </c>
      <c r="F34" s="194" t="s">
        <v>9</v>
      </c>
      <c r="G34" s="238" cm="1">
        <f t="array" ref="G34">scf_per_d_per_device_to_m3_per_d_per_device</f>
        <v>2.8316850000000001E-2</v>
      </c>
      <c r="H34" s="91"/>
      <c r="J34" s="256"/>
      <c r="K34" s="257"/>
      <c r="L34" s="257"/>
      <c r="M34" s="257"/>
      <c r="N34" s="99"/>
      <c r="O34" s="100"/>
      <c r="P34" s="325"/>
      <c r="Q34" s="256"/>
    </row>
    <row r="35" spans="1:17" ht="15" customHeight="1" x14ac:dyDescent="0.3">
      <c r="A35" s="193" t="str">
        <f ca="1">GasTransmission</f>
        <v>Gas Transmission</v>
      </c>
      <c r="B35" s="193" t="str">
        <f ca="1">'Translation Table'!H1403</f>
        <v>High-Bleed</v>
      </c>
      <c r="C35" s="460">
        <f t="shared" si="9"/>
        <v>12.36880008</v>
      </c>
      <c r="D35" s="691" t="s">
        <v>3443</v>
      </c>
      <c r="E35" s="194">
        <f>18.2</f>
        <v>18.2</v>
      </c>
      <c r="F35" s="194" t="s">
        <v>2746</v>
      </c>
      <c r="G35" s="237">
        <f>scf_per_h_per_device_to_m3_per_d_per_device</f>
        <v>0.6796044</v>
      </c>
      <c r="H35" s="91"/>
      <c r="J35" s="256"/>
      <c r="K35" s="257"/>
      <c r="L35" s="257"/>
      <c r="M35" s="257"/>
      <c r="N35" s="257"/>
      <c r="O35" s="257"/>
      <c r="P35" s="325"/>
      <c r="Q35" s="256"/>
    </row>
    <row r="36" spans="1:17" ht="15" customHeight="1" x14ac:dyDescent="0.3">
      <c r="A36" s="238" t="str">
        <f ca="1">GasTransmission</f>
        <v>Gas Transmission</v>
      </c>
      <c r="B36" s="238" t="str">
        <f ca="1">'Translation Table'!H1404</f>
        <v>Intermittent Bleed</v>
      </c>
      <c r="C36" s="457">
        <f t="shared" si="9"/>
        <v>1.5970703400000001</v>
      </c>
      <c r="D36" s="194" t="s">
        <v>3443</v>
      </c>
      <c r="E36" s="194">
        <f>2.35</f>
        <v>2.35</v>
      </c>
      <c r="F36" s="194" t="s">
        <v>2746</v>
      </c>
      <c r="G36" s="238">
        <f>scf_per_h_per_device_to_m3_per_d_per_device</f>
        <v>0.6796044</v>
      </c>
      <c r="H36" s="91"/>
      <c r="J36" s="256"/>
      <c r="P36" s="325"/>
      <c r="Q36" s="256"/>
    </row>
    <row r="37" spans="1:17" ht="15" customHeight="1" x14ac:dyDescent="0.3">
      <c r="A37" s="193" t="str">
        <f ca="1">GasTransmission</f>
        <v>Gas Transmission</v>
      </c>
      <c r="B37" s="193" t="str">
        <f ca="1">'Translation Table'!H1405</f>
        <v>Low-Bleed</v>
      </c>
      <c r="C37" s="460">
        <f t="shared" si="9"/>
        <v>0.93105802800000004</v>
      </c>
      <c r="D37" s="194" t="s">
        <v>3443</v>
      </c>
      <c r="E37" s="194">
        <f>1.37</f>
        <v>1.37</v>
      </c>
      <c r="F37" s="194" t="s">
        <v>2746</v>
      </c>
      <c r="G37" s="237">
        <f>scf_per_h_per_device_to_m3_per_d_per_device</f>
        <v>0.6796044</v>
      </c>
      <c r="H37" s="91"/>
      <c r="J37" s="256"/>
      <c r="P37" s="325"/>
      <c r="Q37" s="256"/>
    </row>
    <row r="38" spans="1:17" ht="15" customHeight="1" x14ac:dyDescent="0.3">
      <c r="A38" s="238" t="str">
        <f ca="1">GasTransmission</f>
        <v>Gas Transmission</v>
      </c>
      <c r="B38" s="238" t="str">
        <f ca="1">'Translation Table'!H1406</f>
        <v>No-Bleed</v>
      </c>
      <c r="C38" s="457">
        <f t="shared" si="9"/>
        <v>0</v>
      </c>
      <c r="D38" s="194" t="s">
        <v>14</v>
      </c>
      <c r="E38" s="194">
        <v>0</v>
      </c>
      <c r="F38" s="194" t="s">
        <v>9</v>
      </c>
      <c r="G38" s="238" cm="1">
        <f t="array" ref="G38">scf_per_d_per_device_to_m3_per_d_per_device</f>
        <v>2.8316850000000001E-2</v>
      </c>
      <c r="H38" s="91"/>
      <c r="J38" s="256"/>
      <c r="P38" s="325"/>
      <c r="Q38" s="256"/>
    </row>
    <row r="39" spans="1:17" ht="15" customHeight="1" x14ac:dyDescent="0.3">
      <c r="A39" s="193" t="str">
        <f ca="1">GasTransmission</f>
        <v>Gas Transmission</v>
      </c>
      <c r="B39" s="193" t="str">
        <f ca="1">'Translation Table'!H1407</f>
        <v>Not Applicable</v>
      </c>
      <c r="C39" s="460">
        <f t="shared" si="9"/>
        <v>0</v>
      </c>
      <c r="D39" s="194" t="s">
        <v>14</v>
      </c>
      <c r="E39" s="194">
        <v>0</v>
      </c>
      <c r="F39" s="194" t="s">
        <v>9</v>
      </c>
      <c r="G39" s="237">
        <f>scf_per_d_per_device_to_m3_per_d_per_device</f>
        <v>2.8316850000000001E-2</v>
      </c>
      <c r="H39" s="91"/>
      <c r="J39" s="256"/>
      <c r="P39" s="325"/>
      <c r="Q39" s="256"/>
    </row>
    <row r="40" spans="1:17" ht="15" customHeight="1" x14ac:dyDescent="0.3">
      <c r="A40" s="238" t="str">
        <f ca="1">GasStorage</f>
        <v>Gas Storage</v>
      </c>
      <c r="B40" s="238" t="str">
        <f ca="1">'Translation Table'!H1403</f>
        <v>High-Bleed</v>
      </c>
      <c r="C40" s="457">
        <f t="shared" ref="C40:C54" si="10">E40*G40</f>
        <v>12.36880008</v>
      </c>
      <c r="D40" s="691" t="s">
        <v>3443</v>
      </c>
      <c r="E40" s="194">
        <v>18.2</v>
      </c>
      <c r="F40" s="194" t="s">
        <v>2746</v>
      </c>
      <c r="G40" s="238">
        <f>scf_per_h_per_device_to_m3_per_d_per_device</f>
        <v>0.6796044</v>
      </c>
      <c r="H40" s="91"/>
      <c r="J40" s="256"/>
      <c r="P40" s="325"/>
      <c r="Q40" s="256"/>
    </row>
    <row r="41" spans="1:17" ht="15" customHeight="1" x14ac:dyDescent="0.3">
      <c r="A41" s="193" t="str">
        <f ca="1">GasStorage</f>
        <v>Gas Storage</v>
      </c>
      <c r="B41" s="193" t="str">
        <f ca="1">'Translation Table'!H1404</f>
        <v>Intermittent Bleed</v>
      </c>
      <c r="C41" s="460">
        <f t="shared" si="10"/>
        <v>1.5970703400000001</v>
      </c>
      <c r="D41" s="194" t="s">
        <v>3443</v>
      </c>
      <c r="E41" s="194">
        <v>2.35</v>
      </c>
      <c r="F41" s="194" t="s">
        <v>2746</v>
      </c>
      <c r="G41" s="237">
        <f>scf_per_h_per_device_to_m3_per_d_per_device</f>
        <v>0.6796044</v>
      </c>
      <c r="H41" s="91"/>
      <c r="J41" s="256"/>
      <c r="P41" s="325"/>
      <c r="Q41" s="256"/>
    </row>
    <row r="42" spans="1:17" ht="15" customHeight="1" x14ac:dyDescent="0.3">
      <c r="A42" s="238" t="str">
        <f ca="1">GasStorage</f>
        <v>Gas Storage</v>
      </c>
      <c r="B42" s="238" t="str">
        <f ca="1">'Translation Table'!H1405</f>
        <v>Low-Bleed</v>
      </c>
      <c r="C42" s="457">
        <f t="shared" si="10"/>
        <v>0.93105802800000004</v>
      </c>
      <c r="D42" s="194" t="s">
        <v>3443</v>
      </c>
      <c r="E42" s="194">
        <v>1.37</v>
      </c>
      <c r="F42" s="194" t="s">
        <v>2746</v>
      </c>
      <c r="G42" s="238">
        <f>scf_per_h_per_device_to_m3_per_d_per_device</f>
        <v>0.6796044</v>
      </c>
      <c r="H42" s="91"/>
      <c r="J42" s="256"/>
      <c r="P42" s="325"/>
      <c r="Q42" s="256"/>
    </row>
    <row r="43" spans="1:17" ht="15" customHeight="1" x14ac:dyDescent="0.3">
      <c r="A43" s="193" t="str">
        <f ca="1">GasStorage</f>
        <v>Gas Storage</v>
      </c>
      <c r="B43" s="193" t="str">
        <f ca="1">'Translation Table'!H1406</f>
        <v>No-Bleed</v>
      </c>
      <c r="C43" s="460">
        <f t="shared" si="10"/>
        <v>0</v>
      </c>
      <c r="D43" s="194" t="s">
        <v>14</v>
      </c>
      <c r="E43" s="194">
        <v>0</v>
      </c>
      <c r="F43" s="194" t="s">
        <v>9</v>
      </c>
      <c r="G43" s="237">
        <f>scf_per_d_per_device_to_m3_per_d_per_device</f>
        <v>2.8316850000000001E-2</v>
      </c>
      <c r="H43" s="91"/>
      <c r="J43" s="256"/>
      <c r="P43" s="325"/>
      <c r="Q43" s="256"/>
    </row>
    <row r="44" spans="1:17" ht="15" customHeight="1" x14ac:dyDescent="0.3">
      <c r="A44" s="238" t="str">
        <f ca="1">GasStorage</f>
        <v>Gas Storage</v>
      </c>
      <c r="B44" s="238" t="str">
        <f ca="1">'Translation Table'!H1407</f>
        <v>Not Applicable</v>
      </c>
      <c r="C44" s="457">
        <f t="shared" si="10"/>
        <v>0</v>
      </c>
      <c r="D44" s="194" t="s">
        <v>14</v>
      </c>
      <c r="E44" s="194">
        <v>0</v>
      </c>
      <c r="F44" s="194" t="s">
        <v>9</v>
      </c>
      <c r="G44" s="238" cm="1">
        <f t="array" ref="G44">scf_per_d_per_device_to_m3_per_d_per_device</f>
        <v>2.8316850000000001E-2</v>
      </c>
      <c r="H44" s="91"/>
      <c r="J44" s="256"/>
      <c r="P44" s="325"/>
      <c r="Q44" s="256"/>
    </row>
    <row r="45" spans="1:17" ht="15" customHeight="1" x14ac:dyDescent="0.3">
      <c r="A45" s="193" t="str">
        <f ca="1">GasDistribution</f>
        <v>Gas Distribution</v>
      </c>
      <c r="B45" s="193" t="str">
        <f ca="1">'Translation Table'!H1408</f>
        <v>High-Bleed</v>
      </c>
      <c r="C45" s="460">
        <f t="shared" si="10"/>
        <v>12.36880008</v>
      </c>
      <c r="D45" s="691" t="s">
        <v>3443</v>
      </c>
      <c r="E45" s="194">
        <v>18.2</v>
      </c>
      <c r="F45" s="194" t="s">
        <v>2746</v>
      </c>
      <c r="G45" s="238">
        <f>scf_per_h_per_device_to_m3_per_d_per_device</f>
        <v>0.6796044</v>
      </c>
      <c r="H45" s="91"/>
      <c r="J45" s="256"/>
      <c r="P45" s="325"/>
      <c r="Q45" s="256"/>
    </row>
    <row r="46" spans="1:17" ht="15" customHeight="1" x14ac:dyDescent="0.3">
      <c r="A46" s="238" t="str">
        <f ca="1">GasDistribution</f>
        <v>Gas Distribution</v>
      </c>
      <c r="B46" s="238" t="str">
        <f ca="1">'Translation Table'!H1409</f>
        <v>Intermittent Bleed</v>
      </c>
      <c r="C46" s="457">
        <f t="shared" si="10"/>
        <v>1.5970703400000001</v>
      </c>
      <c r="D46" s="194" t="s">
        <v>3443</v>
      </c>
      <c r="E46" s="194">
        <v>2.35</v>
      </c>
      <c r="F46" s="194" t="s">
        <v>2746</v>
      </c>
      <c r="G46" s="237">
        <f>scf_per_h_per_device_to_m3_per_d_per_device</f>
        <v>0.6796044</v>
      </c>
      <c r="H46" s="91"/>
      <c r="J46" s="256"/>
      <c r="P46" s="325"/>
      <c r="Q46" s="256"/>
    </row>
    <row r="47" spans="1:17" ht="15" customHeight="1" x14ac:dyDescent="0.3">
      <c r="A47" s="193" t="str">
        <f ca="1">GasDistribution</f>
        <v>Gas Distribution</v>
      </c>
      <c r="B47" s="193" t="str">
        <f ca="1">'Translation Table'!H1410</f>
        <v>Low-Bleed</v>
      </c>
      <c r="C47" s="460">
        <f t="shared" si="10"/>
        <v>0.93105802800000004</v>
      </c>
      <c r="D47" s="194" t="s">
        <v>3443</v>
      </c>
      <c r="E47" s="194">
        <v>1.37</v>
      </c>
      <c r="F47" s="194" t="s">
        <v>2746</v>
      </c>
      <c r="G47" s="238">
        <f>scf_per_h_per_device_to_m3_per_d_per_device</f>
        <v>0.6796044</v>
      </c>
      <c r="H47" s="91"/>
      <c r="J47" s="256"/>
      <c r="P47" s="325"/>
      <c r="Q47" s="256"/>
    </row>
    <row r="48" spans="1:17" ht="15" customHeight="1" x14ac:dyDescent="0.3">
      <c r="A48" s="238" t="str">
        <f ca="1">GasDistribution</f>
        <v>Gas Distribution</v>
      </c>
      <c r="B48" s="238" t="str">
        <f ca="1">'Translation Table'!H1411</f>
        <v>No-Bleed</v>
      </c>
      <c r="C48" s="457">
        <f t="shared" si="10"/>
        <v>0</v>
      </c>
      <c r="D48" s="194" t="s">
        <v>14</v>
      </c>
      <c r="E48" s="194">
        <v>0</v>
      </c>
      <c r="F48" s="194" t="s">
        <v>9</v>
      </c>
      <c r="G48" s="238" cm="1">
        <f t="array" ref="G48">scf_per_d_per_device_to_m3_per_d_per_device</f>
        <v>2.8316850000000001E-2</v>
      </c>
      <c r="H48" s="91"/>
      <c r="J48" s="256"/>
      <c r="P48" s="325"/>
      <c r="Q48" s="256"/>
    </row>
    <row r="49" spans="1:17" ht="15" customHeight="1" x14ac:dyDescent="0.3">
      <c r="A49" s="193" t="str">
        <f ca="1">GasDistribution</f>
        <v>Gas Distribution</v>
      </c>
      <c r="B49" s="193" t="str">
        <f ca="1">'Translation Table'!H1412</f>
        <v>Not Applicable</v>
      </c>
      <c r="C49" s="460">
        <f t="shared" si="10"/>
        <v>0</v>
      </c>
      <c r="D49" s="194" t="s">
        <v>14</v>
      </c>
      <c r="E49" s="194">
        <v>0</v>
      </c>
      <c r="F49" s="194" t="s">
        <v>9</v>
      </c>
      <c r="G49" s="237">
        <f>scf_per_d_per_device_to_m3_per_d_per_device</f>
        <v>2.8316850000000001E-2</v>
      </c>
      <c r="H49" s="91"/>
      <c r="J49" s="256"/>
      <c r="P49" s="325"/>
      <c r="Q49" s="256"/>
    </row>
    <row r="50" spans="1:17" ht="15" customHeight="1" x14ac:dyDescent="0.3">
      <c r="A50" s="452" t="str">
        <f ca="1">PetroleumRefining</f>
        <v>Petroleum Refining</v>
      </c>
      <c r="B50" s="452" t="str">
        <f ca="1">'Translation Table'!H1408</f>
        <v>High-Bleed</v>
      </c>
      <c r="C50" s="459">
        <f t="shared" si="10"/>
        <v>12.36880008</v>
      </c>
      <c r="D50" s="691" t="s">
        <v>3443</v>
      </c>
      <c r="E50" s="194">
        <v>18.2</v>
      </c>
      <c r="F50" s="194" t="s">
        <v>2746</v>
      </c>
      <c r="G50" s="238">
        <f>scf_per_h_per_device_to_m3_per_d_per_device</f>
        <v>0.6796044</v>
      </c>
      <c r="H50" s="91"/>
      <c r="J50" s="256"/>
      <c r="P50" s="325"/>
      <c r="Q50" s="256"/>
    </row>
    <row r="51" spans="1:17" ht="15" customHeight="1" x14ac:dyDescent="0.3">
      <c r="A51" s="193" t="str">
        <f ca="1">PetroleumRefining</f>
        <v>Petroleum Refining</v>
      </c>
      <c r="B51" s="237" t="str">
        <f ca="1">'Translation Table'!H1409</f>
        <v>Intermittent Bleed</v>
      </c>
      <c r="C51" s="260">
        <f t="shared" si="10"/>
        <v>1.5970703400000001</v>
      </c>
      <c r="D51" s="194" t="s">
        <v>3443</v>
      </c>
      <c r="E51" s="194">
        <v>2.35</v>
      </c>
      <c r="F51" s="194" t="s">
        <v>2746</v>
      </c>
      <c r="G51" s="237">
        <f>scf_per_h_per_device_to_m3_per_d_per_device</f>
        <v>0.6796044</v>
      </c>
      <c r="H51" s="91"/>
      <c r="J51" s="256"/>
      <c r="P51" s="325"/>
      <c r="Q51" s="256"/>
    </row>
    <row r="52" spans="1:17" ht="15" customHeight="1" x14ac:dyDescent="0.3">
      <c r="A52" s="452" t="str">
        <f ca="1">PetroleumRefining</f>
        <v>Petroleum Refining</v>
      </c>
      <c r="B52" s="452" t="str">
        <f ca="1">'Translation Table'!H1410</f>
        <v>Low-Bleed</v>
      </c>
      <c r="C52" s="459">
        <f t="shared" si="10"/>
        <v>0.93105802800000004</v>
      </c>
      <c r="D52" s="194" t="s">
        <v>3443</v>
      </c>
      <c r="E52" s="194">
        <v>1.37</v>
      </c>
      <c r="F52" s="194" t="s">
        <v>2746</v>
      </c>
      <c r="G52" s="238">
        <f>scf_per_h_per_device_to_m3_per_d_per_device</f>
        <v>0.6796044</v>
      </c>
      <c r="H52" s="91"/>
      <c r="J52" s="256"/>
      <c r="P52" s="325"/>
      <c r="Q52" s="256"/>
    </row>
    <row r="53" spans="1:17" ht="15" customHeight="1" x14ac:dyDescent="0.3">
      <c r="A53" s="193" t="str">
        <f ca="1">PetroleumRefining</f>
        <v>Petroleum Refining</v>
      </c>
      <c r="B53" s="237" t="str">
        <f ca="1">'Translation Table'!H1411</f>
        <v>No-Bleed</v>
      </c>
      <c r="C53" s="260">
        <f t="shared" si="10"/>
        <v>0</v>
      </c>
      <c r="D53" s="194" t="s">
        <v>14</v>
      </c>
      <c r="E53" s="194">
        <v>0</v>
      </c>
      <c r="F53" s="194" t="s">
        <v>9</v>
      </c>
      <c r="G53" s="237">
        <f>scf_per_d_per_device_to_m3_per_d_per_device</f>
        <v>2.8316850000000001E-2</v>
      </c>
      <c r="H53" s="91"/>
      <c r="J53" s="256"/>
      <c r="P53" s="325"/>
      <c r="Q53" s="256"/>
    </row>
    <row r="54" spans="1:17" ht="15" customHeight="1" x14ac:dyDescent="0.3">
      <c r="A54" s="452" t="str">
        <f ca="1">PetroleumRefining</f>
        <v>Petroleum Refining</v>
      </c>
      <c r="B54" s="452" t="str">
        <f ca="1">'Translation Table'!H1412</f>
        <v>Not Applicable</v>
      </c>
      <c r="C54" s="459">
        <f t="shared" si="10"/>
        <v>0</v>
      </c>
      <c r="D54" s="194" t="s">
        <v>14</v>
      </c>
      <c r="E54" s="194">
        <v>0</v>
      </c>
      <c r="F54" s="194" t="s">
        <v>9</v>
      </c>
      <c r="G54" s="238" cm="1">
        <f t="array" ref="G54">scf_per_d_per_device_to_m3_per_d_per_device</f>
        <v>2.8316850000000001E-2</v>
      </c>
      <c r="H54" s="91"/>
      <c r="J54" s="256"/>
      <c r="P54" s="325"/>
      <c r="Q54" s="256"/>
    </row>
    <row r="56" spans="1:17" ht="22.5" x14ac:dyDescent="0.45">
      <c r="A56" s="1109" t="str">
        <f ca="1">'Translation Table'!H1413</f>
        <v>Pneumatic Chemical Injection Pumps</v>
      </c>
      <c r="B56" s="1109"/>
    </row>
    <row r="58" spans="1:17" ht="15.5" x14ac:dyDescent="0.3">
      <c r="A58" s="92" t="str">
        <f ca="1">'Translation Table'!$H1414</f>
        <v>Industry Segment</v>
      </c>
      <c r="B58" s="92" t="str">
        <f ca="1">'Translation Table'!H1415</f>
        <v>Subcategory</v>
      </c>
      <c r="C58" s="92" t="str">
        <f ca="1">'Translation Table'!H1416</f>
        <v>Uncontrolled Emission Factor</v>
      </c>
      <c r="D58" s="92" t="str">
        <f ca="1">'Translation Table'!H1417</f>
        <v>Data Source</v>
      </c>
      <c r="E58" s="1095" t="str">
        <f ca="1">'Translation Table'!H1418</f>
        <v>As Reported in the Reference</v>
      </c>
      <c r="F58" s="1108"/>
      <c r="G58" s="1105"/>
      <c r="H58" s="68" t="str">
        <f ca="1">'Translation Table'!H1419</f>
        <v>Conversion Factor</v>
      </c>
      <c r="I58" s="101"/>
      <c r="J58" s="56"/>
      <c r="P58" s="325"/>
      <c r="Q58" s="256"/>
    </row>
    <row r="59" spans="1:17" ht="15.5" x14ac:dyDescent="0.3">
      <c r="A59" s="93"/>
      <c r="B59" s="93"/>
      <c r="C59" s="93" t="str">
        <f ca="1">'Translation Table'!H1420</f>
        <v>(Nm3/d/pump)</v>
      </c>
      <c r="D59" s="93"/>
      <c r="E59" s="92" t="str">
        <f ca="1">'Translation Table'!H1421</f>
        <v>EF Value</v>
      </c>
      <c r="F59" s="92" t="str">
        <f ca="1">'Translation Table'!H1422</f>
        <v xml:space="preserve">Units of </v>
      </c>
      <c r="G59" s="92" t="str">
        <f ca="1">'Translation Table'!H1423</f>
        <v xml:space="preserve">CH4 Content </v>
      </c>
      <c r="H59" s="92" t="str">
        <f ca="1">'Translation Table'!H1424</f>
        <v>Value</v>
      </c>
      <c r="I59" s="101"/>
      <c r="J59" s="56"/>
      <c r="P59" s="325"/>
      <c r="Q59" s="256"/>
    </row>
    <row r="60" spans="1:17" ht="15.5" x14ac:dyDescent="0.3">
      <c r="A60" s="93"/>
      <c r="B60" s="93"/>
      <c r="C60" s="93"/>
      <c r="D60" s="93"/>
      <c r="E60" s="93"/>
      <c r="F60" s="93" t="str">
        <f ca="1">'Translation Table'!H1426</f>
        <v>Measure</v>
      </c>
      <c r="G60" s="93" t="str">
        <f ca="1">'Translation Table'!H1427</f>
        <v>Basis for Industry Segment</v>
      </c>
      <c r="H60" s="93"/>
      <c r="I60" s="101"/>
      <c r="J60" s="56"/>
      <c r="P60" s="325"/>
      <c r="Q60" s="256"/>
    </row>
    <row r="61" spans="1:17" ht="15.5" x14ac:dyDescent="0.3">
      <c r="A61" s="94"/>
      <c r="B61" s="94"/>
      <c r="C61" s="94"/>
      <c r="D61" s="94"/>
      <c r="E61" s="94"/>
      <c r="F61" s="94"/>
      <c r="G61" s="94" t="str">
        <f ca="1">'Translation Table'!H1428</f>
        <v>(Mol%)</v>
      </c>
      <c r="H61" s="94"/>
      <c r="I61" s="101"/>
      <c r="J61" s="56"/>
      <c r="P61" s="325"/>
      <c r="Q61" s="256"/>
    </row>
    <row r="62" spans="1:17" ht="15" customHeight="1" x14ac:dyDescent="0.3">
      <c r="A62" s="238" t="str">
        <f ca="1">OffshoreOilProduction</f>
        <v>Offshore Oil Production</v>
      </c>
      <c r="B62" s="238" t="str">
        <f ca="1">'Translation Table'!H1432</f>
        <v xml:space="preserve">Diaphragm pumps </v>
      </c>
      <c r="C62" s="463">
        <f t="shared" ref="C62:C88" si="11">E62*H62/(G62/100)</f>
        <v>32.169091522842642</v>
      </c>
      <c r="D62" s="225" t="s">
        <v>2060</v>
      </c>
      <c r="E62" s="225">
        <f>37.3*24</f>
        <v>895.19999999999993</v>
      </c>
      <c r="F62" s="225" t="s">
        <v>2107</v>
      </c>
      <c r="G62" s="225">
        <v>78.8</v>
      </c>
      <c r="H62" s="238">
        <f t="shared" ref="H62:H88" si="12">scf_per_d_per_device_to_m3_per_d_per_device</f>
        <v>2.8316850000000001E-2</v>
      </c>
      <c r="I62" s="96"/>
      <c r="J62" s="257"/>
      <c r="K62" s="1106"/>
      <c r="L62" s="1107"/>
      <c r="M62" s="1107"/>
      <c r="N62" s="1106"/>
      <c r="P62" s="325"/>
      <c r="Q62" s="256"/>
    </row>
    <row r="63" spans="1:17" ht="15" customHeight="1" x14ac:dyDescent="0.3">
      <c r="A63" s="237" t="str">
        <f ca="1">OffshoreOilProduction</f>
        <v>Offshore Oil Production</v>
      </c>
      <c r="B63" s="237" t="str">
        <f ca="1">'Translation Table'!H1429</f>
        <v xml:space="preserve">Piston pumps </v>
      </c>
      <c r="C63" s="407">
        <f>E63*H63/(G63/100)</f>
        <v>18.025040558375636</v>
      </c>
      <c r="D63" s="225" t="s">
        <v>2060</v>
      </c>
      <c r="E63" s="225">
        <f>20.9*24</f>
        <v>501.59999999999997</v>
      </c>
      <c r="F63" s="225" t="s">
        <v>2107</v>
      </c>
      <c r="G63" s="225">
        <v>78.8</v>
      </c>
      <c r="H63" s="237">
        <f t="shared" si="12"/>
        <v>2.8316850000000001E-2</v>
      </c>
      <c r="I63" s="96"/>
      <c r="J63" s="257"/>
      <c r="K63" s="956"/>
      <c r="L63" s="542"/>
      <c r="M63" s="542"/>
      <c r="N63" s="956"/>
      <c r="P63" s="325"/>
      <c r="Q63" s="256"/>
    </row>
    <row r="64" spans="1:17" ht="15" customHeight="1" x14ac:dyDescent="0.3">
      <c r="A64" s="238" t="str">
        <f ca="1">OffshoreOilProduction</f>
        <v>Offshore Oil Production</v>
      </c>
      <c r="B64" s="238" t="str">
        <f ca="1">'Translation Table'!H1435</f>
        <v>Average pump (if type unknown)</v>
      </c>
      <c r="C64" s="463">
        <f t="shared" si="11"/>
        <v>29.668009340101523</v>
      </c>
      <c r="D64" s="225" t="s">
        <v>2060</v>
      </c>
      <c r="E64" s="225">
        <f>34.4*24</f>
        <v>825.59999999999991</v>
      </c>
      <c r="F64" s="225" t="s">
        <v>2107</v>
      </c>
      <c r="G64" s="225">
        <v>78.8</v>
      </c>
      <c r="H64" s="238">
        <f t="shared" si="12"/>
        <v>2.8316850000000001E-2</v>
      </c>
      <c r="I64" s="96"/>
      <c r="J64" s="257"/>
      <c r="K64" s="257"/>
      <c r="L64" s="257"/>
      <c r="M64" s="257"/>
      <c r="N64" s="99"/>
      <c r="P64" s="325"/>
      <c r="Q64" s="256"/>
    </row>
    <row r="65" spans="1:17" ht="15" customHeight="1" x14ac:dyDescent="0.3">
      <c r="A65" s="237" t="str">
        <f ca="1">OffshoreGasProduction</f>
        <v>Offshore Gas Production</v>
      </c>
      <c r="B65" s="237" t="str">
        <f ca="1">'Translation Table'!H1432</f>
        <v xml:space="preserve">Diaphragm pumps </v>
      </c>
      <c r="C65" s="407">
        <f t="shared" si="11"/>
        <v>32.169091522842642</v>
      </c>
      <c r="D65" s="225" t="s">
        <v>2060</v>
      </c>
      <c r="E65" s="225">
        <f>37.3*24</f>
        <v>895.19999999999993</v>
      </c>
      <c r="F65" s="225" t="s">
        <v>2107</v>
      </c>
      <c r="G65" s="225">
        <v>78.8</v>
      </c>
      <c r="H65" s="237">
        <f t="shared" si="12"/>
        <v>2.8316850000000001E-2</v>
      </c>
      <c r="I65" s="96"/>
      <c r="J65" s="257"/>
      <c r="K65" s="257"/>
      <c r="L65" s="257"/>
      <c r="M65" s="257"/>
      <c r="N65" s="99"/>
      <c r="P65" s="325"/>
      <c r="Q65" s="256"/>
    </row>
    <row r="66" spans="1:17" ht="15" customHeight="1" x14ac:dyDescent="0.3">
      <c r="A66" s="238" t="str">
        <f ca="1">OffshoreGasProduction</f>
        <v>Offshore Gas Production</v>
      </c>
      <c r="B66" s="238" t="str">
        <f ca="1">'Translation Table'!H1429</f>
        <v xml:space="preserve">Piston pumps </v>
      </c>
      <c r="C66" s="463">
        <f>E66*H66/(G66/100)</f>
        <v>18.025040558375636</v>
      </c>
      <c r="D66" s="225" t="s">
        <v>2060</v>
      </c>
      <c r="E66" s="225">
        <f>20.9*24</f>
        <v>501.59999999999997</v>
      </c>
      <c r="F66" s="225" t="s">
        <v>2107</v>
      </c>
      <c r="G66" s="225">
        <v>78.8</v>
      </c>
      <c r="H66" s="238">
        <f t="shared" si="12"/>
        <v>2.8316850000000001E-2</v>
      </c>
      <c r="I66" s="96"/>
      <c r="J66" s="257"/>
      <c r="K66" s="257"/>
      <c r="L66" s="257"/>
      <c r="M66" s="257"/>
      <c r="N66" s="99"/>
      <c r="P66" s="325"/>
      <c r="Q66" s="256"/>
    </row>
    <row r="67" spans="1:17" ht="15" customHeight="1" x14ac:dyDescent="0.3">
      <c r="A67" s="237" t="str">
        <f ca="1">OffshoreGasProduction</f>
        <v>Offshore Gas Production</v>
      </c>
      <c r="B67" s="237" t="str">
        <f ca="1">'Translation Table'!H1435</f>
        <v>Average pump (if type unknown)</v>
      </c>
      <c r="C67" s="407">
        <f t="shared" si="11"/>
        <v>29.668009340101523</v>
      </c>
      <c r="D67" s="225" t="s">
        <v>2060</v>
      </c>
      <c r="E67" s="225">
        <f>34.4*24</f>
        <v>825.59999999999991</v>
      </c>
      <c r="F67" s="225" t="s">
        <v>2107</v>
      </c>
      <c r="G67" s="225">
        <v>78.8</v>
      </c>
      <c r="H67" s="237">
        <f t="shared" si="12"/>
        <v>2.8316850000000001E-2</v>
      </c>
      <c r="I67" s="96"/>
      <c r="J67" s="257"/>
      <c r="K67" s="257"/>
      <c r="L67" s="257"/>
      <c r="M67" s="257"/>
      <c r="N67" s="99"/>
      <c r="P67" s="325"/>
      <c r="Q67" s="256"/>
    </row>
    <row r="68" spans="1:17" ht="15" customHeight="1" x14ac:dyDescent="0.3">
      <c r="A68" s="238" t="str">
        <f ca="1">OnshoreOilProduction</f>
        <v>Onshore Oil Production</v>
      </c>
      <c r="B68" s="238" t="str">
        <f ca="1">'Translation Table'!H1432</f>
        <v xml:space="preserve">Diaphragm pumps </v>
      </c>
      <c r="C68" s="463">
        <f t="shared" si="11"/>
        <v>32.169091522842642</v>
      </c>
      <c r="D68" s="225" t="s">
        <v>2060</v>
      </c>
      <c r="E68" s="225">
        <f>37.3*24</f>
        <v>895.19999999999993</v>
      </c>
      <c r="F68" s="225" t="s">
        <v>2107</v>
      </c>
      <c r="G68" s="225">
        <v>78.8</v>
      </c>
      <c r="H68" s="238">
        <f t="shared" si="12"/>
        <v>2.8316850000000001E-2</v>
      </c>
      <c r="I68" s="96"/>
      <c r="J68" s="257"/>
      <c r="K68" s="257"/>
      <c r="L68" s="257"/>
      <c r="M68" s="257"/>
      <c r="N68" s="99"/>
      <c r="P68" s="325"/>
      <c r="Q68" s="256"/>
    </row>
    <row r="69" spans="1:17" ht="15" customHeight="1" x14ac:dyDescent="0.3">
      <c r="A69" s="237" t="str">
        <f ca="1">OnshoreOilProduction</f>
        <v>Onshore Oil Production</v>
      </c>
      <c r="B69" s="237" t="str">
        <f ca="1">'Translation Table'!H1429</f>
        <v xml:space="preserve">Piston pumps </v>
      </c>
      <c r="C69" s="407">
        <f>E69*H69/(G69/100)</f>
        <v>18.025040558375636</v>
      </c>
      <c r="D69" s="225" t="s">
        <v>2060</v>
      </c>
      <c r="E69" s="225">
        <f>20.9*24</f>
        <v>501.59999999999997</v>
      </c>
      <c r="F69" s="225" t="s">
        <v>2107</v>
      </c>
      <c r="G69" s="225">
        <v>78.8</v>
      </c>
      <c r="H69" s="237">
        <f t="shared" si="12"/>
        <v>2.8316850000000001E-2</v>
      </c>
      <c r="I69" s="96"/>
      <c r="J69" s="257"/>
      <c r="K69" s="257"/>
      <c r="L69" s="257"/>
      <c r="M69" s="257"/>
      <c r="N69" s="99"/>
      <c r="P69" s="325"/>
      <c r="Q69" s="256"/>
    </row>
    <row r="70" spans="1:17" ht="15" customHeight="1" x14ac:dyDescent="0.3">
      <c r="A70" s="238" t="str">
        <f ca="1">OnshoreOilProduction</f>
        <v>Onshore Oil Production</v>
      </c>
      <c r="B70" s="238" t="str">
        <f ca="1">'Translation Table'!H1435</f>
        <v>Average pump (if type unknown)</v>
      </c>
      <c r="C70" s="463">
        <f t="shared" si="11"/>
        <v>29.668009340101523</v>
      </c>
      <c r="D70" s="225" t="s">
        <v>2060</v>
      </c>
      <c r="E70" s="225">
        <f>34.4*24</f>
        <v>825.59999999999991</v>
      </c>
      <c r="F70" s="225" t="s">
        <v>2107</v>
      </c>
      <c r="G70" s="225">
        <v>78.8</v>
      </c>
      <c r="H70" s="238">
        <f t="shared" si="12"/>
        <v>2.8316850000000001E-2</v>
      </c>
      <c r="I70" s="96"/>
      <c r="J70" s="257"/>
      <c r="K70" s="257"/>
      <c r="L70" s="257"/>
      <c r="M70" s="257"/>
      <c r="N70" s="99"/>
      <c r="P70" s="325"/>
      <c r="Q70" s="256"/>
    </row>
    <row r="71" spans="1:17" ht="15" customHeight="1" x14ac:dyDescent="0.3">
      <c r="A71" s="237" t="str">
        <f ca="1">OnshoreGasProduction</f>
        <v>Onshore Gas Production</v>
      </c>
      <c r="B71" s="237" t="str">
        <f ca="1">'Translation Table'!H1432</f>
        <v xml:space="preserve">Diaphragm pumps </v>
      </c>
      <c r="C71" s="407">
        <f>E71*H71/(G71/100)</f>
        <v>32.169091522842642</v>
      </c>
      <c r="D71" s="225" t="s">
        <v>2060</v>
      </c>
      <c r="E71" s="225">
        <f>37.3*24</f>
        <v>895.19999999999993</v>
      </c>
      <c r="F71" s="225" t="s">
        <v>2107</v>
      </c>
      <c r="G71" s="225">
        <v>78.8</v>
      </c>
      <c r="H71" s="237">
        <f t="shared" si="12"/>
        <v>2.8316850000000001E-2</v>
      </c>
      <c r="I71" s="96"/>
      <c r="J71" s="257"/>
      <c r="K71" s="257"/>
      <c r="L71" s="257"/>
      <c r="M71" s="257"/>
      <c r="N71" s="99"/>
      <c r="P71" s="325"/>
      <c r="Q71" s="256"/>
    </row>
    <row r="72" spans="1:17" ht="15" customHeight="1" x14ac:dyDescent="0.3">
      <c r="A72" s="238" t="str">
        <f ca="1">OnshoreGasProduction</f>
        <v>Onshore Gas Production</v>
      </c>
      <c r="B72" s="238" t="str">
        <f ca="1">'Translation Table'!H1429</f>
        <v xml:space="preserve">Piston pumps </v>
      </c>
      <c r="C72" s="463">
        <f>E72*H72/(G72/100)</f>
        <v>18.025040558375636</v>
      </c>
      <c r="D72" s="225" t="s">
        <v>2060</v>
      </c>
      <c r="E72" s="225">
        <f>20.9*24</f>
        <v>501.59999999999997</v>
      </c>
      <c r="F72" s="225" t="s">
        <v>2107</v>
      </c>
      <c r="G72" s="225">
        <v>78.8</v>
      </c>
      <c r="H72" s="238">
        <f t="shared" si="12"/>
        <v>2.8316850000000001E-2</v>
      </c>
      <c r="I72" s="96"/>
      <c r="J72" s="257"/>
      <c r="K72" s="257"/>
      <c r="L72" s="257"/>
      <c r="M72" s="257"/>
      <c r="N72" s="99"/>
      <c r="P72" s="325"/>
      <c r="Q72" s="256"/>
    </row>
    <row r="73" spans="1:17" ht="15" customHeight="1" x14ac:dyDescent="0.3">
      <c r="A73" s="237" t="str">
        <f ca="1">OnshoreGasProduction</f>
        <v>Onshore Gas Production</v>
      </c>
      <c r="B73" s="237" t="str">
        <f ca="1">'Translation Table'!H1435</f>
        <v>Average pump (if type unknown)</v>
      </c>
      <c r="C73" s="407">
        <f>E73*H73/(G73/100)</f>
        <v>29.668009340101523</v>
      </c>
      <c r="D73" s="225" t="s">
        <v>2060</v>
      </c>
      <c r="E73" s="225">
        <f>34.4*24</f>
        <v>825.59999999999991</v>
      </c>
      <c r="F73" s="225" t="s">
        <v>2107</v>
      </c>
      <c r="G73" s="225">
        <v>78.8</v>
      </c>
      <c r="H73" s="237">
        <f t="shared" si="12"/>
        <v>2.8316850000000001E-2</v>
      </c>
      <c r="I73" s="96"/>
      <c r="J73" s="257"/>
      <c r="P73" s="325"/>
      <c r="Q73" s="256"/>
    </row>
    <row r="74" spans="1:17" ht="15" customHeight="1" x14ac:dyDescent="0.3">
      <c r="A74" s="238" t="str">
        <f ca="1">GasProcessing</f>
        <v>Gas Processing</v>
      </c>
      <c r="B74" s="238" t="str">
        <f ca="1">'Translation Table'!H1432</f>
        <v xml:space="preserve">Diaphragm pumps </v>
      </c>
      <c r="C74" s="463">
        <f t="shared" si="11"/>
        <v>32.169091522842642</v>
      </c>
      <c r="D74" s="225" t="s">
        <v>2060</v>
      </c>
      <c r="E74" s="225">
        <f>37.3*24</f>
        <v>895.19999999999993</v>
      </c>
      <c r="F74" s="225" t="s">
        <v>2107</v>
      </c>
      <c r="G74" s="225">
        <v>78.8</v>
      </c>
      <c r="H74" s="238">
        <f t="shared" si="12"/>
        <v>2.8316850000000001E-2</v>
      </c>
      <c r="I74" s="96"/>
      <c r="J74" s="257"/>
      <c r="P74" s="325"/>
      <c r="Q74" s="256"/>
    </row>
    <row r="75" spans="1:17" ht="15" customHeight="1" x14ac:dyDescent="0.3">
      <c r="A75" s="237" t="str">
        <f ca="1">GasProcessing</f>
        <v>Gas Processing</v>
      </c>
      <c r="B75" s="237" t="str">
        <f ca="1">'Translation Table'!H1429</f>
        <v xml:space="preserve">Piston pumps </v>
      </c>
      <c r="C75" s="407">
        <f>E75*H75/(G75/100)</f>
        <v>18.025040558375636</v>
      </c>
      <c r="D75" s="225" t="s">
        <v>2060</v>
      </c>
      <c r="E75" s="225">
        <f>20.9*24</f>
        <v>501.59999999999997</v>
      </c>
      <c r="F75" s="225" t="s">
        <v>2107</v>
      </c>
      <c r="G75" s="225">
        <v>78.8</v>
      </c>
      <c r="H75" s="237">
        <f t="shared" si="12"/>
        <v>2.8316850000000001E-2</v>
      </c>
      <c r="I75" s="96"/>
      <c r="J75" s="257"/>
      <c r="P75" s="325"/>
      <c r="Q75" s="256"/>
    </row>
    <row r="76" spans="1:17" ht="15" customHeight="1" x14ac:dyDescent="0.3">
      <c r="A76" s="238" t="str">
        <f ca="1">GasProcessing</f>
        <v>Gas Processing</v>
      </c>
      <c r="B76" s="238" t="str">
        <f ca="1">'Translation Table'!H1435</f>
        <v>Average pump (if type unknown)</v>
      </c>
      <c r="C76" s="463">
        <f t="shared" si="11"/>
        <v>29.668009340101523</v>
      </c>
      <c r="D76" s="225" t="s">
        <v>2060</v>
      </c>
      <c r="E76" s="225">
        <f>34.4*24</f>
        <v>825.59999999999991</v>
      </c>
      <c r="F76" s="225" t="s">
        <v>2107</v>
      </c>
      <c r="G76" s="225">
        <v>78.8</v>
      </c>
      <c r="H76" s="238">
        <f t="shared" si="12"/>
        <v>2.8316850000000001E-2</v>
      </c>
      <c r="I76" s="96"/>
      <c r="J76" s="257"/>
      <c r="P76" s="325"/>
      <c r="Q76" s="256"/>
    </row>
    <row r="77" spans="1:17" ht="15" customHeight="1" x14ac:dyDescent="0.3">
      <c r="A77" s="237" t="str">
        <f ca="1">GasTransmission</f>
        <v>Gas Transmission</v>
      </c>
      <c r="B77" s="237" t="str">
        <f ca="1">'Translation Table'!H1432</f>
        <v xml:space="preserve">Diaphragm pumps </v>
      </c>
      <c r="C77" s="407">
        <f t="shared" si="11"/>
        <v>32.169091522842642</v>
      </c>
      <c r="D77" s="225" t="s">
        <v>2060</v>
      </c>
      <c r="E77" s="225">
        <f>37.3*24</f>
        <v>895.19999999999993</v>
      </c>
      <c r="F77" s="225" t="s">
        <v>2107</v>
      </c>
      <c r="G77" s="225">
        <v>78.8</v>
      </c>
      <c r="H77" s="237">
        <f t="shared" si="12"/>
        <v>2.8316850000000001E-2</v>
      </c>
      <c r="I77" s="96"/>
      <c r="J77" s="257"/>
      <c r="P77" s="325"/>
      <c r="Q77" s="256"/>
    </row>
    <row r="78" spans="1:17" ht="15" customHeight="1" x14ac:dyDescent="0.3">
      <c r="A78" s="238" t="str">
        <f ca="1">GasTransmission</f>
        <v>Gas Transmission</v>
      </c>
      <c r="B78" s="238" t="str">
        <f ca="1">'Translation Table'!H1429</f>
        <v xml:space="preserve">Piston pumps </v>
      </c>
      <c r="C78" s="463">
        <f>E78*H78/(G78/100)</f>
        <v>18.025040558375636</v>
      </c>
      <c r="D78" s="225" t="s">
        <v>2060</v>
      </c>
      <c r="E78" s="225">
        <f>20.9*24</f>
        <v>501.59999999999997</v>
      </c>
      <c r="F78" s="225" t="s">
        <v>2107</v>
      </c>
      <c r="G78" s="225">
        <v>78.8</v>
      </c>
      <c r="H78" s="238">
        <f t="shared" si="12"/>
        <v>2.8316850000000001E-2</v>
      </c>
      <c r="I78" s="96"/>
      <c r="J78" s="257"/>
      <c r="P78" s="325"/>
      <c r="Q78" s="256"/>
    </row>
    <row r="79" spans="1:17" ht="15" customHeight="1" x14ac:dyDescent="0.3">
      <c r="A79" s="237" t="str">
        <f ca="1">GasTransmission</f>
        <v>Gas Transmission</v>
      </c>
      <c r="B79" s="237" t="str">
        <f ca="1">'Translation Table'!H1435</f>
        <v>Average pump (if type unknown)</v>
      </c>
      <c r="C79" s="407">
        <f t="shared" si="11"/>
        <v>29.668009340101523</v>
      </c>
      <c r="D79" s="225" t="s">
        <v>2060</v>
      </c>
      <c r="E79" s="225">
        <f>34.4*24</f>
        <v>825.59999999999991</v>
      </c>
      <c r="F79" s="225" t="s">
        <v>2107</v>
      </c>
      <c r="G79" s="225">
        <v>78.8</v>
      </c>
      <c r="H79" s="237">
        <f t="shared" si="12"/>
        <v>2.8316850000000001E-2</v>
      </c>
      <c r="I79" s="96"/>
      <c r="J79" s="257"/>
      <c r="P79" s="325"/>
      <c r="Q79" s="256"/>
    </row>
    <row r="80" spans="1:17" ht="15" customHeight="1" x14ac:dyDescent="0.3">
      <c r="A80" s="238" t="str">
        <f ca="1">GasStorage</f>
        <v>Gas Storage</v>
      </c>
      <c r="B80" s="238" t="str">
        <f ca="1">'Translation Table'!H1432</f>
        <v xml:space="preserve">Diaphragm pumps </v>
      </c>
      <c r="C80" s="463">
        <f t="shared" si="11"/>
        <v>32.169091522842642</v>
      </c>
      <c r="D80" s="225" t="s">
        <v>2060</v>
      </c>
      <c r="E80" s="225">
        <f>37.3*24</f>
        <v>895.19999999999993</v>
      </c>
      <c r="F80" s="225" t="s">
        <v>2107</v>
      </c>
      <c r="G80" s="225">
        <v>78.8</v>
      </c>
      <c r="H80" s="238">
        <f t="shared" si="12"/>
        <v>2.8316850000000001E-2</v>
      </c>
      <c r="I80" s="96"/>
      <c r="J80" s="257"/>
      <c r="P80" s="325"/>
      <c r="Q80" s="256"/>
    </row>
    <row r="81" spans="1:17" ht="15" customHeight="1" x14ac:dyDescent="0.3">
      <c r="A81" s="237" t="str">
        <f ca="1">GasStorage</f>
        <v>Gas Storage</v>
      </c>
      <c r="B81" s="237" t="str">
        <f ca="1">'Translation Table'!H1429</f>
        <v xml:space="preserve">Piston pumps </v>
      </c>
      <c r="C81" s="407">
        <f>E81*H81/(G81/100)</f>
        <v>18.025040558375636</v>
      </c>
      <c r="D81" s="225" t="s">
        <v>2060</v>
      </c>
      <c r="E81" s="225">
        <f>20.9*24</f>
        <v>501.59999999999997</v>
      </c>
      <c r="F81" s="225" t="s">
        <v>2107</v>
      </c>
      <c r="G81" s="225">
        <v>78.8</v>
      </c>
      <c r="H81" s="237">
        <f t="shared" si="12"/>
        <v>2.8316850000000001E-2</v>
      </c>
      <c r="I81" s="96"/>
      <c r="J81" s="257"/>
      <c r="P81" s="325"/>
      <c r="Q81" s="256"/>
    </row>
    <row r="82" spans="1:17" ht="15" customHeight="1" x14ac:dyDescent="0.3">
      <c r="A82" s="238" t="str">
        <f ca="1">GasStorage</f>
        <v>Gas Storage</v>
      </c>
      <c r="B82" s="238" t="str">
        <f ca="1">'Translation Table'!H1435</f>
        <v>Average pump (if type unknown)</v>
      </c>
      <c r="C82" s="463">
        <f t="shared" si="11"/>
        <v>29.668009340101523</v>
      </c>
      <c r="D82" s="225" t="s">
        <v>2060</v>
      </c>
      <c r="E82" s="225">
        <f>34.4*24</f>
        <v>825.59999999999991</v>
      </c>
      <c r="F82" s="225" t="s">
        <v>2107</v>
      </c>
      <c r="G82" s="225">
        <v>78.8</v>
      </c>
      <c r="H82" s="238">
        <f t="shared" si="12"/>
        <v>2.8316850000000001E-2</v>
      </c>
      <c r="I82" s="96"/>
      <c r="J82" s="257"/>
      <c r="P82" s="325"/>
      <c r="Q82" s="256"/>
    </row>
    <row r="83" spans="1:17" ht="15" customHeight="1" x14ac:dyDescent="0.3">
      <c r="A83" s="237" t="str">
        <f ca="1">GasDistribution</f>
        <v>Gas Distribution</v>
      </c>
      <c r="B83" s="237" t="str">
        <f ca="1">'Translation Table'!H1432</f>
        <v xml:space="preserve">Diaphragm pumps </v>
      </c>
      <c r="C83" s="407">
        <f t="shared" si="11"/>
        <v>32.169091522842642</v>
      </c>
      <c r="D83" s="225" t="s">
        <v>2060</v>
      </c>
      <c r="E83" s="225">
        <f>37.3*24</f>
        <v>895.19999999999993</v>
      </c>
      <c r="F83" s="225" t="s">
        <v>2107</v>
      </c>
      <c r="G83" s="225">
        <v>78.8</v>
      </c>
      <c r="H83" s="237">
        <f t="shared" si="12"/>
        <v>2.8316850000000001E-2</v>
      </c>
      <c r="I83" s="96"/>
      <c r="J83" s="257"/>
      <c r="P83" s="325"/>
      <c r="Q83" s="256"/>
    </row>
    <row r="84" spans="1:17" ht="15" customHeight="1" x14ac:dyDescent="0.3">
      <c r="A84" s="238" t="str">
        <f ca="1">GasDistribution</f>
        <v>Gas Distribution</v>
      </c>
      <c r="B84" s="238" t="str">
        <f ca="1">'Translation Table'!H1429</f>
        <v xml:space="preserve">Piston pumps </v>
      </c>
      <c r="C84" s="463">
        <f>E84*H84/(G84/100)</f>
        <v>18.025040558375636</v>
      </c>
      <c r="D84" s="225" t="s">
        <v>2060</v>
      </c>
      <c r="E84" s="225">
        <f>20.9*24</f>
        <v>501.59999999999997</v>
      </c>
      <c r="F84" s="225" t="s">
        <v>2107</v>
      </c>
      <c r="G84" s="225">
        <v>78.8</v>
      </c>
      <c r="H84" s="238">
        <f t="shared" si="12"/>
        <v>2.8316850000000001E-2</v>
      </c>
      <c r="I84" s="96"/>
      <c r="J84" s="257"/>
      <c r="P84" s="325"/>
      <c r="Q84" s="256"/>
    </row>
    <row r="85" spans="1:17" ht="15" customHeight="1" x14ac:dyDescent="0.3">
      <c r="A85" s="237" t="str">
        <f ca="1">GasDistribution</f>
        <v>Gas Distribution</v>
      </c>
      <c r="B85" s="237" t="str">
        <f ca="1">'Translation Table'!H1435</f>
        <v>Average pump (if type unknown)</v>
      </c>
      <c r="C85" s="407">
        <f t="shared" si="11"/>
        <v>29.668009340101523</v>
      </c>
      <c r="D85" s="225" t="s">
        <v>2060</v>
      </c>
      <c r="E85" s="225">
        <f>34.4*24</f>
        <v>825.59999999999991</v>
      </c>
      <c r="F85" s="225" t="s">
        <v>2107</v>
      </c>
      <c r="G85" s="225">
        <v>78.8</v>
      </c>
      <c r="H85" s="237">
        <f t="shared" si="12"/>
        <v>2.8316850000000001E-2</v>
      </c>
      <c r="I85" s="96"/>
      <c r="J85" s="257"/>
      <c r="P85" s="325"/>
      <c r="Q85" s="256"/>
    </row>
    <row r="86" spans="1:17" ht="15" customHeight="1" x14ac:dyDescent="0.3">
      <c r="A86" s="238" t="str">
        <f ca="1">PetroleumRefining</f>
        <v>Petroleum Refining</v>
      </c>
      <c r="B86" s="238" t="str">
        <f ca="1">'Translation Table'!H1432</f>
        <v xml:space="preserve">Diaphragm pumps </v>
      </c>
      <c r="C86" s="463">
        <f t="shared" si="11"/>
        <v>32.169091522842642</v>
      </c>
      <c r="D86" s="225" t="s">
        <v>2060</v>
      </c>
      <c r="E86" s="225">
        <f>37.3*24</f>
        <v>895.19999999999993</v>
      </c>
      <c r="F86" s="225" t="s">
        <v>2107</v>
      </c>
      <c r="G86" s="225">
        <v>78.8</v>
      </c>
      <c r="H86" s="238">
        <f t="shared" si="12"/>
        <v>2.8316850000000001E-2</v>
      </c>
      <c r="I86" s="96"/>
      <c r="J86" s="257"/>
      <c r="P86" s="325"/>
      <c r="Q86" s="256"/>
    </row>
    <row r="87" spans="1:17" ht="15" customHeight="1" x14ac:dyDescent="0.3">
      <c r="A87" s="237" t="str">
        <f ca="1">PetroleumRefining</f>
        <v>Petroleum Refining</v>
      </c>
      <c r="B87" s="237" t="str">
        <f ca="1">'Translation Table'!H1429</f>
        <v xml:space="preserve">Piston pumps </v>
      </c>
      <c r="C87" s="407">
        <f>E87*H87/(G87/100)</f>
        <v>18.025040558375636</v>
      </c>
      <c r="D87" s="225" t="s">
        <v>2060</v>
      </c>
      <c r="E87" s="225">
        <f>20.9*24</f>
        <v>501.59999999999997</v>
      </c>
      <c r="F87" s="225" t="s">
        <v>2107</v>
      </c>
      <c r="G87" s="225">
        <v>78.8</v>
      </c>
      <c r="H87" s="237">
        <f t="shared" si="12"/>
        <v>2.8316850000000001E-2</v>
      </c>
      <c r="I87" s="96"/>
      <c r="J87" s="257"/>
      <c r="P87" s="325"/>
      <c r="Q87" s="256"/>
    </row>
    <row r="88" spans="1:17" ht="15" customHeight="1" x14ac:dyDescent="0.3">
      <c r="A88" s="238" t="str">
        <f ca="1">PetroleumRefining</f>
        <v>Petroleum Refining</v>
      </c>
      <c r="B88" s="238" t="str">
        <f ca="1">'Translation Table'!H1435</f>
        <v>Average pump (if type unknown)</v>
      </c>
      <c r="C88" s="463">
        <f t="shared" si="11"/>
        <v>29.668009340101523</v>
      </c>
      <c r="D88" s="225" t="s">
        <v>2060</v>
      </c>
      <c r="E88" s="225">
        <f>34.4*24</f>
        <v>825.59999999999991</v>
      </c>
      <c r="F88" s="225" t="s">
        <v>2107</v>
      </c>
      <c r="G88" s="225">
        <v>78.8</v>
      </c>
      <c r="H88" s="238">
        <f t="shared" si="12"/>
        <v>2.8316850000000001E-2</v>
      </c>
      <c r="I88" s="96"/>
      <c r="J88" s="257"/>
      <c r="P88" s="325"/>
      <c r="Q88" s="256"/>
    </row>
    <row r="92" spans="1:17" ht="22.5" x14ac:dyDescent="0.45">
      <c r="A92" s="1109" t="str">
        <f ca="1">'Translation Table'!H1438</f>
        <v>Dehydrators:</v>
      </c>
      <c r="B92" s="1109"/>
    </row>
    <row r="94" spans="1:17" ht="15.5" x14ac:dyDescent="0.3">
      <c r="A94" s="92" t="str">
        <f ca="1">'Translation Table'!H1439</f>
        <v>Industry Segment</v>
      </c>
      <c r="B94" s="92" t="str">
        <f ca="1">'Translation Table'!H1440</f>
        <v>Subcategory</v>
      </c>
      <c r="C94" s="92" t="str">
        <f ca="1">'Translation Table'!H1441</f>
        <v>Uncontrolled Emission Factor</v>
      </c>
      <c r="D94" s="92" t="str">
        <f ca="1">'Translation Table'!H1442</f>
        <v>Data Source</v>
      </c>
      <c r="E94" s="1094" t="str">
        <f>'Translation Table'!I1443</f>
        <v>As Reported in the Reference</v>
      </c>
      <c r="F94" s="1094"/>
      <c r="G94" s="1094"/>
      <c r="H94" s="68" t="str">
        <f ca="1">'Translation Table'!H1444</f>
        <v>Conversion Factor</v>
      </c>
      <c r="I94" s="101"/>
      <c r="J94" s="56"/>
      <c r="P94" s="325"/>
      <c r="Q94" s="256"/>
    </row>
    <row r="95" spans="1:17" ht="15.5" x14ac:dyDescent="0.3">
      <c r="A95" s="93"/>
      <c r="B95" s="93"/>
      <c r="C95" s="93" t="str">
        <f ca="1">'Translation Table'!H1445</f>
        <v>(Nm3/E+06 Nm3 of Gas Processed)</v>
      </c>
      <c r="D95" s="93"/>
      <c r="E95" s="92" t="str">
        <f ca="1">'Translation Table'!H1446</f>
        <v>EF Value</v>
      </c>
      <c r="F95" s="92" t="str">
        <f ca="1">'Translation Table'!H1447</f>
        <v xml:space="preserve">Units of </v>
      </c>
      <c r="G95" s="92" t="str">
        <f ca="1">'Translation Table'!H1448</f>
        <v xml:space="preserve">CH4 Content </v>
      </c>
      <c r="H95" s="92" t="str">
        <f ca="1">'Translation Table'!H1449</f>
        <v>Value</v>
      </c>
      <c r="I95" s="101"/>
      <c r="J95" s="56"/>
      <c r="P95" s="325"/>
      <c r="Q95" s="256"/>
    </row>
    <row r="96" spans="1:17" ht="15.5" x14ac:dyDescent="0.3">
      <c r="A96" s="93"/>
      <c r="B96" s="93"/>
      <c r="C96" s="93"/>
      <c r="D96" s="93"/>
      <c r="E96" s="93"/>
      <c r="F96" s="93" t="str">
        <f ca="1">'Translation Table'!H1451</f>
        <v>Measure</v>
      </c>
      <c r="G96" s="93" t="str">
        <f ca="1">'Translation Table'!H1452</f>
        <v>Basis for Industry Segment</v>
      </c>
      <c r="H96" s="93"/>
      <c r="I96" s="101"/>
      <c r="J96" s="56"/>
      <c r="P96" s="325"/>
      <c r="Q96" s="256"/>
    </row>
    <row r="97" spans="1:17" ht="13.5" customHeight="1" x14ac:dyDescent="0.3">
      <c r="A97" s="94"/>
      <c r="B97" s="94"/>
      <c r="C97" s="94"/>
      <c r="D97" s="94"/>
      <c r="E97" s="94"/>
      <c r="F97" s="94"/>
      <c r="G97" s="111" t="str">
        <f ca="1">'Translation Table'!H1453</f>
        <v>(Mol%)</v>
      </c>
      <c r="H97" s="94"/>
      <c r="I97" s="101"/>
      <c r="J97" s="56"/>
      <c r="P97" s="325"/>
      <c r="Q97" s="256"/>
    </row>
    <row r="98" spans="1:17" ht="15" customHeight="1" x14ac:dyDescent="0.3">
      <c r="A98" s="238" t="str">
        <f ca="1">OffshoreOilProduction</f>
        <v>Offshore Oil Production</v>
      </c>
      <c r="B98" s="238" t="str">
        <f ca="1">'Translation Table'!H1454</f>
        <v>With Gas-Assisted Pump Emissions</v>
      </c>
      <c r="C98" s="463">
        <f t="shared" ref="C98:C115" si="13">E98*H98/(G98/100)</f>
        <v>1258.8832487309646</v>
      </c>
      <c r="D98" s="225" t="s">
        <v>2061</v>
      </c>
      <c r="E98" s="225">
        <v>992</v>
      </c>
      <c r="F98" s="225" t="s">
        <v>2508</v>
      </c>
      <c r="G98" s="225">
        <v>78.8</v>
      </c>
      <c r="H98" s="238">
        <f t="shared" ref="H98:H115" si="14">scf_per_E6scf_to_m3_per_E6m3</f>
        <v>1</v>
      </c>
      <c r="I98" s="96"/>
      <c r="J98" s="257"/>
      <c r="P98" s="325"/>
      <c r="Q98" s="256"/>
    </row>
    <row r="99" spans="1:17" ht="15" customHeight="1" x14ac:dyDescent="0.3">
      <c r="A99" s="237" t="str">
        <f ca="1">OffshoreOilProduction</f>
        <v>Offshore Oil Production</v>
      </c>
      <c r="B99" s="237" t="str">
        <f ca="1">'Translation Table'!H1455</f>
        <v>Without Gas-Assisted Pump Emissions</v>
      </c>
      <c r="C99" s="407">
        <f t="shared" si="13"/>
        <v>349.70812182741122</v>
      </c>
      <c r="D99" s="225" t="s">
        <v>2062</v>
      </c>
      <c r="E99" s="225">
        <v>275.57</v>
      </c>
      <c r="F99" s="225" t="s">
        <v>2508</v>
      </c>
      <c r="G99" s="225">
        <v>78.8</v>
      </c>
      <c r="H99" s="237">
        <f t="shared" si="14"/>
        <v>1</v>
      </c>
      <c r="I99" s="96"/>
      <c r="J99" s="257"/>
      <c r="P99" s="325"/>
      <c r="Q99" s="256"/>
    </row>
    <row r="100" spans="1:17" ht="15" customHeight="1" x14ac:dyDescent="0.3">
      <c r="A100" s="238" t="str">
        <f ca="1">OffshoreGasProduction</f>
        <v>Offshore Gas Production</v>
      </c>
      <c r="B100" s="238" t="str">
        <f ca="1">'Translation Table'!H1454</f>
        <v>With Gas-Assisted Pump Emissions</v>
      </c>
      <c r="C100" s="463">
        <f t="shared" si="13"/>
        <v>1258.8832487309646</v>
      </c>
      <c r="D100" s="225" t="s">
        <v>2061</v>
      </c>
      <c r="E100" s="225">
        <v>992</v>
      </c>
      <c r="F100" s="225" t="s">
        <v>2508</v>
      </c>
      <c r="G100" s="225">
        <v>78.8</v>
      </c>
      <c r="H100" s="238">
        <f t="shared" si="14"/>
        <v>1</v>
      </c>
      <c r="I100" s="96"/>
      <c r="J100" s="257"/>
      <c r="P100" s="325"/>
      <c r="Q100" s="256"/>
    </row>
    <row r="101" spans="1:17" ht="15" customHeight="1" x14ac:dyDescent="0.3">
      <c r="A101" s="237" t="str">
        <f ca="1">OffshoreGasProduction</f>
        <v>Offshore Gas Production</v>
      </c>
      <c r="B101" s="237" t="str">
        <f ca="1">'Translation Table'!H1455</f>
        <v>Without Gas-Assisted Pump Emissions</v>
      </c>
      <c r="C101" s="407">
        <f t="shared" si="13"/>
        <v>349.70812182741122</v>
      </c>
      <c r="D101" s="225" t="s">
        <v>2062</v>
      </c>
      <c r="E101" s="225">
        <v>275.57</v>
      </c>
      <c r="F101" s="225" t="s">
        <v>2508</v>
      </c>
      <c r="G101" s="225">
        <v>78.8</v>
      </c>
      <c r="H101" s="237">
        <f t="shared" si="14"/>
        <v>1</v>
      </c>
      <c r="I101" s="96"/>
      <c r="J101" s="257"/>
      <c r="P101" s="325"/>
      <c r="Q101" s="256"/>
    </row>
    <row r="102" spans="1:17" ht="15" customHeight="1" x14ac:dyDescent="0.3">
      <c r="A102" s="238" t="str">
        <f ca="1">OnshoreOilProduction</f>
        <v>Onshore Oil Production</v>
      </c>
      <c r="B102" s="238" t="str">
        <f ca="1">'Translation Table'!H1454</f>
        <v>With Gas-Assisted Pump Emissions</v>
      </c>
      <c r="C102" s="463">
        <f t="shared" si="13"/>
        <v>1258.8832487309646</v>
      </c>
      <c r="D102" s="225" t="s">
        <v>2061</v>
      </c>
      <c r="E102" s="225">
        <v>992</v>
      </c>
      <c r="F102" s="225" t="s">
        <v>2508</v>
      </c>
      <c r="G102" s="225">
        <v>78.8</v>
      </c>
      <c r="H102" s="238">
        <f t="shared" si="14"/>
        <v>1</v>
      </c>
      <c r="I102" s="96"/>
      <c r="J102" s="257"/>
      <c r="P102" s="325"/>
      <c r="Q102" s="256"/>
    </row>
    <row r="103" spans="1:17" ht="15" customHeight="1" x14ac:dyDescent="0.3">
      <c r="A103" s="237" t="str">
        <f ca="1">OnshoreOilProduction</f>
        <v>Onshore Oil Production</v>
      </c>
      <c r="B103" s="237" t="str">
        <f ca="1">'Translation Table'!H1455</f>
        <v>Without Gas-Assisted Pump Emissions</v>
      </c>
      <c r="C103" s="407">
        <f t="shared" si="13"/>
        <v>349.70812182741122</v>
      </c>
      <c r="D103" s="225" t="s">
        <v>2062</v>
      </c>
      <c r="E103" s="225">
        <v>275.57</v>
      </c>
      <c r="F103" s="225" t="s">
        <v>2508</v>
      </c>
      <c r="G103" s="225">
        <v>78.8</v>
      </c>
      <c r="H103" s="237">
        <f t="shared" si="14"/>
        <v>1</v>
      </c>
      <c r="I103" s="96"/>
      <c r="J103" s="257"/>
      <c r="P103" s="325"/>
      <c r="Q103" s="256"/>
    </row>
    <row r="104" spans="1:17" ht="15" customHeight="1" x14ac:dyDescent="0.3">
      <c r="A104" s="238" t="str">
        <f ca="1">OnshoreGasProduction</f>
        <v>Onshore Gas Production</v>
      </c>
      <c r="B104" s="238" t="str">
        <f ca="1">'Translation Table'!H1454</f>
        <v>With Gas-Assisted Pump Emissions</v>
      </c>
      <c r="C104" s="463">
        <f t="shared" si="13"/>
        <v>1258.8832487309646</v>
      </c>
      <c r="D104" s="225" t="s">
        <v>2061</v>
      </c>
      <c r="E104" s="225">
        <v>992</v>
      </c>
      <c r="F104" s="225" t="s">
        <v>2508</v>
      </c>
      <c r="G104" s="225">
        <v>78.8</v>
      </c>
      <c r="H104" s="238">
        <f t="shared" si="14"/>
        <v>1</v>
      </c>
      <c r="I104" s="96"/>
      <c r="J104" s="257"/>
      <c r="P104" s="325"/>
      <c r="Q104" s="256"/>
    </row>
    <row r="105" spans="1:17" ht="15" customHeight="1" x14ac:dyDescent="0.3">
      <c r="A105" s="237" t="str">
        <f ca="1">OnshoreGasProduction</f>
        <v>Onshore Gas Production</v>
      </c>
      <c r="B105" s="237" t="str">
        <f ca="1">'Translation Table'!H1455</f>
        <v>Without Gas-Assisted Pump Emissions</v>
      </c>
      <c r="C105" s="407">
        <f t="shared" si="13"/>
        <v>349.70812182741122</v>
      </c>
      <c r="D105" s="225" t="s">
        <v>2062</v>
      </c>
      <c r="E105" s="225">
        <v>275.57</v>
      </c>
      <c r="F105" s="225" t="s">
        <v>2508</v>
      </c>
      <c r="G105" s="225">
        <v>78.8</v>
      </c>
      <c r="H105" s="237">
        <f t="shared" si="14"/>
        <v>1</v>
      </c>
      <c r="I105" s="96"/>
      <c r="J105" s="257"/>
      <c r="P105" s="325"/>
      <c r="Q105" s="256"/>
    </row>
    <row r="106" spans="1:17" ht="15" customHeight="1" x14ac:dyDescent="0.3">
      <c r="A106" s="238" t="str">
        <f ca="1">GasProcessing</f>
        <v>Gas Processing</v>
      </c>
      <c r="B106" s="238" t="str">
        <f ca="1">'Translation Table'!H1456</f>
        <v>With Gas-Assisted Pump Emissions</v>
      </c>
      <c r="C106" s="463">
        <f t="shared" si="13"/>
        <v>204.7811059907834</v>
      </c>
      <c r="D106" s="225" t="s">
        <v>2063</v>
      </c>
      <c r="E106" s="225">
        <v>177.75</v>
      </c>
      <c r="F106" s="225" t="s">
        <v>2508</v>
      </c>
      <c r="G106" s="225">
        <v>86.8</v>
      </c>
      <c r="H106" s="238">
        <f t="shared" si="14"/>
        <v>1</v>
      </c>
      <c r="I106" s="96"/>
      <c r="J106" s="257"/>
      <c r="P106" s="325"/>
      <c r="Q106" s="256"/>
    </row>
    <row r="107" spans="1:17" ht="15" customHeight="1" x14ac:dyDescent="0.3">
      <c r="A107" s="237" t="str">
        <f ca="1">GasProcessing</f>
        <v>Gas Processing</v>
      </c>
      <c r="B107" s="237" t="str">
        <f ca="1">'Translation Table'!H1457</f>
        <v>Without Gas-Assisted Pump Emissions</v>
      </c>
      <c r="C107" s="407">
        <f t="shared" si="13"/>
        <v>140.03456221198155</v>
      </c>
      <c r="D107" s="225" t="s">
        <v>2079</v>
      </c>
      <c r="E107" s="225">
        <v>121.55</v>
      </c>
      <c r="F107" s="225" t="s">
        <v>2508</v>
      </c>
      <c r="G107" s="225">
        <v>86.8</v>
      </c>
      <c r="H107" s="237">
        <f t="shared" si="14"/>
        <v>1</v>
      </c>
      <c r="I107" s="96"/>
      <c r="J107" s="257"/>
      <c r="P107" s="325"/>
      <c r="Q107" s="256"/>
    </row>
    <row r="108" spans="1:17" ht="15" customHeight="1" x14ac:dyDescent="0.3">
      <c r="A108" s="452" t="str">
        <f ca="1">GasTransmission</f>
        <v>Gas Transmission</v>
      </c>
      <c r="B108" s="238" t="str">
        <f ca="1">'Translation Table'!H1456</f>
        <v>With Gas-Assisted Pump Emissions</v>
      </c>
      <c r="C108" s="463">
        <f t="shared" si="13"/>
        <v>204.7811059907834</v>
      </c>
      <c r="D108" s="668" t="s">
        <v>3393</v>
      </c>
      <c r="E108" s="225">
        <v>177.75</v>
      </c>
      <c r="F108" s="225" t="s">
        <v>2508</v>
      </c>
      <c r="G108" s="225">
        <v>86.8</v>
      </c>
      <c r="H108" s="238">
        <f t="shared" si="14"/>
        <v>1</v>
      </c>
      <c r="I108" s="96"/>
      <c r="J108" s="257"/>
      <c r="P108" s="325"/>
      <c r="Q108" s="256"/>
    </row>
    <row r="109" spans="1:17" ht="15" customHeight="1" x14ac:dyDescent="0.3">
      <c r="A109" s="193" t="str">
        <f ca="1">GasTransmission</f>
        <v>Gas Transmission</v>
      </c>
      <c r="B109" s="237" t="str">
        <f ca="1">'Translation Table'!H1457</f>
        <v>Without Gas-Assisted Pump Emissions</v>
      </c>
      <c r="C109" s="407">
        <f t="shared" si="13"/>
        <v>140.03456221198155</v>
      </c>
      <c r="D109" s="668" t="s">
        <v>3394</v>
      </c>
      <c r="E109" s="225">
        <v>121.55</v>
      </c>
      <c r="F109" s="225" t="s">
        <v>2508</v>
      </c>
      <c r="G109" s="225">
        <v>86.8</v>
      </c>
      <c r="H109" s="237">
        <f t="shared" si="14"/>
        <v>1</v>
      </c>
      <c r="I109" s="96"/>
      <c r="J109" s="257"/>
      <c r="P109" s="325"/>
      <c r="Q109" s="256"/>
    </row>
    <row r="110" spans="1:17" ht="15" customHeight="1" x14ac:dyDescent="0.3">
      <c r="A110" s="452" t="str">
        <f ca="1">GasStorage</f>
        <v>Gas Storage</v>
      </c>
      <c r="B110" s="238" t="str">
        <f ca="1">'Translation Table'!H1456</f>
        <v>With Gas-Assisted Pump Emissions</v>
      </c>
      <c r="C110" s="463">
        <f t="shared" si="13"/>
        <v>204.7811059907834</v>
      </c>
      <c r="D110" s="668" t="s">
        <v>3393</v>
      </c>
      <c r="E110" s="225">
        <v>177.75</v>
      </c>
      <c r="F110" s="225" t="s">
        <v>2508</v>
      </c>
      <c r="G110" s="225">
        <v>86.8</v>
      </c>
      <c r="H110" s="238">
        <f t="shared" si="14"/>
        <v>1</v>
      </c>
      <c r="I110" s="96"/>
      <c r="J110" s="257"/>
      <c r="P110" s="325"/>
      <c r="Q110" s="256"/>
    </row>
    <row r="111" spans="1:17" ht="15" customHeight="1" x14ac:dyDescent="0.3">
      <c r="A111" s="193" t="str">
        <f ca="1">GasStorage</f>
        <v>Gas Storage</v>
      </c>
      <c r="B111" s="237" t="str">
        <f ca="1">'Translation Table'!H1457</f>
        <v>Without Gas-Assisted Pump Emissions</v>
      </c>
      <c r="C111" s="407">
        <f t="shared" si="13"/>
        <v>140.03456221198155</v>
      </c>
      <c r="D111" s="668" t="s">
        <v>3394</v>
      </c>
      <c r="E111" s="225">
        <v>121.55</v>
      </c>
      <c r="F111" s="225" t="s">
        <v>2508</v>
      </c>
      <c r="G111" s="225">
        <v>86.8</v>
      </c>
      <c r="H111" s="237">
        <f t="shared" si="14"/>
        <v>1</v>
      </c>
      <c r="I111" s="96"/>
      <c r="J111" s="257"/>
      <c r="P111" s="325"/>
      <c r="Q111" s="256"/>
    </row>
    <row r="112" spans="1:17" ht="15" customHeight="1" x14ac:dyDescent="0.3">
      <c r="A112" s="452" t="str">
        <f ca="1">GasDistribution</f>
        <v>Gas Distribution</v>
      </c>
      <c r="B112" s="238" t="str">
        <f ca="1">'Translation Table'!H1456</f>
        <v>With Gas-Assisted Pump Emissions</v>
      </c>
      <c r="C112" s="463">
        <f t="shared" si="13"/>
        <v>204.7811059907834</v>
      </c>
      <c r="D112" s="668" t="s">
        <v>3393</v>
      </c>
      <c r="E112" s="225">
        <v>177.75</v>
      </c>
      <c r="F112" s="225" t="s">
        <v>2508</v>
      </c>
      <c r="G112" s="225">
        <v>86.8</v>
      </c>
      <c r="H112" s="238">
        <f t="shared" si="14"/>
        <v>1</v>
      </c>
      <c r="I112" s="96"/>
      <c r="J112" s="257"/>
      <c r="P112" s="325"/>
      <c r="Q112" s="256"/>
    </row>
    <row r="113" spans="1:17" ht="15" customHeight="1" x14ac:dyDescent="0.3">
      <c r="A113" s="193" t="str">
        <f ca="1">GasDistribution</f>
        <v>Gas Distribution</v>
      </c>
      <c r="B113" s="237" t="str">
        <f ca="1">'Translation Table'!H1457</f>
        <v>Without Gas-Assisted Pump Emissions</v>
      </c>
      <c r="C113" s="407">
        <f t="shared" si="13"/>
        <v>140.03456221198155</v>
      </c>
      <c r="D113" s="668" t="s">
        <v>3394</v>
      </c>
      <c r="E113" s="225">
        <v>121.55</v>
      </c>
      <c r="F113" s="225" t="s">
        <v>2508</v>
      </c>
      <c r="G113" s="225">
        <v>86.8</v>
      </c>
      <c r="H113" s="237">
        <f t="shared" si="14"/>
        <v>1</v>
      </c>
      <c r="I113" s="96"/>
      <c r="J113" s="257"/>
      <c r="P113" s="325"/>
      <c r="Q113" s="256"/>
    </row>
    <row r="114" spans="1:17" ht="15" customHeight="1" x14ac:dyDescent="0.3">
      <c r="A114" s="670" t="str">
        <f ca="1">PetroleumRefining</f>
        <v>Petroleum Refining</v>
      </c>
      <c r="B114" s="238" t="str">
        <f ca="1">'Translation Table'!H1456</f>
        <v>With Gas-Assisted Pump Emissions</v>
      </c>
      <c r="C114" s="463">
        <f t="shared" si="13"/>
        <v>204.7811059907834</v>
      </c>
      <c r="D114" s="668" t="s">
        <v>3393</v>
      </c>
      <c r="E114" s="225">
        <v>177.75</v>
      </c>
      <c r="F114" s="225" t="s">
        <v>2508</v>
      </c>
      <c r="G114" s="225">
        <v>86.8</v>
      </c>
      <c r="H114" s="238">
        <f t="shared" si="14"/>
        <v>1</v>
      </c>
      <c r="I114" s="96"/>
      <c r="J114" s="257"/>
      <c r="P114" s="325"/>
      <c r="Q114" s="256"/>
    </row>
    <row r="115" spans="1:17" ht="15" customHeight="1" x14ac:dyDescent="0.3">
      <c r="A115" s="667" t="str">
        <f ca="1">PetroleumRefining</f>
        <v>Petroleum Refining</v>
      </c>
      <c r="B115" s="237" t="str">
        <f ca="1">'Translation Table'!H1457</f>
        <v>Without Gas-Assisted Pump Emissions</v>
      </c>
      <c r="C115" s="407">
        <f t="shared" si="13"/>
        <v>140.03456221198155</v>
      </c>
      <c r="D115" s="668" t="s">
        <v>3394</v>
      </c>
      <c r="E115" s="225">
        <v>121.55</v>
      </c>
      <c r="F115" s="225" t="s">
        <v>2508</v>
      </c>
      <c r="G115" s="225">
        <v>86.8</v>
      </c>
      <c r="H115" s="237">
        <f t="shared" si="14"/>
        <v>1</v>
      </c>
      <c r="I115" s="96"/>
      <c r="J115" s="257"/>
      <c r="P115" s="325"/>
      <c r="Q115" s="256"/>
    </row>
    <row r="117" spans="1:17" ht="22.5" x14ac:dyDescent="0.45">
      <c r="A117" s="1109" t="str">
        <f ca="1">'Translation Table'!H1460</f>
        <v>Gas Sweetening Units:</v>
      </c>
      <c r="B117" s="1109"/>
    </row>
    <row r="119" spans="1:17" ht="15.5" x14ac:dyDescent="0.3">
      <c r="A119" s="92" t="str">
        <f ca="1">'Translation Table'!H1461</f>
        <v>Industry Segment</v>
      </c>
      <c r="B119" s="92" t="str">
        <f ca="1">'Translation Table'!H1462</f>
        <v>Subcategory</v>
      </c>
      <c r="C119" s="92" t="str">
        <f ca="1">'Translation Table'!H1463</f>
        <v>Uncontrolled Emission Factor</v>
      </c>
      <c r="D119" s="92" t="str">
        <f ca="1">'Translation Table'!H1464</f>
        <v>Data Source</v>
      </c>
      <c r="E119" s="1094" t="str">
        <f ca="1">'Translation Table'!H1465</f>
        <v>As Reported in the Reference</v>
      </c>
      <c r="F119" s="1094"/>
      <c r="G119" s="1094"/>
      <c r="H119" s="68" t="str">
        <f ca="1">'Translation Table'!H1466</f>
        <v>Conversion Factor</v>
      </c>
      <c r="I119" s="101"/>
      <c r="J119" s="56"/>
      <c r="P119" s="325"/>
      <c r="Q119" s="256"/>
    </row>
    <row r="120" spans="1:17" ht="15.5" x14ac:dyDescent="0.3">
      <c r="A120" s="93"/>
      <c r="B120" s="93"/>
      <c r="C120" s="93" t="str">
        <f ca="1">'Translation Table'!H1467</f>
        <v>(Nm3/106 Nm3 of Gas Processed)</v>
      </c>
      <c r="D120" s="93"/>
      <c r="E120" s="92" t="str">
        <f ca="1">'Translation Table'!H1468</f>
        <v>EF Value</v>
      </c>
      <c r="F120" s="92" t="str">
        <f ca="1">'Translation Table'!H1469</f>
        <v xml:space="preserve">Units of </v>
      </c>
      <c r="G120" s="92" t="str">
        <f ca="1">'Translation Table'!H1470</f>
        <v xml:space="preserve">CH4 Content </v>
      </c>
      <c r="H120" s="92" t="str">
        <f ca="1">'Translation Table'!H1471</f>
        <v>Value</v>
      </c>
      <c r="I120" s="101"/>
      <c r="J120" s="56"/>
      <c r="P120" s="325"/>
      <c r="Q120" s="256"/>
    </row>
    <row r="121" spans="1:17" ht="15.5" x14ac:dyDescent="0.3">
      <c r="A121" s="93"/>
      <c r="B121" s="93"/>
      <c r="C121" s="93"/>
      <c r="D121" s="93"/>
      <c r="E121" s="93"/>
      <c r="F121" s="93" t="str">
        <f ca="1">'Translation Table'!H1473</f>
        <v>Measure</v>
      </c>
      <c r="G121" s="93" t="str">
        <f ca="1">'Translation Table'!H1474</f>
        <v>Basis for Industry Segment</v>
      </c>
      <c r="H121" s="93"/>
      <c r="I121" s="101"/>
      <c r="J121" s="56"/>
      <c r="P121" s="325"/>
      <c r="Q121" s="256"/>
    </row>
    <row r="122" spans="1:17" ht="15.5" x14ac:dyDescent="0.3">
      <c r="A122" s="94"/>
      <c r="B122" s="94"/>
      <c r="C122" s="94"/>
      <c r="D122" s="94"/>
      <c r="E122" s="94"/>
      <c r="F122" s="94"/>
      <c r="G122" s="94" t="str">
        <f ca="1">'Translation Table'!H1475</f>
        <v>(Mol%)</v>
      </c>
      <c r="H122" s="94"/>
      <c r="I122" s="101"/>
      <c r="J122" s="56"/>
      <c r="P122" s="325"/>
      <c r="Q122" s="256"/>
    </row>
    <row r="123" spans="1:17" ht="15" customHeight="1" x14ac:dyDescent="0.3">
      <c r="A123" s="193" t="str">
        <f ca="1">'Translation Table'!H1476</f>
        <v>All</v>
      </c>
      <c r="B123" s="237" t="str">
        <f ca="1">'Translation Table'!H1477</f>
        <v>All</v>
      </c>
      <c r="C123" s="298">
        <f>E123*H123</f>
        <v>965</v>
      </c>
      <c r="D123" s="225" t="s">
        <v>2080</v>
      </c>
      <c r="E123" s="225">
        <v>965</v>
      </c>
      <c r="F123" s="225" t="s">
        <v>2508</v>
      </c>
      <c r="G123" s="371" t="str">
        <f ca="1">'Translation Table'!H1478</f>
        <v>Not Applicable</v>
      </c>
      <c r="H123" s="238">
        <f>scf_per_E6scf_to_m3_per_E6m3</f>
        <v>1</v>
      </c>
      <c r="I123" s="96"/>
      <c r="J123" s="257"/>
      <c r="P123" s="325"/>
      <c r="Q123" s="256"/>
    </row>
    <row r="125" spans="1:17" ht="22.5" x14ac:dyDescent="0.45">
      <c r="A125" s="1109" t="str">
        <f ca="1">'Translation Table'!H1479</f>
        <v>Storage Tanks:</v>
      </c>
      <c r="B125" s="1109"/>
    </row>
    <row r="127" spans="1:17" ht="15.5" x14ac:dyDescent="0.3">
      <c r="A127" s="92" t="str">
        <f ca="1">'Translation Table'!H1480</f>
        <v>Industry Segment</v>
      </c>
      <c r="B127" s="92" t="str">
        <f ca="1">'Translation Table'!H1481</f>
        <v>Subcategory</v>
      </c>
      <c r="C127" s="92" t="str">
        <f ca="1">'Translation Table'!H1482</f>
        <v>Uncontrolled Flashing Loss</v>
      </c>
      <c r="D127" s="92" t="str">
        <f ca="1">'Translation Table'!H1483</f>
        <v>Data Source</v>
      </c>
      <c r="E127" s="1094" t="str">
        <f ca="1">'Translation Table'!H1484</f>
        <v>As Reported in the Reference</v>
      </c>
      <c r="F127" s="1094"/>
      <c r="G127" s="1094"/>
      <c r="H127" s="68" t="str">
        <f ca="1">'Translation Table'!H1486</f>
        <v>Conversion Factor</v>
      </c>
      <c r="I127" s="56"/>
      <c r="J127" s="102"/>
      <c r="Q127" s="256"/>
    </row>
    <row r="128" spans="1:17" ht="15.5" x14ac:dyDescent="0.3">
      <c r="A128" s="93"/>
      <c r="B128" s="93"/>
      <c r="C128" s="93" t="str">
        <f ca="1">'Translation Table'!H1487</f>
        <v>Emissions Factor</v>
      </c>
      <c r="D128" s="93"/>
      <c r="E128" s="92" t="str">
        <f ca="1">'Translation Table'!H1488</f>
        <v>EF Value</v>
      </c>
      <c r="F128" s="92" t="str">
        <f ca="1">'Translation Table'!H1489</f>
        <v xml:space="preserve">Units of </v>
      </c>
      <c r="G128" s="92" t="str">
        <f ca="1">'Translation Table'!H1490</f>
        <v xml:space="preserve">CH4 Content </v>
      </c>
      <c r="H128" s="92" t="str">
        <f ca="1">'Translation Table'!H1492</f>
        <v>Value</v>
      </c>
      <c r="I128" s="56"/>
      <c r="J128" s="256"/>
      <c r="Q128" s="256"/>
    </row>
    <row r="129" spans="1:17" ht="15.5" x14ac:dyDescent="0.3">
      <c r="A129" s="93"/>
      <c r="B129" s="93"/>
      <c r="C129" s="93" t="str">
        <f ca="1">'Translation Table'!H1494</f>
        <v>(Nm3/m3 of liquid received)</v>
      </c>
      <c r="D129" s="93"/>
      <c r="E129" s="93"/>
      <c r="F129" s="93" t="str">
        <f ca="1">'Translation Table'!H1495</f>
        <v>Measure</v>
      </c>
      <c r="G129" s="93" t="str">
        <f ca="1">'Translation Table'!H1496</f>
        <v>Basis for Industry Segment</v>
      </c>
      <c r="H129" s="93"/>
      <c r="I129" s="56"/>
      <c r="J129" s="256"/>
      <c r="Q129" s="256"/>
    </row>
    <row r="130" spans="1:17" ht="15.5" x14ac:dyDescent="0.3">
      <c r="A130" s="94"/>
      <c r="B130" s="94"/>
      <c r="C130" s="94"/>
      <c r="D130" s="94"/>
      <c r="E130" s="94"/>
      <c r="F130" s="94"/>
      <c r="G130" s="94" t="str">
        <f ca="1">'Translation Table'!H1498</f>
        <v>(Mol%)</v>
      </c>
      <c r="H130" s="94"/>
      <c r="I130" s="56"/>
      <c r="J130" s="256"/>
      <c r="O130" s="325"/>
      <c r="Q130" s="256"/>
    </row>
    <row r="131" spans="1:17" ht="15" customHeight="1" x14ac:dyDescent="0.3">
      <c r="A131" s="238" t="str">
        <f t="shared" ref="A131:A143" ca="1" si="15">OffshoreOilProduction</f>
        <v>Offshore Oil Production</v>
      </c>
      <c r="B131" s="238" t="str">
        <f ca="1">'Translation Table'!H1500</f>
        <v>Crude Oil (Without Control)</v>
      </c>
      <c r="C131" s="516">
        <f t="shared" ref="C131:C143" si="16">(E131*H131)/(G131/100)</f>
        <v>10.41788222879098</v>
      </c>
      <c r="D131" s="225" t="s">
        <v>2064</v>
      </c>
      <c r="E131" s="464">
        <v>5.5700000000000003E-3</v>
      </c>
      <c r="F131" s="225" t="s">
        <v>2509</v>
      </c>
      <c r="G131" s="371">
        <v>78.8</v>
      </c>
      <c r="H131" s="238">
        <f t="shared" ref="H131:H181" si="17">tonnesCH4_per_m3_to_m3CH4_per_m3</f>
        <v>1473.840430213158</v>
      </c>
      <c r="I131" s="257"/>
      <c r="J131" s="256"/>
      <c r="O131" s="325"/>
      <c r="Q131" s="256"/>
    </row>
    <row r="132" spans="1:17" ht="15" customHeight="1" x14ac:dyDescent="0.3">
      <c r="A132" s="237" t="str">
        <f t="shared" ca="1" si="15"/>
        <v>Offshore Oil Production</v>
      </c>
      <c r="B132" s="237" t="str">
        <f ca="1">'Translation Table'!H1501</f>
        <v>Crude Oil (Large Tanks Without Control)</v>
      </c>
      <c r="C132" s="298">
        <f t="shared" si="16"/>
        <v>2.1854741673503937</v>
      </c>
      <c r="D132" s="225" t="s">
        <v>2064</v>
      </c>
      <c r="E132" s="464">
        <v>1.2099999999999999E-3</v>
      </c>
      <c r="F132" s="225" t="s">
        <v>2509</v>
      </c>
      <c r="G132" s="371">
        <v>81.599999999999994</v>
      </c>
      <c r="H132" s="237">
        <f t="shared" si="17"/>
        <v>1473.840430213158</v>
      </c>
      <c r="I132" s="257"/>
      <c r="J132" s="256"/>
      <c r="O132" s="325"/>
      <c r="Q132" s="256"/>
    </row>
    <row r="133" spans="1:17" ht="15" customHeight="1" x14ac:dyDescent="0.3">
      <c r="A133" s="238" t="str">
        <f t="shared" ca="1" si="15"/>
        <v>Offshore Oil Production</v>
      </c>
      <c r="B133" s="238" t="str">
        <f ca="1">'Translation Table'!H1502</f>
        <v>Crude Oil (Large Tanks with VRU)</v>
      </c>
      <c r="C133" s="516">
        <f t="shared" si="16"/>
        <v>0.32149950561022317</v>
      </c>
      <c r="D133" s="225" t="s">
        <v>2064</v>
      </c>
      <c r="E133" s="464">
        <v>1.7799999999999999E-4</v>
      </c>
      <c r="F133" s="225" t="s">
        <v>2509</v>
      </c>
      <c r="G133" s="371">
        <v>81.599999999999994</v>
      </c>
      <c r="H133" s="238">
        <f t="shared" si="17"/>
        <v>1473.840430213158</v>
      </c>
      <c r="I133" s="257"/>
      <c r="J133" s="256"/>
      <c r="O133" s="325"/>
      <c r="Q133" s="256"/>
    </row>
    <row r="134" spans="1:17" ht="15" customHeight="1" x14ac:dyDescent="0.3">
      <c r="A134" s="237" t="str">
        <f t="shared" ca="1" si="15"/>
        <v>Offshore Oil Production</v>
      </c>
      <c r="B134" s="237" t="str">
        <f ca="1">'Translation Table'!H1503</f>
        <v>Crude Oil (Large Tanks with Flares)</v>
      </c>
      <c r="C134" s="298">
        <f t="shared" si="16"/>
        <v>5.9603840927738017E-2</v>
      </c>
      <c r="D134" s="225" t="s">
        <v>2064</v>
      </c>
      <c r="E134" s="464">
        <v>3.3000000000000003E-5</v>
      </c>
      <c r="F134" s="225" t="s">
        <v>2509</v>
      </c>
      <c r="G134" s="371">
        <v>81.599999999999994</v>
      </c>
      <c r="H134" s="237">
        <f t="shared" si="17"/>
        <v>1473.840430213158</v>
      </c>
      <c r="I134" s="257"/>
      <c r="J134" s="256"/>
      <c r="O134" s="325"/>
      <c r="Q134" s="256"/>
    </row>
    <row r="135" spans="1:17" ht="15" customHeight="1" x14ac:dyDescent="0.3">
      <c r="A135" s="238" t="str">
        <f t="shared" ca="1" si="15"/>
        <v>Offshore Oil Production</v>
      </c>
      <c r="B135" s="238" t="str">
        <f ca="1">'Translation Table'!H1504</f>
        <v>Crude Oil (Small Tanks Without Control)</v>
      </c>
      <c r="C135" s="516">
        <f t="shared" si="16"/>
        <v>0.20771035474817792</v>
      </c>
      <c r="D135" s="225" t="s">
        <v>2064</v>
      </c>
      <c r="E135" s="464">
        <v>1.15E-4</v>
      </c>
      <c r="F135" s="225" t="s">
        <v>2509</v>
      </c>
      <c r="G135" s="371">
        <v>81.599999999999994</v>
      </c>
      <c r="H135" s="238">
        <f t="shared" si="17"/>
        <v>1473.840430213158</v>
      </c>
      <c r="I135" s="257"/>
      <c r="J135" s="256"/>
      <c r="O135" s="325"/>
      <c r="Q135" s="256"/>
    </row>
    <row r="136" spans="1:17" ht="15" customHeight="1" x14ac:dyDescent="0.3">
      <c r="A136" s="237" t="str">
        <f t="shared" ca="1" si="15"/>
        <v>Offshore Oil Production</v>
      </c>
      <c r="B136" s="237" t="str">
        <f ca="1">'Translation Table'!H1505</f>
        <v>Crude Oil (Small Tanks with Flares)</v>
      </c>
      <c r="C136" s="298">
        <f t="shared" si="16"/>
        <v>2.3299683271752133E-2</v>
      </c>
      <c r="D136" s="225" t="s">
        <v>2064</v>
      </c>
      <c r="E136" s="464">
        <v>1.29E-5</v>
      </c>
      <c r="F136" s="225" t="s">
        <v>2509</v>
      </c>
      <c r="G136" s="371">
        <v>81.599999999999994</v>
      </c>
      <c r="H136" s="237">
        <f t="shared" si="17"/>
        <v>1473.840430213158</v>
      </c>
      <c r="I136" s="257"/>
      <c r="J136" s="256"/>
      <c r="O136" s="325"/>
      <c r="Q136" s="256"/>
    </row>
    <row r="137" spans="1:17" ht="15" customHeight="1" x14ac:dyDescent="0.3">
      <c r="A137" s="238" t="str">
        <f t="shared" ca="1" si="15"/>
        <v>Offshore Oil Production</v>
      </c>
      <c r="B137" s="238" t="str">
        <f ca="1">'Translation Table'!H1506</f>
        <v>Condensate (Large Tanks Without Control)</v>
      </c>
      <c r="C137" s="516">
        <f t="shared" si="16"/>
        <v>1.6562643069919925</v>
      </c>
      <c r="D137" s="225" t="s">
        <v>2065</v>
      </c>
      <c r="E137" s="464">
        <v>9.1699999999999995E-4</v>
      </c>
      <c r="F137" s="225" t="s">
        <v>2510</v>
      </c>
      <c r="G137" s="371">
        <v>81.599999999999994</v>
      </c>
      <c r="H137" s="238">
        <f t="shared" si="17"/>
        <v>1473.840430213158</v>
      </c>
      <c r="I137" s="257"/>
      <c r="J137" s="256"/>
      <c r="O137" s="325"/>
      <c r="Q137" s="256"/>
    </row>
    <row r="138" spans="1:17" ht="15" customHeight="1" x14ac:dyDescent="0.3">
      <c r="A138" s="237" t="str">
        <f t="shared" ca="1" si="15"/>
        <v>Offshore Oil Production</v>
      </c>
      <c r="B138" s="237" t="str">
        <f ca="1">'Translation Table'!H1507</f>
        <v>Condensate (Large Tanks with VRU)</v>
      </c>
      <c r="C138" s="298">
        <f t="shared" si="16"/>
        <v>7.5678816208249178E-2</v>
      </c>
      <c r="D138" s="225" t="s">
        <v>2065</v>
      </c>
      <c r="E138" s="464">
        <v>4.1900000000000002E-5</v>
      </c>
      <c r="F138" s="225" t="s">
        <v>2510</v>
      </c>
      <c r="G138" s="371">
        <v>81.599999999999994</v>
      </c>
      <c r="H138" s="237">
        <f t="shared" si="17"/>
        <v>1473.840430213158</v>
      </c>
      <c r="I138" s="257"/>
      <c r="J138" s="256"/>
      <c r="O138" s="325"/>
      <c r="Q138" s="256"/>
    </row>
    <row r="139" spans="1:17" ht="15" customHeight="1" x14ac:dyDescent="0.3">
      <c r="A139" s="238" t="str">
        <f t="shared" ca="1" si="15"/>
        <v>Offshore Oil Production</v>
      </c>
      <c r="B139" s="238" t="str">
        <f ca="1">'Translation Table'!H1508</f>
        <v>Condensate (Large Tanks with Flares)</v>
      </c>
      <c r="C139" s="516">
        <f t="shared" si="16"/>
        <v>6.5744842720292837E-2</v>
      </c>
      <c r="D139" s="225" t="s">
        <v>2065</v>
      </c>
      <c r="E139" s="464">
        <v>3.6399999999999997E-5</v>
      </c>
      <c r="F139" s="225" t="s">
        <v>2510</v>
      </c>
      <c r="G139" s="371">
        <v>81.599999999999994</v>
      </c>
      <c r="H139" s="238">
        <f t="shared" si="17"/>
        <v>1473.840430213158</v>
      </c>
      <c r="I139" s="257"/>
      <c r="J139" s="256"/>
      <c r="O139" s="325"/>
      <c r="Q139" s="256"/>
    </row>
    <row r="140" spans="1:17" ht="15" customHeight="1" x14ac:dyDescent="0.3">
      <c r="A140" s="237" t="str">
        <f t="shared" ca="1" si="15"/>
        <v>Offshore Oil Production</v>
      </c>
      <c r="B140" s="237" t="str">
        <f ca="1">'Translation Table'!H1509</f>
        <v>Condensate (Small Tanks without Flares)</v>
      </c>
      <c r="C140" s="298">
        <f t="shared" si="16"/>
        <v>1.3528265713598719</v>
      </c>
      <c r="D140" s="225" t="s">
        <v>2065</v>
      </c>
      <c r="E140" s="464">
        <v>7.4899999999999999E-4</v>
      </c>
      <c r="F140" s="225" t="s">
        <v>2510</v>
      </c>
      <c r="G140" s="371">
        <v>81.599999999999994</v>
      </c>
      <c r="H140" s="237">
        <f t="shared" si="17"/>
        <v>1473.840430213158</v>
      </c>
      <c r="I140" s="257"/>
      <c r="J140" s="256"/>
      <c r="O140" s="325"/>
      <c r="Q140" s="256"/>
    </row>
    <row r="141" spans="1:17" ht="15" customHeight="1" x14ac:dyDescent="0.3">
      <c r="A141" s="238" t="str">
        <f t="shared" ca="1" si="15"/>
        <v>Offshore Oil Production</v>
      </c>
      <c r="B141" s="238" t="str">
        <f ca="1">'Translation Table'!H1510</f>
        <v>Condensate (Small Tanks with Flares)</v>
      </c>
      <c r="C141" s="516">
        <f t="shared" si="16"/>
        <v>1.0349394197452691E-2</v>
      </c>
      <c r="D141" s="225" t="s">
        <v>2065</v>
      </c>
      <c r="E141" s="464">
        <v>5.7300000000000002E-6</v>
      </c>
      <c r="F141" s="225" t="s">
        <v>2510</v>
      </c>
      <c r="G141" s="371">
        <v>81.599999999999994</v>
      </c>
      <c r="H141" s="238">
        <f t="shared" si="17"/>
        <v>1473.840430213158</v>
      </c>
      <c r="I141" s="257"/>
      <c r="J141" s="256"/>
      <c r="O141" s="325"/>
      <c r="Q141" s="256"/>
    </row>
    <row r="142" spans="1:17" ht="15" customHeight="1" x14ac:dyDescent="0.3">
      <c r="A142" s="237" t="str">
        <f t="shared" ca="1" si="15"/>
        <v>Offshore Oil Production</v>
      </c>
      <c r="B142" s="237" t="str">
        <f ca="1">'Translation Table'!H1511</f>
        <v>Condensate (Without Control)</v>
      </c>
      <c r="C142" s="298">
        <f t="shared" si="16"/>
        <v>26.189566468248518</v>
      </c>
      <c r="D142" s="225" t="s">
        <v>2065</v>
      </c>
      <c r="E142" s="464">
        <v>1.4500000000000001E-2</v>
      </c>
      <c r="F142" s="225" t="s">
        <v>2510</v>
      </c>
      <c r="G142" s="371">
        <v>81.599999999999994</v>
      </c>
      <c r="H142" s="237">
        <f t="shared" si="17"/>
        <v>1473.840430213158</v>
      </c>
      <c r="I142" s="257"/>
      <c r="J142" s="256"/>
      <c r="O142" s="325"/>
      <c r="Q142" s="256"/>
    </row>
    <row r="143" spans="1:17" ht="15" customHeight="1" x14ac:dyDescent="0.3">
      <c r="A143" s="238" t="str">
        <f t="shared" ca="1" si="15"/>
        <v>Offshore Oil Production</v>
      </c>
      <c r="B143" s="238" t="str">
        <f ca="1">'Translation Table'!H1512</f>
        <v>Produced Water</v>
      </c>
      <c r="C143" s="516">
        <f t="shared" si="16"/>
        <v>1.7040766757567202E-2</v>
      </c>
      <c r="D143" s="225" t="s">
        <v>2066</v>
      </c>
      <c r="E143" s="464">
        <v>1.5E-3</v>
      </c>
      <c r="F143" s="225" t="s">
        <v>72</v>
      </c>
      <c r="G143" s="371">
        <v>81.599999999999994</v>
      </c>
      <c r="H143" s="238">
        <f>tonnesCH4_per_E3bbl_to_m3CH4_per_m3</f>
        <v>9.2701771161165585</v>
      </c>
      <c r="I143" s="257"/>
      <c r="J143" s="256"/>
      <c r="O143" s="325"/>
      <c r="Q143" s="256"/>
    </row>
    <row r="144" spans="1:17" ht="15" customHeight="1" x14ac:dyDescent="0.3">
      <c r="A144" s="238" t="str">
        <f t="shared" ref="A144:A156" ca="1" si="18">OffshoreGasProduction</f>
        <v>Offshore Gas Production</v>
      </c>
      <c r="B144" s="238" t="str">
        <f ca="1">'Translation Table'!H1500</f>
        <v>Crude Oil (Without Control)</v>
      </c>
      <c r="C144" s="516">
        <f t="shared" ref="C144:C156" si="19">(E144*H144)/(G144/100)</f>
        <v>10.41788222879098</v>
      </c>
      <c r="D144" s="225" t="s">
        <v>2064</v>
      </c>
      <c r="E144" s="464">
        <v>5.5700000000000003E-3</v>
      </c>
      <c r="F144" s="225" t="s">
        <v>2509</v>
      </c>
      <c r="G144" s="371">
        <v>78.8</v>
      </c>
      <c r="H144" s="238">
        <f t="shared" si="17"/>
        <v>1473.840430213158</v>
      </c>
      <c r="I144" s="257"/>
      <c r="J144" s="256"/>
      <c r="O144" s="325"/>
      <c r="Q144" s="256"/>
    </row>
    <row r="145" spans="1:17" ht="15" customHeight="1" x14ac:dyDescent="0.3">
      <c r="A145" s="237" t="str">
        <f t="shared" ca="1" si="18"/>
        <v>Offshore Gas Production</v>
      </c>
      <c r="B145" s="237" t="str">
        <f ca="1">'Translation Table'!H1501</f>
        <v>Crude Oil (Large Tanks Without Control)</v>
      </c>
      <c r="C145" s="298">
        <f t="shared" si="19"/>
        <v>2.1854741673503937</v>
      </c>
      <c r="D145" s="225" t="s">
        <v>2064</v>
      </c>
      <c r="E145" s="464">
        <v>1.2099999999999999E-3</v>
      </c>
      <c r="F145" s="225" t="s">
        <v>2509</v>
      </c>
      <c r="G145" s="371">
        <v>81.599999999999994</v>
      </c>
      <c r="H145" s="237">
        <f t="shared" si="17"/>
        <v>1473.840430213158</v>
      </c>
      <c r="I145" s="257"/>
      <c r="J145" s="256"/>
      <c r="O145" s="325"/>
      <c r="Q145" s="256"/>
    </row>
    <row r="146" spans="1:17" ht="15" customHeight="1" x14ac:dyDescent="0.3">
      <c r="A146" s="238" t="str">
        <f t="shared" ca="1" si="18"/>
        <v>Offshore Gas Production</v>
      </c>
      <c r="B146" s="238" t="str">
        <f ca="1">'Translation Table'!H1502</f>
        <v>Crude Oil (Large Tanks with VRU)</v>
      </c>
      <c r="C146" s="516">
        <f t="shared" si="19"/>
        <v>0.32149950561022317</v>
      </c>
      <c r="D146" s="225" t="s">
        <v>2064</v>
      </c>
      <c r="E146" s="464">
        <v>1.7799999999999999E-4</v>
      </c>
      <c r="F146" s="225" t="s">
        <v>2509</v>
      </c>
      <c r="G146" s="371">
        <v>81.599999999999994</v>
      </c>
      <c r="H146" s="238">
        <f t="shared" si="17"/>
        <v>1473.840430213158</v>
      </c>
      <c r="I146" s="257"/>
      <c r="J146" s="256"/>
      <c r="O146" s="325"/>
      <c r="Q146" s="256"/>
    </row>
    <row r="147" spans="1:17" ht="15" customHeight="1" x14ac:dyDescent="0.3">
      <c r="A147" s="237" t="str">
        <f t="shared" ca="1" si="18"/>
        <v>Offshore Gas Production</v>
      </c>
      <c r="B147" s="237" t="str">
        <f ca="1">'Translation Table'!H1503</f>
        <v>Crude Oil (Large Tanks with Flares)</v>
      </c>
      <c r="C147" s="298">
        <f t="shared" si="19"/>
        <v>5.9603840927738017E-2</v>
      </c>
      <c r="D147" s="225" t="s">
        <v>2064</v>
      </c>
      <c r="E147" s="464">
        <v>3.3000000000000003E-5</v>
      </c>
      <c r="F147" s="225" t="s">
        <v>2509</v>
      </c>
      <c r="G147" s="371">
        <v>81.599999999999994</v>
      </c>
      <c r="H147" s="237">
        <f t="shared" si="17"/>
        <v>1473.840430213158</v>
      </c>
      <c r="I147" s="257"/>
      <c r="J147" s="256"/>
      <c r="O147" s="325"/>
      <c r="Q147" s="256"/>
    </row>
    <row r="148" spans="1:17" ht="15" customHeight="1" x14ac:dyDescent="0.3">
      <c r="A148" s="238" t="str">
        <f t="shared" ca="1" si="18"/>
        <v>Offshore Gas Production</v>
      </c>
      <c r="B148" s="238" t="str">
        <f ca="1">'Translation Table'!H1504</f>
        <v>Crude Oil (Small Tanks Without Control)</v>
      </c>
      <c r="C148" s="516">
        <f t="shared" si="19"/>
        <v>0.20771035474817792</v>
      </c>
      <c r="D148" s="225" t="s">
        <v>2064</v>
      </c>
      <c r="E148" s="464">
        <v>1.15E-4</v>
      </c>
      <c r="F148" s="225" t="s">
        <v>2509</v>
      </c>
      <c r="G148" s="371">
        <v>81.599999999999994</v>
      </c>
      <c r="H148" s="238">
        <f t="shared" si="17"/>
        <v>1473.840430213158</v>
      </c>
      <c r="I148" s="257"/>
      <c r="J148" s="256"/>
      <c r="O148" s="325"/>
      <c r="Q148" s="256"/>
    </row>
    <row r="149" spans="1:17" ht="15" customHeight="1" x14ac:dyDescent="0.3">
      <c r="A149" s="237" t="str">
        <f t="shared" ca="1" si="18"/>
        <v>Offshore Gas Production</v>
      </c>
      <c r="B149" s="237" t="str">
        <f ca="1">'Translation Table'!H1505</f>
        <v>Crude Oil (Small Tanks with Flares)</v>
      </c>
      <c r="C149" s="298">
        <f t="shared" si="19"/>
        <v>2.3299683271752133E-2</v>
      </c>
      <c r="D149" s="225" t="s">
        <v>2064</v>
      </c>
      <c r="E149" s="464">
        <v>1.29E-5</v>
      </c>
      <c r="F149" s="225" t="s">
        <v>2509</v>
      </c>
      <c r="G149" s="371">
        <v>81.599999999999994</v>
      </c>
      <c r="H149" s="237">
        <f t="shared" si="17"/>
        <v>1473.840430213158</v>
      </c>
      <c r="I149" s="257"/>
      <c r="J149" s="256"/>
      <c r="O149" s="325"/>
      <c r="Q149" s="256"/>
    </row>
    <row r="150" spans="1:17" ht="15" customHeight="1" x14ac:dyDescent="0.3">
      <c r="A150" s="238" t="str">
        <f t="shared" ca="1" si="18"/>
        <v>Offshore Gas Production</v>
      </c>
      <c r="B150" s="238" t="str">
        <f ca="1">'Translation Table'!H1506</f>
        <v>Condensate (Large Tanks Without Control)</v>
      </c>
      <c r="C150" s="516">
        <f t="shared" si="19"/>
        <v>1.6562643069919925</v>
      </c>
      <c r="D150" s="225" t="s">
        <v>2065</v>
      </c>
      <c r="E150" s="464">
        <v>9.1699999999999995E-4</v>
      </c>
      <c r="F150" s="225" t="s">
        <v>2510</v>
      </c>
      <c r="G150" s="371">
        <v>81.599999999999994</v>
      </c>
      <c r="H150" s="238">
        <f t="shared" si="17"/>
        <v>1473.840430213158</v>
      </c>
      <c r="I150" s="257"/>
      <c r="J150" s="256"/>
      <c r="O150" s="325"/>
      <c r="Q150" s="256"/>
    </row>
    <row r="151" spans="1:17" ht="15" customHeight="1" x14ac:dyDescent="0.3">
      <c r="A151" s="237" t="str">
        <f t="shared" ca="1" si="18"/>
        <v>Offshore Gas Production</v>
      </c>
      <c r="B151" s="237" t="str">
        <f ca="1">'Translation Table'!H1507</f>
        <v>Condensate (Large Tanks with VRU)</v>
      </c>
      <c r="C151" s="298">
        <f t="shared" si="19"/>
        <v>7.5678816208249178E-2</v>
      </c>
      <c r="D151" s="225" t="s">
        <v>2065</v>
      </c>
      <c r="E151" s="464">
        <v>4.1900000000000002E-5</v>
      </c>
      <c r="F151" s="225" t="s">
        <v>2510</v>
      </c>
      <c r="G151" s="371">
        <v>81.599999999999994</v>
      </c>
      <c r="H151" s="237">
        <f t="shared" si="17"/>
        <v>1473.840430213158</v>
      </c>
      <c r="I151" s="257"/>
      <c r="J151" s="256"/>
      <c r="O151" s="325"/>
      <c r="Q151" s="256"/>
    </row>
    <row r="152" spans="1:17" ht="15" customHeight="1" x14ac:dyDescent="0.3">
      <c r="A152" s="238" t="str">
        <f t="shared" ca="1" si="18"/>
        <v>Offshore Gas Production</v>
      </c>
      <c r="B152" s="238" t="str">
        <f ca="1">'Translation Table'!H1508</f>
        <v>Condensate (Large Tanks with Flares)</v>
      </c>
      <c r="C152" s="516">
        <f t="shared" si="19"/>
        <v>6.5744842720292837E-2</v>
      </c>
      <c r="D152" s="225" t="s">
        <v>2065</v>
      </c>
      <c r="E152" s="464">
        <v>3.6399999999999997E-5</v>
      </c>
      <c r="F152" s="225" t="s">
        <v>2510</v>
      </c>
      <c r="G152" s="371">
        <v>81.599999999999994</v>
      </c>
      <c r="H152" s="238">
        <f t="shared" si="17"/>
        <v>1473.840430213158</v>
      </c>
      <c r="I152" s="257"/>
      <c r="J152" s="256"/>
      <c r="O152" s="325"/>
      <c r="Q152" s="256"/>
    </row>
    <row r="153" spans="1:17" ht="15" customHeight="1" x14ac:dyDescent="0.3">
      <c r="A153" s="237" t="str">
        <f t="shared" ca="1" si="18"/>
        <v>Offshore Gas Production</v>
      </c>
      <c r="B153" s="237" t="str">
        <f ca="1">'Translation Table'!H1509</f>
        <v>Condensate (Small Tanks without Flares)</v>
      </c>
      <c r="C153" s="298">
        <f t="shared" si="19"/>
        <v>1.3528265713598719</v>
      </c>
      <c r="D153" s="225" t="s">
        <v>2065</v>
      </c>
      <c r="E153" s="464">
        <v>7.4899999999999999E-4</v>
      </c>
      <c r="F153" s="225" t="s">
        <v>2510</v>
      </c>
      <c r="G153" s="371">
        <v>81.599999999999994</v>
      </c>
      <c r="H153" s="237">
        <f t="shared" si="17"/>
        <v>1473.840430213158</v>
      </c>
      <c r="I153" s="257"/>
      <c r="J153" s="256"/>
      <c r="O153" s="325"/>
      <c r="Q153" s="256"/>
    </row>
    <row r="154" spans="1:17" ht="15" customHeight="1" x14ac:dyDescent="0.3">
      <c r="A154" s="238" t="str">
        <f t="shared" ca="1" si="18"/>
        <v>Offshore Gas Production</v>
      </c>
      <c r="B154" s="238" t="str">
        <f ca="1">'Translation Table'!H1510</f>
        <v>Condensate (Small Tanks with Flares)</v>
      </c>
      <c r="C154" s="516">
        <f t="shared" si="19"/>
        <v>1.0349394197452691E-2</v>
      </c>
      <c r="D154" s="225" t="s">
        <v>2065</v>
      </c>
      <c r="E154" s="464">
        <v>5.7300000000000002E-6</v>
      </c>
      <c r="F154" s="225" t="s">
        <v>2510</v>
      </c>
      <c r="G154" s="371">
        <v>81.599999999999994</v>
      </c>
      <c r="H154" s="238">
        <f t="shared" si="17"/>
        <v>1473.840430213158</v>
      </c>
      <c r="I154" s="257"/>
      <c r="J154" s="256"/>
      <c r="O154" s="325"/>
      <c r="Q154" s="256"/>
    </row>
    <row r="155" spans="1:17" ht="15" customHeight="1" x14ac:dyDescent="0.3">
      <c r="A155" s="237" t="str">
        <f t="shared" ca="1" si="18"/>
        <v>Offshore Gas Production</v>
      </c>
      <c r="B155" s="237" t="str">
        <f ca="1">'Translation Table'!H1511</f>
        <v>Condensate (Without Control)</v>
      </c>
      <c r="C155" s="298">
        <f t="shared" si="19"/>
        <v>26.189566468248518</v>
      </c>
      <c r="D155" s="225" t="s">
        <v>2065</v>
      </c>
      <c r="E155" s="464">
        <v>1.4500000000000001E-2</v>
      </c>
      <c r="F155" s="225" t="s">
        <v>2510</v>
      </c>
      <c r="G155" s="371">
        <v>81.599999999999994</v>
      </c>
      <c r="H155" s="237">
        <f t="shared" si="17"/>
        <v>1473.840430213158</v>
      </c>
      <c r="I155" s="257"/>
      <c r="J155" s="256"/>
      <c r="O155" s="325"/>
      <c r="Q155" s="256"/>
    </row>
    <row r="156" spans="1:17" ht="15" customHeight="1" x14ac:dyDescent="0.3">
      <c r="A156" s="238" t="str">
        <f t="shared" ca="1" si="18"/>
        <v>Offshore Gas Production</v>
      </c>
      <c r="B156" s="238" t="str">
        <f ca="1">'Translation Table'!H1512</f>
        <v>Produced Water</v>
      </c>
      <c r="C156" s="516">
        <f t="shared" si="19"/>
        <v>1.7040766757567202E-2</v>
      </c>
      <c r="D156" s="225" t="s">
        <v>2066</v>
      </c>
      <c r="E156" s="464">
        <v>1.5E-3</v>
      </c>
      <c r="F156" s="225" t="s">
        <v>72</v>
      </c>
      <c r="G156" s="371">
        <v>81.599999999999994</v>
      </c>
      <c r="H156" s="238">
        <f>tonnesCH4_per_E3bbl_to_m3CH4_per_m3</f>
        <v>9.2701771161165585</v>
      </c>
      <c r="I156" s="257"/>
      <c r="J156" s="256"/>
      <c r="O156" s="325"/>
      <c r="Q156" s="256"/>
    </row>
    <row r="157" spans="1:17" ht="15" customHeight="1" x14ac:dyDescent="0.3">
      <c r="A157" s="237" t="str">
        <f t="shared" ref="A157:A169" ca="1" si="20">OnshoreOilProduction</f>
        <v>Onshore Oil Production</v>
      </c>
      <c r="B157" s="237" t="str">
        <f ca="1">'Translation Table'!H1500</f>
        <v>Crude Oil (Without Control)</v>
      </c>
      <c r="C157" s="298">
        <f t="shared" ref="C157:C169" si="21">(E157*H157)/(G157/100)</f>
        <v>10.41788222879098</v>
      </c>
      <c r="D157" s="225" t="s">
        <v>2064</v>
      </c>
      <c r="E157" s="464">
        <v>5.5700000000000003E-3</v>
      </c>
      <c r="F157" s="225" t="s">
        <v>2509</v>
      </c>
      <c r="G157" s="371">
        <v>78.8</v>
      </c>
      <c r="H157" s="237">
        <f t="shared" si="17"/>
        <v>1473.840430213158</v>
      </c>
      <c r="I157" s="257"/>
      <c r="J157" s="256"/>
      <c r="O157" s="325"/>
      <c r="Q157" s="256"/>
    </row>
    <row r="158" spans="1:17" ht="15" customHeight="1" x14ac:dyDescent="0.3">
      <c r="A158" s="238" t="str">
        <f t="shared" ca="1" si="20"/>
        <v>Onshore Oil Production</v>
      </c>
      <c r="B158" s="238" t="str">
        <f ca="1">'Translation Table'!H1501</f>
        <v>Crude Oil (Large Tanks Without Control)</v>
      </c>
      <c r="C158" s="516">
        <f t="shared" si="21"/>
        <v>2.1854741673503937</v>
      </c>
      <c r="D158" s="225" t="s">
        <v>2064</v>
      </c>
      <c r="E158" s="464">
        <v>1.2099999999999999E-3</v>
      </c>
      <c r="F158" s="225" t="s">
        <v>2509</v>
      </c>
      <c r="G158" s="371">
        <v>81.599999999999994</v>
      </c>
      <c r="H158" s="238">
        <f t="shared" si="17"/>
        <v>1473.840430213158</v>
      </c>
      <c r="I158" s="257"/>
      <c r="J158" s="256"/>
      <c r="O158" s="325"/>
      <c r="Q158" s="256"/>
    </row>
    <row r="159" spans="1:17" ht="15" customHeight="1" x14ac:dyDescent="0.3">
      <c r="A159" s="237" t="str">
        <f t="shared" ca="1" si="20"/>
        <v>Onshore Oil Production</v>
      </c>
      <c r="B159" s="237" t="str">
        <f ca="1">'Translation Table'!H1502</f>
        <v>Crude Oil (Large Tanks with VRU)</v>
      </c>
      <c r="C159" s="298">
        <f t="shared" si="21"/>
        <v>0.32149950561022317</v>
      </c>
      <c r="D159" s="225" t="s">
        <v>2064</v>
      </c>
      <c r="E159" s="464">
        <v>1.7799999999999999E-4</v>
      </c>
      <c r="F159" s="225" t="s">
        <v>2509</v>
      </c>
      <c r="G159" s="371">
        <v>81.599999999999994</v>
      </c>
      <c r="H159" s="237">
        <f t="shared" si="17"/>
        <v>1473.840430213158</v>
      </c>
      <c r="I159" s="257"/>
      <c r="J159" s="256"/>
      <c r="O159" s="325"/>
      <c r="Q159" s="256"/>
    </row>
    <row r="160" spans="1:17" ht="15" customHeight="1" x14ac:dyDescent="0.3">
      <c r="A160" s="238" t="str">
        <f t="shared" ca="1" si="20"/>
        <v>Onshore Oil Production</v>
      </c>
      <c r="B160" s="238" t="str">
        <f ca="1">'Translation Table'!H1503</f>
        <v>Crude Oil (Large Tanks with Flares)</v>
      </c>
      <c r="C160" s="516">
        <f t="shared" si="21"/>
        <v>5.9603840927738017E-2</v>
      </c>
      <c r="D160" s="225" t="s">
        <v>2064</v>
      </c>
      <c r="E160" s="464">
        <v>3.3000000000000003E-5</v>
      </c>
      <c r="F160" s="225" t="s">
        <v>2509</v>
      </c>
      <c r="G160" s="371">
        <v>81.599999999999994</v>
      </c>
      <c r="H160" s="238">
        <f t="shared" si="17"/>
        <v>1473.840430213158</v>
      </c>
      <c r="I160" s="257"/>
      <c r="J160" s="256"/>
      <c r="O160" s="325"/>
      <c r="Q160" s="256"/>
    </row>
    <row r="161" spans="1:17" ht="15" customHeight="1" x14ac:dyDescent="0.3">
      <c r="A161" s="237" t="str">
        <f t="shared" ca="1" si="20"/>
        <v>Onshore Oil Production</v>
      </c>
      <c r="B161" s="237" t="str">
        <f ca="1">'Translation Table'!H1504</f>
        <v>Crude Oil (Small Tanks Without Control)</v>
      </c>
      <c r="C161" s="298">
        <f t="shared" si="21"/>
        <v>0.20771035474817792</v>
      </c>
      <c r="D161" s="225" t="s">
        <v>2064</v>
      </c>
      <c r="E161" s="464">
        <v>1.15E-4</v>
      </c>
      <c r="F161" s="225" t="s">
        <v>2509</v>
      </c>
      <c r="G161" s="371">
        <v>81.599999999999994</v>
      </c>
      <c r="H161" s="237">
        <f t="shared" si="17"/>
        <v>1473.840430213158</v>
      </c>
      <c r="I161" s="257"/>
      <c r="J161" s="256"/>
      <c r="O161" s="325"/>
      <c r="Q161" s="256"/>
    </row>
    <row r="162" spans="1:17" ht="15" customHeight="1" x14ac:dyDescent="0.3">
      <c r="A162" s="238" t="str">
        <f t="shared" ca="1" si="20"/>
        <v>Onshore Oil Production</v>
      </c>
      <c r="B162" s="238" t="str">
        <f ca="1">'Translation Table'!H1505</f>
        <v>Crude Oil (Small Tanks with Flares)</v>
      </c>
      <c r="C162" s="516">
        <f t="shared" si="21"/>
        <v>2.3299683271752133E-2</v>
      </c>
      <c r="D162" s="225" t="s">
        <v>2064</v>
      </c>
      <c r="E162" s="464">
        <v>1.29E-5</v>
      </c>
      <c r="F162" s="225" t="s">
        <v>2509</v>
      </c>
      <c r="G162" s="371">
        <v>81.599999999999994</v>
      </c>
      <c r="H162" s="238">
        <f t="shared" si="17"/>
        <v>1473.840430213158</v>
      </c>
      <c r="I162" s="257"/>
      <c r="J162" s="256"/>
      <c r="O162" s="325"/>
      <c r="Q162" s="256"/>
    </row>
    <row r="163" spans="1:17" ht="15" customHeight="1" x14ac:dyDescent="0.3">
      <c r="A163" s="237" t="str">
        <f t="shared" ca="1" si="20"/>
        <v>Onshore Oil Production</v>
      </c>
      <c r="B163" s="237" t="str">
        <f ca="1">'Translation Table'!H1506</f>
        <v>Condensate (Large Tanks Without Control)</v>
      </c>
      <c r="C163" s="298">
        <f t="shared" si="21"/>
        <v>1.6562643069919925</v>
      </c>
      <c r="D163" s="225" t="s">
        <v>2065</v>
      </c>
      <c r="E163" s="464">
        <v>9.1699999999999995E-4</v>
      </c>
      <c r="F163" s="225" t="s">
        <v>2510</v>
      </c>
      <c r="G163" s="371">
        <v>81.599999999999994</v>
      </c>
      <c r="H163" s="237">
        <f t="shared" si="17"/>
        <v>1473.840430213158</v>
      </c>
      <c r="I163" s="257"/>
      <c r="J163" s="256"/>
      <c r="O163" s="325"/>
      <c r="Q163" s="256"/>
    </row>
    <row r="164" spans="1:17" ht="15" customHeight="1" x14ac:dyDescent="0.3">
      <c r="A164" s="238" t="str">
        <f t="shared" ca="1" si="20"/>
        <v>Onshore Oil Production</v>
      </c>
      <c r="B164" s="238" t="str">
        <f ca="1">'Translation Table'!H1507</f>
        <v>Condensate (Large Tanks with VRU)</v>
      </c>
      <c r="C164" s="516">
        <f t="shared" si="21"/>
        <v>7.5678816208249178E-2</v>
      </c>
      <c r="D164" s="225" t="s">
        <v>2065</v>
      </c>
      <c r="E164" s="464">
        <v>4.1900000000000002E-5</v>
      </c>
      <c r="F164" s="225" t="s">
        <v>2510</v>
      </c>
      <c r="G164" s="371">
        <v>81.599999999999994</v>
      </c>
      <c r="H164" s="238">
        <f t="shared" si="17"/>
        <v>1473.840430213158</v>
      </c>
      <c r="I164" s="257"/>
      <c r="J164" s="256"/>
      <c r="O164" s="325"/>
      <c r="Q164" s="256"/>
    </row>
    <row r="165" spans="1:17" ht="15" customHeight="1" x14ac:dyDescent="0.3">
      <c r="A165" s="237" t="str">
        <f t="shared" ca="1" si="20"/>
        <v>Onshore Oil Production</v>
      </c>
      <c r="B165" s="237" t="str">
        <f ca="1">'Translation Table'!H1508</f>
        <v>Condensate (Large Tanks with Flares)</v>
      </c>
      <c r="C165" s="298">
        <f t="shared" si="21"/>
        <v>6.5744842720292837E-2</v>
      </c>
      <c r="D165" s="225" t="s">
        <v>2065</v>
      </c>
      <c r="E165" s="464">
        <v>3.6399999999999997E-5</v>
      </c>
      <c r="F165" s="225" t="s">
        <v>2510</v>
      </c>
      <c r="G165" s="371">
        <v>81.599999999999994</v>
      </c>
      <c r="H165" s="237">
        <f t="shared" si="17"/>
        <v>1473.840430213158</v>
      </c>
      <c r="I165" s="257"/>
      <c r="J165" s="256"/>
      <c r="O165" s="325"/>
      <c r="Q165" s="256"/>
    </row>
    <row r="166" spans="1:17" ht="15" customHeight="1" x14ac:dyDescent="0.3">
      <c r="A166" s="238" t="str">
        <f t="shared" ca="1" si="20"/>
        <v>Onshore Oil Production</v>
      </c>
      <c r="B166" s="238" t="str">
        <f ca="1">'Translation Table'!H1509</f>
        <v>Condensate (Small Tanks without Flares)</v>
      </c>
      <c r="C166" s="516">
        <f t="shared" si="21"/>
        <v>1.3528265713598719</v>
      </c>
      <c r="D166" s="225" t="s">
        <v>2065</v>
      </c>
      <c r="E166" s="464">
        <v>7.4899999999999999E-4</v>
      </c>
      <c r="F166" s="225" t="s">
        <v>2510</v>
      </c>
      <c r="G166" s="371">
        <v>81.599999999999994</v>
      </c>
      <c r="H166" s="238">
        <f t="shared" si="17"/>
        <v>1473.840430213158</v>
      </c>
      <c r="I166" s="257"/>
      <c r="J166" s="256"/>
      <c r="O166" s="325"/>
      <c r="Q166" s="256"/>
    </row>
    <row r="167" spans="1:17" ht="15" customHeight="1" x14ac:dyDescent="0.3">
      <c r="A167" s="237" t="str">
        <f t="shared" ca="1" si="20"/>
        <v>Onshore Oil Production</v>
      </c>
      <c r="B167" s="237" t="str">
        <f ca="1">'Translation Table'!H1510</f>
        <v>Condensate (Small Tanks with Flares)</v>
      </c>
      <c r="C167" s="298">
        <f t="shared" si="21"/>
        <v>1.0349394197452691E-2</v>
      </c>
      <c r="D167" s="225" t="s">
        <v>2065</v>
      </c>
      <c r="E167" s="464">
        <v>5.7300000000000002E-6</v>
      </c>
      <c r="F167" s="225" t="s">
        <v>2510</v>
      </c>
      <c r="G167" s="371">
        <v>81.599999999999994</v>
      </c>
      <c r="H167" s="237">
        <f t="shared" si="17"/>
        <v>1473.840430213158</v>
      </c>
      <c r="I167" s="257"/>
      <c r="J167" s="256"/>
      <c r="O167" s="325"/>
      <c r="Q167" s="256"/>
    </row>
    <row r="168" spans="1:17" ht="15" customHeight="1" x14ac:dyDescent="0.3">
      <c r="A168" s="238" t="str">
        <f t="shared" ca="1" si="20"/>
        <v>Onshore Oil Production</v>
      </c>
      <c r="B168" s="238" t="str">
        <f ca="1">'Translation Table'!H1511</f>
        <v>Condensate (Without Control)</v>
      </c>
      <c r="C168" s="516">
        <f t="shared" si="21"/>
        <v>26.189566468248518</v>
      </c>
      <c r="D168" s="225" t="s">
        <v>2065</v>
      </c>
      <c r="E168" s="464">
        <v>1.4500000000000001E-2</v>
      </c>
      <c r="F168" s="225" t="s">
        <v>2510</v>
      </c>
      <c r="G168" s="371">
        <v>81.599999999999994</v>
      </c>
      <c r="H168" s="238">
        <f t="shared" si="17"/>
        <v>1473.840430213158</v>
      </c>
      <c r="I168" s="257"/>
      <c r="J168" s="256"/>
      <c r="O168" s="325"/>
      <c r="Q168" s="256"/>
    </row>
    <row r="169" spans="1:17" ht="15" customHeight="1" x14ac:dyDescent="0.3">
      <c r="A169" s="237" t="str">
        <f t="shared" ca="1" si="20"/>
        <v>Onshore Oil Production</v>
      </c>
      <c r="B169" s="237" t="str">
        <f ca="1">'Translation Table'!H1512</f>
        <v>Produced Water</v>
      </c>
      <c r="C169" s="298">
        <f t="shared" si="21"/>
        <v>1.7040766757567202E-2</v>
      </c>
      <c r="D169" s="225" t="s">
        <v>2066</v>
      </c>
      <c r="E169" s="464">
        <v>1.5E-3</v>
      </c>
      <c r="F169" s="225" t="s">
        <v>72</v>
      </c>
      <c r="G169" s="371">
        <v>81.599999999999994</v>
      </c>
      <c r="H169" s="237">
        <f>tonnesCH4_per_E3bbl_to_m3CH4_per_m3</f>
        <v>9.2701771161165585</v>
      </c>
      <c r="I169" s="257"/>
      <c r="J169" s="256"/>
      <c r="O169" s="325"/>
      <c r="Q169" s="256"/>
    </row>
    <row r="170" spans="1:17" ht="15" customHeight="1" x14ac:dyDescent="0.3">
      <c r="A170" s="237" t="str">
        <f t="shared" ref="A170:A182" ca="1" si="22">OnshoreGasProduction</f>
        <v>Onshore Gas Production</v>
      </c>
      <c r="B170" s="237" t="str">
        <f ca="1">'Translation Table'!H1500</f>
        <v>Crude Oil (Without Control)</v>
      </c>
      <c r="C170" s="298">
        <f t="shared" ref="C170:C182" si="23">(E170*H170)/(G170/100)</f>
        <v>10.41788222879098</v>
      </c>
      <c r="D170" s="225" t="s">
        <v>2064</v>
      </c>
      <c r="E170" s="464">
        <v>5.5700000000000003E-3</v>
      </c>
      <c r="F170" s="225" t="s">
        <v>2509</v>
      </c>
      <c r="G170" s="371">
        <v>78.8</v>
      </c>
      <c r="H170" s="237">
        <f t="shared" si="17"/>
        <v>1473.840430213158</v>
      </c>
      <c r="I170" s="257"/>
      <c r="J170" s="256"/>
      <c r="O170" s="325"/>
      <c r="Q170" s="256"/>
    </row>
    <row r="171" spans="1:17" ht="15" customHeight="1" x14ac:dyDescent="0.3">
      <c r="A171" s="238" t="str">
        <f t="shared" ca="1" si="22"/>
        <v>Onshore Gas Production</v>
      </c>
      <c r="B171" s="238" t="str">
        <f ca="1">'Translation Table'!H1501</f>
        <v>Crude Oil (Large Tanks Without Control)</v>
      </c>
      <c r="C171" s="516">
        <f t="shared" si="23"/>
        <v>2.1854741673503937</v>
      </c>
      <c r="D171" s="225" t="s">
        <v>2064</v>
      </c>
      <c r="E171" s="464">
        <v>1.2099999999999999E-3</v>
      </c>
      <c r="F171" s="225" t="s">
        <v>2509</v>
      </c>
      <c r="G171" s="371">
        <v>81.599999999999994</v>
      </c>
      <c r="H171" s="238">
        <f t="shared" si="17"/>
        <v>1473.840430213158</v>
      </c>
      <c r="I171" s="257"/>
      <c r="J171" s="256"/>
      <c r="O171" s="325"/>
      <c r="Q171" s="256"/>
    </row>
    <row r="172" spans="1:17" ht="15" customHeight="1" x14ac:dyDescent="0.3">
      <c r="A172" s="237" t="str">
        <f t="shared" ca="1" si="22"/>
        <v>Onshore Gas Production</v>
      </c>
      <c r="B172" s="237" t="str">
        <f ca="1">'Translation Table'!H1502</f>
        <v>Crude Oil (Large Tanks with VRU)</v>
      </c>
      <c r="C172" s="298">
        <f t="shared" si="23"/>
        <v>0.32149950561022317</v>
      </c>
      <c r="D172" s="225" t="s">
        <v>2064</v>
      </c>
      <c r="E172" s="464">
        <v>1.7799999999999999E-4</v>
      </c>
      <c r="F172" s="225" t="s">
        <v>2509</v>
      </c>
      <c r="G172" s="371">
        <v>81.599999999999994</v>
      </c>
      <c r="H172" s="237">
        <f t="shared" si="17"/>
        <v>1473.840430213158</v>
      </c>
      <c r="I172" s="257"/>
      <c r="J172" s="256"/>
      <c r="O172" s="325"/>
      <c r="Q172" s="256"/>
    </row>
    <row r="173" spans="1:17" ht="15" customHeight="1" x14ac:dyDescent="0.3">
      <c r="A173" s="238" t="str">
        <f t="shared" ca="1" si="22"/>
        <v>Onshore Gas Production</v>
      </c>
      <c r="B173" s="238" t="str">
        <f ca="1">'Translation Table'!H1503</f>
        <v>Crude Oil (Large Tanks with Flares)</v>
      </c>
      <c r="C173" s="516">
        <f t="shared" si="23"/>
        <v>5.9603840927738017E-2</v>
      </c>
      <c r="D173" s="225" t="s">
        <v>2064</v>
      </c>
      <c r="E173" s="464">
        <v>3.3000000000000003E-5</v>
      </c>
      <c r="F173" s="225" t="s">
        <v>2509</v>
      </c>
      <c r="G173" s="371">
        <v>81.599999999999994</v>
      </c>
      <c r="H173" s="238">
        <f t="shared" si="17"/>
        <v>1473.840430213158</v>
      </c>
      <c r="I173" s="257"/>
      <c r="J173" s="256"/>
      <c r="O173" s="325"/>
      <c r="Q173" s="256"/>
    </row>
    <row r="174" spans="1:17" ht="15" customHeight="1" x14ac:dyDescent="0.3">
      <c r="A174" s="237" t="str">
        <f t="shared" ca="1" si="22"/>
        <v>Onshore Gas Production</v>
      </c>
      <c r="B174" s="237" t="str">
        <f ca="1">'Translation Table'!H1504</f>
        <v>Crude Oil (Small Tanks Without Control)</v>
      </c>
      <c r="C174" s="298">
        <f t="shared" si="23"/>
        <v>0.20771035474817792</v>
      </c>
      <c r="D174" s="225" t="s">
        <v>2064</v>
      </c>
      <c r="E174" s="464">
        <v>1.15E-4</v>
      </c>
      <c r="F174" s="225" t="s">
        <v>2509</v>
      </c>
      <c r="G174" s="371">
        <v>81.599999999999994</v>
      </c>
      <c r="H174" s="237">
        <f t="shared" si="17"/>
        <v>1473.840430213158</v>
      </c>
      <c r="I174" s="257"/>
      <c r="J174" s="256"/>
      <c r="O174" s="325"/>
      <c r="Q174" s="256"/>
    </row>
    <row r="175" spans="1:17" ht="15" customHeight="1" x14ac:dyDescent="0.3">
      <c r="A175" s="238" t="str">
        <f t="shared" ca="1" si="22"/>
        <v>Onshore Gas Production</v>
      </c>
      <c r="B175" s="238" t="str">
        <f ca="1">'Translation Table'!H1505</f>
        <v>Crude Oil (Small Tanks with Flares)</v>
      </c>
      <c r="C175" s="516">
        <f t="shared" si="23"/>
        <v>2.3299683271752133E-2</v>
      </c>
      <c r="D175" s="225" t="s">
        <v>2064</v>
      </c>
      <c r="E175" s="464">
        <v>1.29E-5</v>
      </c>
      <c r="F175" s="225" t="s">
        <v>2509</v>
      </c>
      <c r="G175" s="371">
        <v>81.599999999999994</v>
      </c>
      <c r="H175" s="238">
        <f t="shared" si="17"/>
        <v>1473.840430213158</v>
      </c>
      <c r="I175" s="257"/>
      <c r="J175" s="256"/>
      <c r="O175" s="325"/>
      <c r="Q175" s="256"/>
    </row>
    <row r="176" spans="1:17" ht="15" customHeight="1" x14ac:dyDescent="0.3">
      <c r="A176" s="237" t="str">
        <f t="shared" ca="1" si="22"/>
        <v>Onshore Gas Production</v>
      </c>
      <c r="B176" s="237" t="str">
        <f ca="1">'Translation Table'!H1506</f>
        <v>Condensate (Large Tanks Without Control)</v>
      </c>
      <c r="C176" s="298">
        <f t="shared" si="23"/>
        <v>1.6562643069919925</v>
      </c>
      <c r="D176" s="225" t="s">
        <v>2065</v>
      </c>
      <c r="E176" s="464">
        <v>9.1699999999999995E-4</v>
      </c>
      <c r="F176" s="225" t="s">
        <v>2510</v>
      </c>
      <c r="G176" s="371">
        <v>81.599999999999994</v>
      </c>
      <c r="H176" s="237">
        <f t="shared" si="17"/>
        <v>1473.840430213158</v>
      </c>
      <c r="I176" s="257"/>
      <c r="J176" s="256"/>
      <c r="O176" s="325"/>
      <c r="Q176" s="256"/>
    </row>
    <row r="177" spans="1:17" ht="15" customHeight="1" x14ac:dyDescent="0.3">
      <c r="A177" s="238" t="str">
        <f t="shared" ca="1" si="22"/>
        <v>Onshore Gas Production</v>
      </c>
      <c r="B177" s="238" t="str">
        <f ca="1">'Translation Table'!H1507</f>
        <v>Condensate (Large Tanks with VRU)</v>
      </c>
      <c r="C177" s="516">
        <f t="shared" si="23"/>
        <v>7.5678816208249178E-2</v>
      </c>
      <c r="D177" s="225" t="s">
        <v>2065</v>
      </c>
      <c r="E177" s="464">
        <v>4.1900000000000002E-5</v>
      </c>
      <c r="F177" s="225" t="s">
        <v>2510</v>
      </c>
      <c r="G177" s="371">
        <v>81.599999999999994</v>
      </c>
      <c r="H177" s="238">
        <f t="shared" si="17"/>
        <v>1473.840430213158</v>
      </c>
      <c r="I177" s="257"/>
      <c r="J177" s="256"/>
      <c r="O177" s="325"/>
      <c r="Q177" s="256"/>
    </row>
    <row r="178" spans="1:17" ht="15" customHeight="1" x14ac:dyDescent="0.3">
      <c r="A178" s="237" t="str">
        <f t="shared" ca="1" si="22"/>
        <v>Onshore Gas Production</v>
      </c>
      <c r="B178" s="237" t="str">
        <f ca="1">'Translation Table'!H1508</f>
        <v>Condensate (Large Tanks with Flares)</v>
      </c>
      <c r="C178" s="298">
        <f t="shared" si="23"/>
        <v>6.5744842720292837E-2</v>
      </c>
      <c r="D178" s="225" t="s">
        <v>2065</v>
      </c>
      <c r="E178" s="464">
        <v>3.6399999999999997E-5</v>
      </c>
      <c r="F178" s="225" t="s">
        <v>2510</v>
      </c>
      <c r="G178" s="371">
        <v>81.599999999999994</v>
      </c>
      <c r="H178" s="237">
        <f t="shared" si="17"/>
        <v>1473.840430213158</v>
      </c>
      <c r="I178" s="257"/>
      <c r="J178" s="256"/>
      <c r="O178" s="325"/>
      <c r="Q178" s="256"/>
    </row>
    <row r="179" spans="1:17" ht="15" customHeight="1" x14ac:dyDescent="0.3">
      <c r="A179" s="238" t="str">
        <f t="shared" ca="1" si="22"/>
        <v>Onshore Gas Production</v>
      </c>
      <c r="B179" s="238" t="str">
        <f ca="1">'Translation Table'!H1509</f>
        <v>Condensate (Small Tanks without Flares)</v>
      </c>
      <c r="C179" s="516">
        <f t="shared" si="23"/>
        <v>1.3528265713598719</v>
      </c>
      <c r="D179" s="225" t="s">
        <v>2065</v>
      </c>
      <c r="E179" s="464">
        <v>7.4899999999999999E-4</v>
      </c>
      <c r="F179" s="225" t="s">
        <v>2510</v>
      </c>
      <c r="G179" s="371">
        <v>81.599999999999994</v>
      </c>
      <c r="H179" s="238">
        <f t="shared" si="17"/>
        <v>1473.840430213158</v>
      </c>
      <c r="I179" s="257"/>
      <c r="J179" s="256"/>
      <c r="O179" s="325"/>
      <c r="Q179" s="256"/>
    </row>
    <row r="180" spans="1:17" ht="15" customHeight="1" x14ac:dyDescent="0.3">
      <c r="A180" s="237" t="str">
        <f t="shared" ca="1" si="22"/>
        <v>Onshore Gas Production</v>
      </c>
      <c r="B180" s="237" t="str">
        <f ca="1">'Translation Table'!H1510</f>
        <v>Condensate (Small Tanks with Flares)</v>
      </c>
      <c r="C180" s="298">
        <f t="shared" si="23"/>
        <v>1.0349394197452691E-2</v>
      </c>
      <c r="D180" s="225" t="s">
        <v>2065</v>
      </c>
      <c r="E180" s="464">
        <v>5.7300000000000002E-6</v>
      </c>
      <c r="F180" s="225" t="s">
        <v>2510</v>
      </c>
      <c r="G180" s="371">
        <v>81.599999999999994</v>
      </c>
      <c r="H180" s="237">
        <f t="shared" si="17"/>
        <v>1473.840430213158</v>
      </c>
      <c r="I180" s="257"/>
      <c r="J180" s="256"/>
      <c r="O180" s="325"/>
      <c r="Q180" s="256"/>
    </row>
    <row r="181" spans="1:17" ht="15" customHeight="1" x14ac:dyDescent="0.3">
      <c r="A181" s="238" t="str">
        <f t="shared" ca="1" si="22"/>
        <v>Onshore Gas Production</v>
      </c>
      <c r="B181" s="238" t="str">
        <f ca="1">'Translation Table'!H1511</f>
        <v>Condensate (Without Control)</v>
      </c>
      <c r="C181" s="516">
        <f t="shared" si="23"/>
        <v>26.189566468248518</v>
      </c>
      <c r="D181" s="225" t="s">
        <v>2065</v>
      </c>
      <c r="E181" s="464">
        <v>1.4500000000000001E-2</v>
      </c>
      <c r="F181" s="225" t="s">
        <v>2510</v>
      </c>
      <c r="G181" s="371">
        <v>81.599999999999994</v>
      </c>
      <c r="H181" s="238">
        <f t="shared" si="17"/>
        <v>1473.840430213158</v>
      </c>
      <c r="I181" s="257"/>
      <c r="J181" s="256"/>
      <c r="O181" s="325"/>
      <c r="Q181" s="256"/>
    </row>
    <row r="182" spans="1:17" ht="15" customHeight="1" x14ac:dyDescent="0.3">
      <c r="A182" s="237" t="str">
        <f t="shared" ca="1" si="22"/>
        <v>Onshore Gas Production</v>
      </c>
      <c r="B182" s="237" t="str">
        <f ca="1">'Translation Table'!H1512</f>
        <v>Produced Water</v>
      </c>
      <c r="C182" s="298">
        <f t="shared" si="23"/>
        <v>1.7040766757567202E-2</v>
      </c>
      <c r="D182" s="225" t="s">
        <v>2066</v>
      </c>
      <c r="E182" s="464">
        <v>1.5E-3</v>
      </c>
      <c r="F182" s="225" t="s">
        <v>72</v>
      </c>
      <c r="G182" s="371">
        <v>81.599999999999994</v>
      </c>
      <c r="H182" s="237">
        <f>tonnesCH4_per_E3bbl_to_m3CH4_per_m3</f>
        <v>9.2701771161165585</v>
      </c>
      <c r="I182" s="257"/>
      <c r="J182" s="256"/>
      <c r="O182" s="325"/>
      <c r="Q182" s="256"/>
    </row>
    <row r="183" spans="1:17" ht="15" customHeight="1" x14ac:dyDescent="0.3">
      <c r="A183" s="238" t="str">
        <f t="shared" ref="A183:A191" ca="1" si="24">GasProcessing</f>
        <v>Gas Processing</v>
      </c>
      <c r="B183" s="238" t="str">
        <f ca="1">'Translation Table'!H1513</f>
        <v>Chemicals (Fixed - Roof Tank with Natural Gas Blanketing)</v>
      </c>
      <c r="C183" s="516">
        <f t="shared" ref="C183:C195" si="25">(E183*H183)/(G183/100)</f>
        <v>1.6562643069919925</v>
      </c>
      <c r="D183" s="225" t="str">
        <f ca="1">'Translation Table'!H1523</f>
        <v>Adapted from API</v>
      </c>
      <c r="E183" s="464">
        <v>9.1699999999999995E-4</v>
      </c>
      <c r="F183" s="225" t="s">
        <v>2510</v>
      </c>
      <c r="G183" s="371">
        <v>81.599999999999994</v>
      </c>
      <c r="H183" s="238">
        <f>tonnesCH4_per_m3_to_m3CH4_per_m3</f>
        <v>1473.840430213158</v>
      </c>
      <c r="I183" s="257"/>
      <c r="J183" s="256"/>
      <c r="O183" s="325"/>
      <c r="Q183" s="256"/>
    </row>
    <row r="184" spans="1:17" ht="15" customHeight="1" x14ac:dyDescent="0.3">
      <c r="A184" s="237" t="str">
        <f t="shared" ca="1" si="24"/>
        <v>Gas Processing</v>
      </c>
      <c r="B184" s="237" t="str">
        <f ca="1">'Translation Table'!H1514</f>
        <v>Condensate (External Floating - Roof Tank)</v>
      </c>
      <c r="C184" s="298">
        <f t="shared" si="25"/>
        <v>7.5678816208249178E-2</v>
      </c>
      <c r="D184" s="225" t="str">
        <f ca="1">'Translation Table'!H1523</f>
        <v>Adapted from API</v>
      </c>
      <c r="E184" s="464">
        <v>4.1900000000000002E-5</v>
      </c>
      <c r="F184" s="225" t="s">
        <v>2510</v>
      </c>
      <c r="G184" s="371">
        <v>81.599999999999994</v>
      </c>
      <c r="H184" s="237">
        <f>tonnesCH4_per_m3_to_m3CH4_per_m3</f>
        <v>1473.840430213158</v>
      </c>
      <c r="I184" s="257"/>
      <c r="J184" s="256"/>
      <c r="O184" s="325"/>
      <c r="Q184" s="256"/>
    </row>
    <row r="185" spans="1:17" ht="15" customHeight="1" x14ac:dyDescent="0.3">
      <c r="A185" s="238" t="str">
        <f t="shared" ca="1" si="24"/>
        <v>Gas Processing</v>
      </c>
      <c r="B185" s="238" t="str">
        <f ca="1">'Translation Table'!H1515</f>
        <v>Condensate (Fixed - Roof Tank with Vapor Control)</v>
      </c>
      <c r="C185" s="516">
        <f t="shared" si="25"/>
        <v>0</v>
      </c>
      <c r="D185" s="225" t="str">
        <f ca="1">'Translation Table'!H1524</f>
        <v>Assumed</v>
      </c>
      <c r="E185" s="464">
        <v>0</v>
      </c>
      <c r="F185" s="225"/>
      <c r="G185" s="371">
        <v>81.599999999999994</v>
      </c>
      <c r="H185" s="238"/>
      <c r="I185" s="257"/>
      <c r="J185" s="256"/>
      <c r="O185" s="325"/>
      <c r="Q185" s="256"/>
    </row>
    <row r="186" spans="1:17" ht="15" customHeight="1" x14ac:dyDescent="0.3">
      <c r="A186" s="237" t="str">
        <f t="shared" ca="1" si="24"/>
        <v>Gas Processing</v>
      </c>
      <c r="B186" s="237" t="str">
        <f ca="1">'Translation Table'!H1516</f>
        <v>Condensate (Fixed - Roof Tank without Vapor Control)</v>
      </c>
      <c r="C186" s="298">
        <f t="shared" si="25"/>
        <v>0</v>
      </c>
      <c r="D186" s="225" t="str">
        <f ca="1">'Translation Table'!H1524</f>
        <v>Assumed</v>
      </c>
      <c r="E186" s="464">
        <v>0</v>
      </c>
      <c r="F186" s="225"/>
      <c r="G186" s="371">
        <v>81.599999999999994</v>
      </c>
      <c r="H186" s="237"/>
      <c r="I186" s="257"/>
      <c r="J186" s="256"/>
      <c r="O186" s="325"/>
      <c r="Q186" s="256"/>
    </row>
    <row r="187" spans="1:17" ht="15" customHeight="1" x14ac:dyDescent="0.3">
      <c r="A187" s="238" t="str">
        <f t="shared" ca="1" si="24"/>
        <v>Gas Processing</v>
      </c>
      <c r="B187" s="238" t="str">
        <f ca="1">'Translation Table'!H1517</f>
        <v>Condensate (Internal Floating - Roof Tank))</v>
      </c>
      <c r="C187" s="516">
        <f t="shared" si="25"/>
        <v>1.7040766757567202E-2</v>
      </c>
      <c r="D187" s="225" t="str">
        <f ca="1">'Translation Table'!H1523</f>
        <v>Adapted from API</v>
      </c>
      <c r="E187" s="464">
        <v>1.5E-3</v>
      </c>
      <c r="F187" s="225" t="s">
        <v>72</v>
      </c>
      <c r="G187" s="371">
        <v>81.599999999999994</v>
      </c>
      <c r="H187" s="238">
        <f>tonnesCH4_per_E3bbl_to_m3CH4_per_m3</f>
        <v>9.2701771161165585</v>
      </c>
      <c r="I187" s="257"/>
      <c r="J187" s="256"/>
      <c r="O187" s="325"/>
      <c r="Q187" s="256"/>
    </row>
    <row r="188" spans="1:17" ht="15" customHeight="1" x14ac:dyDescent="0.3">
      <c r="A188" s="237" t="str">
        <f t="shared" ca="1" si="24"/>
        <v>Gas Processing</v>
      </c>
      <c r="B188" s="237" t="str">
        <f ca="1">'Translation Table'!H1518</f>
        <v>Produced Water (External Floating - Roof Tank)</v>
      </c>
      <c r="C188" s="298">
        <f t="shared" si="25"/>
        <v>0</v>
      </c>
      <c r="D188" s="225" t="str">
        <f ca="1">'Translation Table'!H1524</f>
        <v>Assumed</v>
      </c>
      <c r="E188" s="464">
        <v>0</v>
      </c>
      <c r="F188" s="225"/>
      <c r="G188" s="371">
        <v>81.599999999999994</v>
      </c>
      <c r="H188" s="237"/>
      <c r="I188" s="257"/>
      <c r="J188" s="256"/>
      <c r="O188" s="325"/>
      <c r="Q188" s="256"/>
    </row>
    <row r="189" spans="1:17" ht="15" customHeight="1" x14ac:dyDescent="0.3">
      <c r="A189" s="238" t="str">
        <f t="shared" ca="1" si="24"/>
        <v>Gas Processing</v>
      </c>
      <c r="B189" s="238" t="str">
        <f ca="1">'Translation Table'!H1519</f>
        <v>Produced Water (Fixed - Roof Tank with Vapor Control)</v>
      </c>
      <c r="C189" s="516">
        <f t="shared" si="25"/>
        <v>0</v>
      </c>
      <c r="D189" s="225" t="str">
        <f ca="1">'Translation Table'!H1524</f>
        <v>Assumed</v>
      </c>
      <c r="E189" s="464">
        <v>0</v>
      </c>
      <c r="F189" s="225"/>
      <c r="G189" s="371">
        <v>81.599999999999994</v>
      </c>
      <c r="H189" s="238"/>
      <c r="I189" s="257"/>
      <c r="J189" s="256"/>
      <c r="O189" s="325"/>
      <c r="Q189" s="256"/>
    </row>
    <row r="190" spans="1:17" ht="15" customHeight="1" x14ac:dyDescent="0.3">
      <c r="A190" s="237" t="str">
        <f t="shared" ca="1" si="24"/>
        <v>Gas Processing</v>
      </c>
      <c r="B190" s="237" t="str">
        <f ca="1">'Translation Table'!H1520</f>
        <v>Produced Water (Fixed - Roof Tank without Vapor Control)</v>
      </c>
      <c r="C190" s="298">
        <f t="shared" si="25"/>
        <v>0</v>
      </c>
      <c r="D190" s="225" t="str">
        <f ca="1">'Translation Table'!H1524</f>
        <v>Assumed</v>
      </c>
      <c r="E190" s="464">
        <v>0</v>
      </c>
      <c r="F190" s="225"/>
      <c r="G190" s="371">
        <v>81.599999999999994</v>
      </c>
      <c r="H190" s="237"/>
      <c r="I190" s="257"/>
      <c r="J190" s="256"/>
      <c r="O190" s="325"/>
      <c r="Q190" s="256"/>
    </row>
    <row r="191" spans="1:17" ht="15" customHeight="1" x14ac:dyDescent="0.3">
      <c r="A191" s="238" t="str">
        <f t="shared" ca="1" si="24"/>
        <v>Gas Processing</v>
      </c>
      <c r="B191" s="238" t="str">
        <f ca="1">'Translation Table'!H1521</f>
        <v>Produced Water (Internal Floating - Roof Tank)</v>
      </c>
      <c r="C191" s="516">
        <f t="shared" si="25"/>
        <v>0</v>
      </c>
      <c r="D191" s="225" t="str">
        <f ca="1">'Translation Table'!H1524</f>
        <v>Assumed</v>
      </c>
      <c r="E191" s="464">
        <v>0</v>
      </c>
      <c r="F191" s="225" t="s">
        <v>2509</v>
      </c>
      <c r="G191" s="371">
        <v>81.599999999999994</v>
      </c>
      <c r="H191" s="238">
        <f>tonnesCH4_per_m3_to_m3CH4_per_m3</f>
        <v>1473.840430213158</v>
      </c>
      <c r="I191" s="257"/>
      <c r="J191" s="256"/>
      <c r="O191" s="325"/>
      <c r="Q191" s="256"/>
    </row>
    <row r="192" spans="1:17" ht="15" customHeight="1" x14ac:dyDescent="0.3">
      <c r="A192" s="237" t="str">
        <f ca="1">GasTransmission</f>
        <v>Gas Transmission</v>
      </c>
      <c r="B192" s="237" t="str">
        <f ca="1">'Translation Table'!H1522</f>
        <v>Condensate</v>
      </c>
      <c r="C192" s="298">
        <f t="shared" si="25"/>
        <v>0</v>
      </c>
      <c r="D192" s="225" t="str">
        <f ca="1">'Translation Table'!H1524</f>
        <v>Assumed</v>
      </c>
      <c r="E192" s="464">
        <v>0</v>
      </c>
      <c r="F192" s="225" t="s">
        <v>2510</v>
      </c>
      <c r="G192" s="371">
        <v>81.599999999999994</v>
      </c>
      <c r="H192" s="237">
        <f>tonnesCH4_per_m3_to_m3CH4_per_m3</f>
        <v>1473.840430213158</v>
      </c>
      <c r="I192" s="257"/>
      <c r="J192" s="256"/>
      <c r="O192" s="325"/>
      <c r="Q192" s="256"/>
    </row>
    <row r="193" spans="1:17" ht="15" customHeight="1" x14ac:dyDescent="0.3">
      <c r="A193" s="452" t="str">
        <f ca="1">GasStorage</f>
        <v>Gas Storage</v>
      </c>
      <c r="B193" s="238" t="str">
        <f ca="1">'Translation Table'!H1522</f>
        <v>Condensate</v>
      </c>
      <c r="C193" s="516">
        <f t="shared" si="25"/>
        <v>0</v>
      </c>
      <c r="D193" s="225" t="str">
        <f ca="1">'Translation Table'!H1524</f>
        <v>Assumed</v>
      </c>
      <c r="E193" s="464">
        <v>0</v>
      </c>
      <c r="F193" s="225" t="s">
        <v>2510</v>
      </c>
      <c r="G193" s="371">
        <v>81.599999999999994</v>
      </c>
      <c r="H193" s="238">
        <f>tonnesCH4_per_m3_to_m3CH4_per_m3</f>
        <v>1473.840430213158</v>
      </c>
      <c r="I193" s="257"/>
      <c r="J193" s="256"/>
      <c r="O193" s="325"/>
      <c r="Q193" s="256"/>
    </row>
    <row r="194" spans="1:17" ht="15" customHeight="1" x14ac:dyDescent="0.3">
      <c r="A194" s="667" t="s">
        <v>34</v>
      </c>
      <c r="B194" s="237" t="str">
        <f ca="1">'Translation Table'!H1522</f>
        <v>Condensate</v>
      </c>
      <c r="C194" s="298">
        <f t="shared" si="25"/>
        <v>0</v>
      </c>
      <c r="D194" s="225" t="str">
        <f ca="1">'Translation Table'!H1524</f>
        <v>Assumed</v>
      </c>
      <c r="E194" s="464">
        <v>0</v>
      </c>
      <c r="F194" s="225" t="s">
        <v>2510</v>
      </c>
      <c r="G194" s="371">
        <v>81.599999999999994</v>
      </c>
      <c r="H194" s="237">
        <f>tonnesCH4_per_m3_to_m3CH4_per_m3</f>
        <v>1473.840430213158</v>
      </c>
      <c r="I194" s="257"/>
      <c r="J194" s="256"/>
      <c r="O194" s="325"/>
      <c r="Q194" s="256"/>
    </row>
    <row r="195" spans="1:17" ht="15" customHeight="1" x14ac:dyDescent="0.3">
      <c r="A195" s="670" t="s">
        <v>3337</v>
      </c>
      <c r="B195" s="669" t="s">
        <v>52</v>
      </c>
      <c r="C195" s="516">
        <f t="shared" si="25"/>
        <v>0</v>
      </c>
      <c r="D195" s="225" t="str">
        <f ca="1">'Translation Table'!H1524</f>
        <v>Assumed</v>
      </c>
      <c r="E195" s="464">
        <v>0</v>
      </c>
      <c r="F195" s="225" t="s">
        <v>2510</v>
      </c>
      <c r="G195" s="371">
        <v>81.599999999999994</v>
      </c>
      <c r="H195" s="238">
        <f>tonnesCH4_per_m3_to_m3CH4_per_m3</f>
        <v>1473.840430213158</v>
      </c>
      <c r="I195" s="257"/>
      <c r="J195" s="256"/>
      <c r="O195" s="325"/>
      <c r="Q195" s="256"/>
    </row>
    <row r="196" spans="1:17" x14ac:dyDescent="0.3">
      <c r="O196" s="325"/>
    </row>
    <row r="197" spans="1:17" ht="22.5" x14ac:dyDescent="0.45">
      <c r="A197" s="1109" t="str">
        <f ca="1">'Translation Table'!H1548</f>
        <v>Oil Well Casing Vents:</v>
      </c>
      <c r="B197" s="1109"/>
      <c r="O197" s="325"/>
    </row>
    <row r="198" spans="1:17" x14ac:dyDescent="0.3">
      <c r="O198" s="325"/>
    </row>
    <row r="199" spans="1:17" ht="15.5" x14ac:dyDescent="0.3">
      <c r="A199" s="92" t="str">
        <f ca="1">'Translation Table'!H1549</f>
        <v>Industry Segment</v>
      </c>
      <c r="B199" s="92" t="str">
        <f ca="1">'Translation Table'!H1550</f>
        <v>Well Type</v>
      </c>
      <c r="C199" s="92" t="str">
        <f ca="1">'Translation Table'!H1551</f>
        <v>Uncontrolled CH4 Flashing Loss</v>
      </c>
      <c r="D199" s="92" t="str">
        <f ca="1">'Translation Table'!H1552</f>
        <v>Data Source</v>
      </c>
      <c r="E199" s="1094" t="str">
        <f ca="1">'Translation Table'!H1553</f>
        <v>As Reported in the Reference</v>
      </c>
      <c r="F199" s="1094"/>
      <c r="G199" s="1094"/>
      <c r="H199" s="68" t="str">
        <f ca="1">'Translation Table'!H1555</f>
        <v>Conversion Factor</v>
      </c>
      <c r="I199" s="56"/>
      <c r="J199" s="102"/>
      <c r="Q199" s="256"/>
    </row>
    <row r="200" spans="1:17" ht="15.5" x14ac:dyDescent="0.3">
      <c r="A200" s="93"/>
      <c r="B200" s="93"/>
      <c r="C200" s="93" t="str">
        <f>'Translation Table'!I1556</f>
        <v>Emissions Factor</v>
      </c>
      <c r="D200" s="93"/>
      <c r="E200" s="92" t="str">
        <f ca="1">'Translation Table'!H1557</f>
        <v>EF Value</v>
      </c>
      <c r="F200" s="92" t="str">
        <f>'Translation Table'!I1558</f>
        <v xml:space="preserve">Units of </v>
      </c>
      <c r="G200" s="92" t="str">
        <f ca="1">'Translation Table'!H1559</f>
        <v xml:space="preserve">CH4 Content </v>
      </c>
      <c r="H200" s="92" t="str">
        <f ca="1">'Translation Table'!H1561</f>
        <v>Value</v>
      </c>
      <c r="I200" s="56"/>
      <c r="J200" s="256"/>
      <c r="Q200" s="256"/>
    </row>
    <row r="201" spans="1:17" ht="15.5" x14ac:dyDescent="0.3">
      <c r="A201" s="93"/>
      <c r="B201" s="93"/>
      <c r="C201" s="93" t="str">
        <f ca="1">'Translation Table'!H1563</f>
        <v>(Nm3 /m3 of liquid produced)</v>
      </c>
      <c r="D201" s="93"/>
      <c r="E201" s="93"/>
      <c r="F201" s="93" t="str">
        <f ca="1">'Translation Table'!H1564</f>
        <v>Measure</v>
      </c>
      <c r="G201" s="93" t="str">
        <f ca="1">'Translation Table'!H1565</f>
        <v>Basis for Industry Segment</v>
      </c>
      <c r="H201" s="93"/>
      <c r="I201" s="56"/>
      <c r="J201" s="256"/>
      <c r="Q201" s="256"/>
    </row>
    <row r="202" spans="1:17" ht="15.5" x14ac:dyDescent="0.3">
      <c r="A202" s="94"/>
      <c r="B202" s="94"/>
      <c r="C202" s="94"/>
      <c r="D202" s="94"/>
      <c r="E202" s="94"/>
      <c r="F202" s="94"/>
      <c r="G202" s="94" t="str">
        <f ca="1">'Translation Table'!H1567</f>
        <v>(Mol%)</v>
      </c>
      <c r="H202" s="94"/>
      <c r="I202" s="56"/>
      <c r="J202" s="256"/>
      <c r="O202" s="325"/>
      <c r="Q202" s="256"/>
    </row>
    <row r="203" spans="1:17" ht="15" customHeight="1" x14ac:dyDescent="0.3">
      <c r="A203" s="238" t="str">
        <f ca="1">OnshoreOilProduction</f>
        <v>Onshore Oil Production</v>
      </c>
      <c r="B203" s="238" t="str">
        <f ca="1">'Translation Table'!H1569</f>
        <v>Cold Heavy Oil (Active)</v>
      </c>
      <c r="C203" s="516">
        <f>E203*H203</f>
        <v>30.40618094086231</v>
      </c>
      <c r="D203" s="225" t="s">
        <v>2067</v>
      </c>
      <c r="E203" s="464">
        <v>3.28</v>
      </c>
      <c r="F203" s="225" t="s">
        <v>77</v>
      </c>
      <c r="G203" s="371">
        <v>81.599999999999994</v>
      </c>
      <c r="H203" s="238">
        <f>tonnesCH4_per_E3bbl_to_m3CH4_per_m3</f>
        <v>9.2701771161165585</v>
      </c>
      <c r="I203" s="257"/>
      <c r="J203" s="256"/>
      <c r="O203" s="325"/>
      <c r="Q203" s="256"/>
    </row>
    <row r="204" spans="1:17" ht="15" customHeight="1" x14ac:dyDescent="0.3">
      <c r="A204" s="237" t="str">
        <f ca="1">OnshoreOilProduction</f>
        <v>Onshore Oil Production</v>
      </c>
      <c r="B204" s="237" t="str">
        <f ca="1">'Translation Table'!H1570</f>
        <v>Cold Heavy Oil (Inactive)</v>
      </c>
      <c r="C204" s="298">
        <f>E204*H204</f>
        <v>0</v>
      </c>
      <c r="D204" s="225" t="s">
        <v>2251</v>
      </c>
      <c r="E204" s="517">
        <v>0</v>
      </c>
      <c r="F204" s="225" t="s">
        <v>77</v>
      </c>
      <c r="G204" s="371">
        <v>81.599999999999994</v>
      </c>
      <c r="H204" s="237">
        <f>tonnesCH4_per_E3bbl_to_m3CH4_per_m3</f>
        <v>9.2701771161165585</v>
      </c>
      <c r="I204" s="257"/>
      <c r="J204" s="256"/>
      <c r="O204" s="325"/>
      <c r="Q204" s="256"/>
    </row>
    <row r="205" spans="1:17" ht="15" customHeight="1" x14ac:dyDescent="0.3">
      <c r="A205" s="238" t="str">
        <f ca="1">OnshoreOilProduction</f>
        <v>Onshore Oil Production</v>
      </c>
      <c r="B205" s="238" t="str">
        <f ca="1">'Translation Table'!H1571</f>
        <v>Thermal Heavy Oil</v>
      </c>
      <c r="C205" s="516">
        <f>E205*H205</f>
        <v>2.0672494968939925</v>
      </c>
      <c r="D205" s="225" t="s">
        <v>2067</v>
      </c>
      <c r="E205" s="464">
        <v>0.223</v>
      </c>
      <c r="F205" s="225" t="s">
        <v>77</v>
      </c>
      <c r="G205" s="371">
        <v>81.599999999999994</v>
      </c>
      <c r="H205" s="238">
        <f>tonnesCH4_per_E3bbl_to_m3CH4_per_m3</f>
        <v>9.2701771161165585</v>
      </c>
      <c r="I205" s="257"/>
      <c r="J205" s="256"/>
      <c r="O205" s="325"/>
      <c r="Q205" s="256"/>
    </row>
    <row r="206" spans="1:17" ht="15" customHeight="1" x14ac:dyDescent="0.3">
      <c r="A206" s="237" t="str">
        <f ca="1">OnshoreOilProduction</f>
        <v>Onshore Oil Production</v>
      </c>
      <c r="B206" s="237" t="str">
        <f ca="1">'Translation Table'!H1572</f>
        <v>Crude Bitumen</v>
      </c>
      <c r="C206" s="298">
        <f>E206*H206</f>
        <v>1.9189266630361275</v>
      </c>
      <c r="D206" s="225" t="s">
        <v>2067</v>
      </c>
      <c r="E206" s="464">
        <v>0.20699999999999999</v>
      </c>
      <c r="F206" s="225" t="s">
        <v>77</v>
      </c>
      <c r="G206" s="371">
        <v>81.599999999999994</v>
      </c>
      <c r="H206" s="237">
        <f>tonnesCH4_per_E3bbl_to_m3CH4_per_m3</f>
        <v>9.2701771161165585</v>
      </c>
      <c r="I206" s="257"/>
      <c r="J206" s="256"/>
      <c r="O206" s="325"/>
      <c r="Q206" s="256"/>
    </row>
    <row r="207" spans="1:17" x14ac:dyDescent="0.3">
      <c r="O207" s="325"/>
    </row>
    <row r="208" spans="1:17" ht="22.5" x14ac:dyDescent="0.45">
      <c r="A208" s="1109" t="str">
        <f ca="1">'Translation Table'!H1583</f>
        <v>Wellhead Casing Vents:</v>
      </c>
      <c r="B208" s="1109"/>
      <c r="O208" s="325"/>
    </row>
    <row r="209" spans="1:17" x14ac:dyDescent="0.3">
      <c r="O209" s="325"/>
    </row>
    <row r="210" spans="1:17" ht="15.5" x14ac:dyDescent="0.3">
      <c r="A210" s="92" t="str">
        <f ca="1">'Translation Table'!H1584</f>
        <v>Industry Segment</v>
      </c>
      <c r="B210" s="92" t="str">
        <f ca="1">'Translation Table'!H1585</f>
        <v>Well Type</v>
      </c>
      <c r="C210" s="92" t="str">
        <f ca="1">'Translation Table'!H1586</f>
        <v>Uncontrolled Flashing Loss</v>
      </c>
      <c r="D210" s="92" t="str">
        <f ca="1">'Translation Table'!H1587</f>
        <v>Data Source</v>
      </c>
      <c r="E210" s="1094" t="str">
        <f ca="1">'Translation Table'!H1588</f>
        <v>As Reported in the Reference</v>
      </c>
      <c r="F210" s="1094"/>
      <c r="G210" s="1094"/>
      <c r="H210" s="68" t="str">
        <f ca="1">'Translation Table'!H1589</f>
        <v>Conversion Factor</v>
      </c>
      <c r="I210" s="101"/>
      <c r="J210" s="56"/>
      <c r="P210" s="325"/>
      <c r="Q210" s="256"/>
    </row>
    <row r="211" spans="1:17" ht="15.5" x14ac:dyDescent="0.3">
      <c r="A211" s="93"/>
      <c r="B211" s="93"/>
      <c r="C211" s="93" t="str">
        <f ca="1">'Translation Table'!H1590</f>
        <v>Emissions Factor</v>
      </c>
      <c r="D211" s="93"/>
      <c r="E211" s="92" t="str">
        <f ca="1">'Translation Table'!H1591</f>
        <v>EF Value</v>
      </c>
      <c r="F211" s="92" t="str">
        <f ca="1">'Translation Table'!H1592</f>
        <v xml:space="preserve">Units of </v>
      </c>
      <c r="G211" s="92" t="str">
        <f ca="1">'Translation Table'!H1593</f>
        <v xml:space="preserve">CH4 Content </v>
      </c>
      <c r="H211" s="92" t="str">
        <f ca="1">'Translation Table'!H1594</f>
        <v>Value</v>
      </c>
      <c r="I211" s="101"/>
      <c r="J211" s="56"/>
      <c r="P211" s="325"/>
      <c r="Q211" s="256"/>
    </row>
    <row r="212" spans="1:17" ht="15.5" x14ac:dyDescent="0.3">
      <c r="A212" s="93"/>
      <c r="B212" s="93"/>
      <c r="C212" s="93" t="str">
        <f ca="1">'Translation Table'!H1596</f>
        <v>(Nm3/d/well)</v>
      </c>
      <c r="D212" s="93"/>
      <c r="E212" s="93"/>
      <c r="F212" s="93" t="str">
        <f ca="1">'Translation Table'!H1597</f>
        <v>Measure</v>
      </c>
      <c r="G212" s="93" t="str">
        <f ca="1">'Translation Table'!H1598</f>
        <v>Basis for Industry Segment</v>
      </c>
      <c r="H212" s="93"/>
      <c r="I212" s="101"/>
      <c r="J212" s="56"/>
      <c r="P212" s="325"/>
      <c r="Q212" s="256"/>
    </row>
    <row r="213" spans="1:17" ht="15.5" x14ac:dyDescent="0.3">
      <c r="A213" s="94"/>
      <c r="B213" s="94"/>
      <c r="C213" s="94"/>
      <c r="D213" s="94"/>
      <c r="E213" s="94"/>
      <c r="F213" s="94"/>
      <c r="G213" s="94" t="str">
        <f ca="1">'Translation Table'!H1599</f>
        <v>(Mol%)</v>
      </c>
      <c r="H213" s="94"/>
      <c r="I213" s="101"/>
      <c r="J213" s="56"/>
      <c r="P213" s="325"/>
      <c r="Q213" s="256"/>
    </row>
    <row r="214" spans="1:17" ht="15" customHeight="1" x14ac:dyDescent="0.3">
      <c r="A214" s="238" t="str">
        <f t="shared" ref="A214:A219" ca="1" si="26">OnshoreOilProduction</f>
        <v>Onshore Oil Production</v>
      </c>
      <c r="B214" s="238" t="str">
        <f ca="1">'Translation Table'!H1600</f>
        <v>Low-Pressure Gas</v>
      </c>
      <c r="C214" s="516">
        <f t="shared" ref="C214:C219" si="27">E214*H214/(G214/100)</f>
        <v>3.8471570053358173</v>
      </c>
      <c r="D214" s="225" t="s">
        <v>2142</v>
      </c>
      <c r="E214" s="464">
        <v>2.1299999999999999E-3</v>
      </c>
      <c r="F214" s="225" t="s">
        <v>85</v>
      </c>
      <c r="G214" s="371">
        <v>81.599999999999994</v>
      </c>
      <c r="H214" s="238">
        <f t="shared" ref="H214:H219" si="28">tonnesCH4_per_d_source_to_m3CH4_per_d_per_source</f>
        <v>1473.840430213158</v>
      </c>
      <c r="I214" s="96"/>
      <c r="J214" s="257"/>
      <c r="P214" s="325"/>
      <c r="Q214" s="256"/>
    </row>
    <row r="215" spans="1:17" ht="15" customHeight="1" x14ac:dyDescent="0.3">
      <c r="A215" s="237" t="str">
        <f t="shared" ca="1" si="26"/>
        <v>Onshore Oil Production</v>
      </c>
      <c r="B215" s="237" t="str">
        <f ca="1">'Translation Table'!H1601</f>
        <v>Conventional Crude Oil Wells</v>
      </c>
      <c r="C215" s="298">
        <f t="shared" si="27"/>
        <v>0</v>
      </c>
      <c r="D215" s="225" t="s">
        <v>678</v>
      </c>
      <c r="E215" s="464">
        <v>0</v>
      </c>
      <c r="F215" s="225" t="s">
        <v>85</v>
      </c>
      <c r="G215" s="371">
        <v>81.599999999999994</v>
      </c>
      <c r="H215" s="237">
        <f t="shared" si="28"/>
        <v>1473.840430213158</v>
      </c>
      <c r="I215" s="96"/>
      <c r="J215" s="257"/>
      <c r="P215" s="325"/>
      <c r="Q215" s="256"/>
    </row>
    <row r="216" spans="1:17" ht="15" customHeight="1" x14ac:dyDescent="0.3">
      <c r="A216" s="238" t="str">
        <f t="shared" ca="1" si="26"/>
        <v>Onshore Oil Production</v>
      </c>
      <c r="B216" s="238" t="str">
        <f ca="1">'Translation Table'!H1602</f>
        <v>Cold Heavy Oil (Active)</v>
      </c>
      <c r="C216" s="516">
        <f t="shared" si="27"/>
        <v>37.026628455109979</v>
      </c>
      <c r="D216" s="225" t="s">
        <v>2068</v>
      </c>
      <c r="E216" s="464">
        <v>2.0500000000000001E-2</v>
      </c>
      <c r="F216" s="225" t="s">
        <v>85</v>
      </c>
      <c r="G216" s="371">
        <v>81.599999999999994</v>
      </c>
      <c r="H216" s="238">
        <f t="shared" si="28"/>
        <v>1473.840430213158</v>
      </c>
      <c r="I216" s="96"/>
      <c r="J216" s="257"/>
      <c r="P216" s="325"/>
      <c r="Q216" s="256"/>
    </row>
    <row r="217" spans="1:17" ht="15" customHeight="1" x14ac:dyDescent="0.3">
      <c r="A217" s="237" t="str">
        <f t="shared" ca="1" si="26"/>
        <v>Onshore Oil Production</v>
      </c>
      <c r="B217" s="237" t="str">
        <f ca="1">'Translation Table'!H1603</f>
        <v>Cold Heavy Oil (Suspended)</v>
      </c>
      <c r="C217" s="298">
        <f t="shared" si="27"/>
        <v>20.048564675693697</v>
      </c>
      <c r="D217" s="225" t="s">
        <v>2069</v>
      </c>
      <c r="E217" s="464">
        <v>1.11E-2</v>
      </c>
      <c r="F217" s="225" t="s">
        <v>85</v>
      </c>
      <c r="G217" s="371">
        <v>81.599999999999994</v>
      </c>
      <c r="H217" s="237">
        <f t="shared" si="28"/>
        <v>1473.840430213158</v>
      </c>
      <c r="I217" s="96"/>
      <c r="J217" s="257"/>
      <c r="P217" s="325"/>
      <c r="Q217" s="256"/>
    </row>
    <row r="218" spans="1:17" ht="15" customHeight="1" x14ac:dyDescent="0.3">
      <c r="A218" s="238" t="str">
        <f t="shared" ca="1" si="26"/>
        <v>Onshore Oil Production</v>
      </c>
      <c r="B218" s="238" t="str">
        <f ca="1">'Translation Table'!H1604</f>
        <v>Crude Bitumen (Active)</v>
      </c>
      <c r="C218" s="516">
        <f t="shared" si="27"/>
        <v>37.026628455109979</v>
      </c>
      <c r="D218" s="225" t="s">
        <v>2070</v>
      </c>
      <c r="E218" s="464">
        <v>2.0500000000000001E-2</v>
      </c>
      <c r="F218" s="225" t="s">
        <v>85</v>
      </c>
      <c r="G218" s="371">
        <v>81.599999999999994</v>
      </c>
      <c r="H218" s="238">
        <f t="shared" si="28"/>
        <v>1473.840430213158</v>
      </c>
      <c r="I218" s="96"/>
      <c r="J218" s="257"/>
      <c r="P218" s="325"/>
      <c r="Q218" s="256"/>
    </row>
    <row r="219" spans="1:17" ht="15" customHeight="1" x14ac:dyDescent="0.3">
      <c r="A219" s="237" t="str">
        <f t="shared" ca="1" si="26"/>
        <v>Onshore Oil Production</v>
      </c>
      <c r="B219" s="237" t="str">
        <f ca="1">'Translation Table'!H1605</f>
        <v>Crude Bitumen (Suspended)</v>
      </c>
      <c r="C219" s="298">
        <f t="shared" si="27"/>
        <v>20.048564675693697</v>
      </c>
      <c r="D219" s="225" t="s">
        <v>2060</v>
      </c>
      <c r="E219" s="464">
        <v>1.11E-2</v>
      </c>
      <c r="F219" s="225" t="s">
        <v>85</v>
      </c>
      <c r="G219" s="371">
        <v>81.599999999999994</v>
      </c>
      <c r="H219" s="237">
        <f t="shared" si="28"/>
        <v>1473.840430213158</v>
      </c>
      <c r="I219" s="96"/>
      <c r="J219" s="257"/>
      <c r="P219" s="325"/>
      <c r="Q219" s="256"/>
    </row>
    <row r="221" spans="1:17" ht="22.5" x14ac:dyDescent="0.45">
      <c r="A221" s="1109" t="str">
        <f ca="1">'Translation Table'!H1606</f>
        <v>Inspection and Maintenance Activities:</v>
      </c>
      <c r="B221" s="1109"/>
    </row>
    <row r="223" spans="1:17" ht="15.5" x14ac:dyDescent="0.3">
      <c r="A223" s="92" t="str">
        <f ca="1">'Translation Table'!H1607</f>
        <v>Industry Segment</v>
      </c>
      <c r="B223" s="92" t="str">
        <f ca="1">'Translation Table'!H1608</f>
        <v>Activity</v>
      </c>
      <c r="C223" s="1095" t="str">
        <f ca="1">'Translation Table'!H1609</f>
        <v>Uncontrolled Emissions Factor</v>
      </c>
      <c r="D223" s="1105"/>
      <c r="E223" s="92" t="str">
        <f ca="1">'Translation Table'!H1610</f>
        <v>Data Source</v>
      </c>
      <c r="F223" s="1094" t="str">
        <f ca="1">'Translation Table'!H1611</f>
        <v>As Reported in the Reference</v>
      </c>
      <c r="G223" s="1094"/>
      <c r="H223" s="1094"/>
      <c r="I223" s="68" t="str">
        <f ca="1">'Translation Table'!H1612</f>
        <v>Conversion Factor</v>
      </c>
      <c r="J223" s="56"/>
      <c r="P223" s="325"/>
      <c r="Q223" s="256"/>
    </row>
    <row r="224" spans="1:17" ht="15.5" x14ac:dyDescent="0.3">
      <c r="A224" s="93"/>
      <c r="B224" s="93"/>
      <c r="C224" s="93" t="str">
        <f ca="1">'Translation Table'!H1613</f>
        <v>Value</v>
      </c>
      <c r="D224" s="93" t="str">
        <f ca="1">'Translation Table'!H1614</f>
        <v>Units of Measure</v>
      </c>
      <c r="E224" s="93"/>
      <c r="F224" s="92" t="str">
        <f ca="1">'Translation Table'!H1615</f>
        <v>CH4</v>
      </c>
      <c r="G224" s="92" t="str">
        <f ca="1">'Translation Table'!H1616</f>
        <v xml:space="preserve">Units of </v>
      </c>
      <c r="H224" s="92" t="str">
        <f ca="1">'Translation Table'!H1617</f>
        <v xml:space="preserve">CH4 Content </v>
      </c>
      <c r="I224" s="92" t="str">
        <f ca="1">'Translation Table'!H1594</f>
        <v>Value</v>
      </c>
      <c r="J224" s="56"/>
      <c r="P224" s="325"/>
      <c r="Q224" s="256"/>
    </row>
    <row r="225" spans="1:17" ht="15.5" x14ac:dyDescent="0.3">
      <c r="A225" s="93"/>
      <c r="B225" s="93"/>
      <c r="C225" s="93"/>
      <c r="D225" s="93"/>
      <c r="E225" s="93"/>
      <c r="F225" s="93" t="str">
        <f ca="1">'Translation Table'!H1591</f>
        <v>EF Value</v>
      </c>
      <c r="G225" s="93" t="str">
        <f ca="1">'Translation Table'!H1597</f>
        <v>Measure</v>
      </c>
      <c r="H225" s="93" t="str">
        <f ca="1">'Translation Table'!H1598</f>
        <v>Basis for Industry Segment</v>
      </c>
      <c r="I225" s="93"/>
      <c r="J225" s="56"/>
      <c r="P225" s="325"/>
      <c r="Q225" s="256"/>
    </row>
    <row r="226" spans="1:17" ht="15.5" x14ac:dyDescent="0.3">
      <c r="A226" s="94"/>
      <c r="B226" s="94"/>
      <c r="C226" s="94"/>
      <c r="D226" s="94"/>
      <c r="E226" s="94"/>
      <c r="F226" s="94"/>
      <c r="G226" s="94"/>
      <c r="H226" s="94" t="str">
        <f ca="1">'Translation Table'!H1624</f>
        <v>(Mol%)</v>
      </c>
      <c r="I226" s="94"/>
      <c r="J226" s="56"/>
      <c r="K226" s="102"/>
      <c r="P226" s="325"/>
      <c r="Q226" s="256"/>
    </row>
    <row r="227" spans="1:17" ht="15" customHeight="1" x14ac:dyDescent="0.3">
      <c r="A227" s="238" t="str">
        <f t="shared" ref="A227:A236" ca="1" si="29">OffshoreOilProduction</f>
        <v>Offshore Oil Production</v>
      </c>
      <c r="B227" s="238" t="str">
        <f ca="1">'Translation Table'!H1625</f>
        <v>Vessel Blowdowns</v>
      </c>
      <c r="C227" s="126">
        <f t="shared" ref="C227:C236" si="30">F227*I227/(H227/100)</f>
        <v>2.8029369289340105</v>
      </c>
      <c r="D227" s="238" t="s">
        <v>340</v>
      </c>
      <c r="E227" s="225" t="s">
        <v>2072</v>
      </c>
      <c r="F227" s="464">
        <v>78</v>
      </c>
      <c r="G227" s="225" t="s">
        <v>96</v>
      </c>
      <c r="H227" s="371">
        <v>78.8</v>
      </c>
      <c r="I227" s="238">
        <f>scf_per_y_source_to_m3_per_y_per_source</f>
        <v>2.8316850000000001E-2</v>
      </c>
      <c r="J227" s="257"/>
      <c r="P227" s="325"/>
      <c r="Q227" s="256"/>
    </row>
    <row r="228" spans="1:17" ht="15" customHeight="1" x14ac:dyDescent="0.3">
      <c r="A228" s="237" t="str">
        <f t="shared" ca="1" si="29"/>
        <v>Offshore Oil Production</v>
      </c>
      <c r="B228" s="237" t="str">
        <f ca="1">'Translation Table'!H1626</f>
        <v>Compressor Starts</v>
      </c>
      <c r="C228" s="671">
        <f t="shared" si="30"/>
        <v>303.39995501269038</v>
      </c>
      <c r="D228" s="237" t="s">
        <v>341</v>
      </c>
      <c r="E228" s="225" t="s">
        <v>2077</v>
      </c>
      <c r="F228" s="464">
        <v>8443</v>
      </c>
      <c r="G228" s="225" t="s">
        <v>97</v>
      </c>
      <c r="H228" s="371">
        <v>78.8</v>
      </c>
      <c r="I228" s="237">
        <f>scf_per_y_source_to_m3_per_y_per_source</f>
        <v>2.8316850000000001E-2</v>
      </c>
      <c r="J228" s="257"/>
      <c r="P228" s="325"/>
      <c r="Q228" s="256"/>
    </row>
    <row r="229" spans="1:17" ht="15" customHeight="1" x14ac:dyDescent="0.3">
      <c r="A229" s="238" t="str">
        <f t="shared" ca="1" si="29"/>
        <v>Offshore Oil Production</v>
      </c>
      <c r="B229" s="238" t="str">
        <f ca="1">'Translation Table'!H1627</f>
        <v>Compressor Blowdowns</v>
      </c>
      <c r="C229" s="126">
        <f t="shared" si="30"/>
        <v>135.61902525380711</v>
      </c>
      <c r="D229" s="238" t="s">
        <v>341</v>
      </c>
      <c r="E229" s="225" t="s">
        <v>2072</v>
      </c>
      <c r="F229" s="464">
        <v>3774</v>
      </c>
      <c r="G229" s="225" t="s">
        <v>97</v>
      </c>
      <c r="H229" s="371">
        <v>78.8</v>
      </c>
      <c r="I229" s="238">
        <f>scf_per_y_source_to_m3_per_y_per_source</f>
        <v>2.8316850000000001E-2</v>
      </c>
      <c r="J229" s="257"/>
      <c r="P229" s="325"/>
      <c r="Q229" s="256"/>
    </row>
    <row r="230" spans="1:17" ht="15" customHeight="1" x14ac:dyDescent="0.3">
      <c r="A230" s="237" t="str">
        <f t="shared" ca="1" si="29"/>
        <v>Offshore Oil Production</v>
      </c>
      <c r="B230" s="237" t="str">
        <f ca="1">'Translation Table'!H1628</f>
        <v>Gas Well Workover (Tubing Maintenance)</v>
      </c>
      <c r="C230" s="671">
        <f t="shared" si="30"/>
        <v>88.184707994923869</v>
      </c>
      <c r="D230" s="237" t="s">
        <v>342</v>
      </c>
      <c r="E230" s="225" t="s">
        <v>2071</v>
      </c>
      <c r="F230" s="464">
        <v>2454</v>
      </c>
      <c r="G230" s="225" t="s">
        <v>98</v>
      </c>
      <c r="H230" s="224">
        <v>78.8</v>
      </c>
      <c r="I230" s="237">
        <f>scf_per_activity_to_m3_per_activity</f>
        <v>2.8316850000000001E-2</v>
      </c>
      <c r="J230" s="257"/>
      <c r="P230" s="325"/>
      <c r="Q230" s="256"/>
    </row>
    <row r="231" spans="1:17" ht="15" customHeight="1" x14ac:dyDescent="0.3">
      <c r="A231" s="238" t="str">
        <f t="shared" ca="1" si="29"/>
        <v>Offshore Oil Production</v>
      </c>
      <c r="B231" s="238" t="str">
        <f ca="1">'Translation Table'!H1629</f>
        <v>Oil Well Workover (Tubing Maintenance)</v>
      </c>
      <c r="C231" s="126">
        <f t="shared" si="30"/>
        <v>3.4497685279187822</v>
      </c>
      <c r="D231" s="238" t="s">
        <v>342</v>
      </c>
      <c r="E231" s="225" t="s">
        <v>2071</v>
      </c>
      <c r="F231" s="464">
        <v>96</v>
      </c>
      <c r="G231" s="225" t="s">
        <v>98</v>
      </c>
      <c r="H231" s="224">
        <v>78.8</v>
      </c>
      <c r="I231" s="238">
        <f>scf_per_activity_to_m3_per_activity</f>
        <v>2.8316850000000001E-2</v>
      </c>
      <c r="J231" s="257"/>
      <c r="P231" s="325"/>
      <c r="Q231" s="256"/>
    </row>
    <row r="232" spans="1:17" ht="15" customHeight="1" x14ac:dyDescent="0.3">
      <c r="A232" s="237" t="str">
        <f t="shared" ca="1" si="29"/>
        <v>Offshore Oil Production</v>
      </c>
      <c r="B232" s="237" t="str">
        <f ca="1">'Translation Table'!H1630</f>
        <v>Gathering Gas Pipeline Blowdowns</v>
      </c>
      <c r="C232" s="671">
        <f t="shared" si="30"/>
        <v>6.8996699582181185</v>
      </c>
      <c r="D232" s="237" t="s">
        <v>343</v>
      </c>
      <c r="E232" s="668" t="s">
        <v>3391</v>
      </c>
      <c r="F232" s="464">
        <v>309</v>
      </c>
      <c r="G232" s="225" t="s">
        <v>100</v>
      </c>
      <c r="H232" s="371">
        <v>78.8</v>
      </c>
      <c r="I232" s="237">
        <f>scf_per_pipeline_mile_to_m3_per_pipeline_km</f>
        <v>1.7595274844905751E-2</v>
      </c>
      <c r="J232" s="257"/>
      <c r="P232" s="325"/>
      <c r="Q232" s="256"/>
    </row>
    <row r="233" spans="1:17" ht="15" customHeight="1" x14ac:dyDescent="0.3">
      <c r="A233" s="238" t="str">
        <f t="shared" ca="1" si="29"/>
        <v>Offshore Oil Production</v>
      </c>
      <c r="B233" s="238" t="str">
        <f ca="1">'Translation Table'!H1631</f>
        <v>Gas Well Completions without Hydraulic Fracturing (Vented)</v>
      </c>
      <c r="C233" s="126">
        <f t="shared" si="30"/>
        <v>3249.9303699725679</v>
      </c>
      <c r="D233" s="238" t="s">
        <v>344</v>
      </c>
      <c r="E233" s="225" t="s">
        <v>2073</v>
      </c>
      <c r="F233" s="464">
        <v>1737.6</v>
      </c>
      <c r="G233" s="225" t="s">
        <v>2733</v>
      </c>
      <c r="H233" s="371">
        <v>78.8</v>
      </c>
      <c r="I233" s="238">
        <f>kgCH4_per_activity_to_m3CH4_per_activity</f>
        <v>1.473840430213158</v>
      </c>
      <c r="J233" s="257"/>
      <c r="P233" s="325"/>
      <c r="Q233" s="256"/>
    </row>
    <row r="234" spans="1:17" ht="15" customHeight="1" x14ac:dyDescent="0.3">
      <c r="A234" s="237" t="str">
        <f t="shared" ca="1" si="29"/>
        <v>Offshore Oil Production</v>
      </c>
      <c r="B234" s="237" t="str">
        <f ca="1">'Translation Table'!H1632</f>
        <v>Oil Well Completions without Hydraulic Fracturing (Vented)</v>
      </c>
      <c r="C234" s="671">
        <f t="shared" si="30"/>
        <v>26.372017850260825</v>
      </c>
      <c r="D234" s="237" t="s">
        <v>344</v>
      </c>
      <c r="E234" s="225" t="s">
        <v>2073</v>
      </c>
      <c r="F234" s="464">
        <v>14.1</v>
      </c>
      <c r="G234" s="225" t="s">
        <v>2733</v>
      </c>
      <c r="H234" s="371">
        <v>78.8</v>
      </c>
      <c r="I234" s="237">
        <f>kgCH4_per_activity_to_m3CH4_per_activity</f>
        <v>1.473840430213158</v>
      </c>
      <c r="J234" s="257"/>
      <c r="P234" s="325"/>
      <c r="Q234" s="256"/>
    </row>
    <row r="235" spans="1:17" ht="15" customHeight="1" x14ac:dyDescent="0.3">
      <c r="A235" s="125" t="str">
        <f ca="1">OffshoreOilProduction</f>
        <v>Offshore Oil Production</v>
      </c>
      <c r="B235" s="238" t="str">
        <f ca="1">'Translation Table'!H1634</f>
        <v>Oil Pump Station Maintenance</v>
      </c>
      <c r="C235" s="126">
        <f t="shared" si="30"/>
        <v>1.3234704014430774</v>
      </c>
      <c r="D235" s="238" t="s">
        <v>345</v>
      </c>
      <c r="E235" s="225" t="s">
        <v>2077</v>
      </c>
      <c r="F235" s="464">
        <v>1.56</v>
      </c>
      <c r="G235" s="225" t="s">
        <v>95</v>
      </c>
      <c r="H235" s="226">
        <v>78.8</v>
      </c>
      <c r="I235" s="238">
        <f>lb_CH4_to_m3_CH4</f>
        <v>0.66852222842124676</v>
      </c>
      <c r="J235" s="257"/>
      <c r="P235" s="325"/>
      <c r="Q235" s="256"/>
    </row>
    <row r="236" spans="1:17" ht="15" customHeight="1" x14ac:dyDescent="0.3">
      <c r="A236" s="237" t="str">
        <f t="shared" ca="1" si="29"/>
        <v>Offshore Oil Production</v>
      </c>
      <c r="B236" s="237" t="str">
        <f ca="1">'Translation Table'!H1637</f>
        <v>Offshore Emergency Shutdown</v>
      </c>
      <c r="C236" s="671">
        <f t="shared" si="30"/>
        <v>9231.2931000000008</v>
      </c>
      <c r="D236" s="237" t="s">
        <v>345</v>
      </c>
      <c r="E236" s="225" t="s">
        <v>2074</v>
      </c>
      <c r="F236" s="464">
        <v>256888</v>
      </c>
      <c r="G236" s="225" t="s">
        <v>2736</v>
      </c>
      <c r="H236" s="371">
        <v>78.8</v>
      </c>
      <c r="I236" s="237">
        <f>scf_per_y_source_to_m3_per_y_per_source</f>
        <v>2.8316850000000001E-2</v>
      </c>
      <c r="J236" s="257"/>
      <c r="P236" s="325"/>
      <c r="Q236" s="256"/>
    </row>
    <row r="237" spans="1:17" ht="15" customHeight="1" x14ac:dyDescent="0.3">
      <c r="A237" s="238" t="str">
        <f t="shared" ref="A237:A244" ca="1" si="31">OffshoreGasProduction</f>
        <v>Offshore Gas Production</v>
      </c>
      <c r="B237" s="238" t="str">
        <f ca="1">'Translation Table'!H1625</f>
        <v>Vessel Blowdowns</v>
      </c>
      <c r="C237" s="126">
        <f t="shared" ref="C237:C244" si="32">F237*I237/(H237/100)</f>
        <v>2.8029369289340105</v>
      </c>
      <c r="D237" s="238" t="s">
        <v>340</v>
      </c>
      <c r="E237" s="225" t="s">
        <v>2072</v>
      </c>
      <c r="F237" s="464">
        <v>78</v>
      </c>
      <c r="G237" s="225" t="s">
        <v>96</v>
      </c>
      <c r="H237" s="371">
        <v>78.8</v>
      </c>
      <c r="I237" s="238">
        <f>scf_per_y_source_to_m3_per_y_per_source</f>
        <v>2.8316850000000001E-2</v>
      </c>
      <c r="J237" s="257"/>
      <c r="P237" s="325"/>
      <c r="Q237" s="256"/>
    </row>
    <row r="238" spans="1:17" ht="15" customHeight="1" x14ac:dyDescent="0.3">
      <c r="A238" s="237" t="str">
        <f t="shared" ca="1" si="31"/>
        <v>Offshore Gas Production</v>
      </c>
      <c r="B238" s="237" t="str">
        <f ca="1">'Translation Table'!H1626</f>
        <v>Compressor Starts</v>
      </c>
      <c r="C238" s="671">
        <f t="shared" si="32"/>
        <v>303.39995501269038</v>
      </c>
      <c r="D238" s="237" t="s">
        <v>341</v>
      </c>
      <c r="E238" s="225" t="s">
        <v>2077</v>
      </c>
      <c r="F238" s="464">
        <v>8443</v>
      </c>
      <c r="G238" s="225" t="s">
        <v>97</v>
      </c>
      <c r="H238" s="371">
        <v>78.8</v>
      </c>
      <c r="I238" s="237">
        <f>scf_per_y_source_to_m3_per_y_per_source</f>
        <v>2.8316850000000001E-2</v>
      </c>
      <c r="J238" s="257"/>
      <c r="P238" s="325"/>
      <c r="Q238" s="256"/>
    </row>
    <row r="239" spans="1:17" ht="15" customHeight="1" x14ac:dyDescent="0.3">
      <c r="A239" s="238" t="str">
        <f t="shared" ca="1" si="31"/>
        <v>Offshore Gas Production</v>
      </c>
      <c r="B239" s="238" t="str">
        <f ca="1">'Translation Table'!H1627</f>
        <v>Compressor Blowdowns</v>
      </c>
      <c r="C239" s="126">
        <f t="shared" si="32"/>
        <v>135.61902525380711</v>
      </c>
      <c r="D239" s="238" t="s">
        <v>341</v>
      </c>
      <c r="E239" s="225" t="s">
        <v>2072</v>
      </c>
      <c r="F239" s="464">
        <v>3774</v>
      </c>
      <c r="G239" s="225" t="s">
        <v>97</v>
      </c>
      <c r="H239" s="371">
        <v>78.8</v>
      </c>
      <c r="I239" s="238">
        <f>scf_per_y_source_to_m3_per_y_per_source</f>
        <v>2.8316850000000001E-2</v>
      </c>
      <c r="J239" s="257"/>
      <c r="P239" s="325"/>
      <c r="Q239" s="256"/>
    </row>
    <row r="240" spans="1:17" ht="15" customHeight="1" x14ac:dyDescent="0.3">
      <c r="A240" s="237" t="str">
        <f t="shared" ca="1" si="31"/>
        <v>Offshore Gas Production</v>
      </c>
      <c r="B240" s="237" t="str">
        <f ca="1">'Translation Table'!H1628</f>
        <v>Gas Well Workover (Tubing Maintenance)</v>
      </c>
      <c r="C240" s="671">
        <f t="shared" si="32"/>
        <v>88.184707994923869</v>
      </c>
      <c r="D240" s="237" t="s">
        <v>342</v>
      </c>
      <c r="E240" s="225" t="s">
        <v>2071</v>
      </c>
      <c r="F240" s="464">
        <v>2454</v>
      </c>
      <c r="G240" s="225" t="s">
        <v>98</v>
      </c>
      <c r="H240" s="224">
        <v>78.8</v>
      </c>
      <c r="I240" s="237">
        <f>scf_per_activity_to_m3_per_activity</f>
        <v>2.8316850000000001E-2</v>
      </c>
      <c r="J240" s="257"/>
      <c r="P240" s="325"/>
      <c r="Q240" s="256"/>
    </row>
    <row r="241" spans="1:17" ht="15" customHeight="1" x14ac:dyDescent="0.3">
      <c r="A241" s="238" t="str">
        <f t="shared" ca="1" si="31"/>
        <v>Offshore Gas Production</v>
      </c>
      <c r="B241" s="238" t="str">
        <f ca="1">'Translation Table'!H1629</f>
        <v>Oil Well Workover (Tubing Maintenance)</v>
      </c>
      <c r="C241" s="126">
        <f t="shared" si="32"/>
        <v>3.4497685279187822</v>
      </c>
      <c r="D241" s="238" t="s">
        <v>342</v>
      </c>
      <c r="E241" s="225" t="s">
        <v>2071</v>
      </c>
      <c r="F241" s="464">
        <v>96</v>
      </c>
      <c r="G241" s="225" t="s">
        <v>98</v>
      </c>
      <c r="H241" s="224">
        <v>78.8</v>
      </c>
      <c r="I241" s="238">
        <f>scf_per_activity_to_m3_per_activity</f>
        <v>2.8316850000000001E-2</v>
      </c>
      <c r="J241" s="257"/>
      <c r="P241" s="325"/>
      <c r="Q241" s="256"/>
    </row>
    <row r="242" spans="1:17" ht="15" customHeight="1" x14ac:dyDescent="0.3">
      <c r="A242" s="237" t="str">
        <f t="shared" ca="1" si="31"/>
        <v>Offshore Gas Production</v>
      </c>
      <c r="B242" s="237" t="str">
        <f ca="1">'Translation Table'!H1630</f>
        <v>Gathering Gas Pipeline Blowdowns</v>
      </c>
      <c r="C242" s="671">
        <f t="shared" si="32"/>
        <v>6.8996699582181185</v>
      </c>
      <c r="D242" s="237" t="s">
        <v>343</v>
      </c>
      <c r="E242" s="668" t="s">
        <v>3391</v>
      </c>
      <c r="F242" s="464">
        <v>309</v>
      </c>
      <c r="G242" s="225" t="s">
        <v>100</v>
      </c>
      <c r="H242" s="371">
        <v>78.8</v>
      </c>
      <c r="I242" s="237">
        <f>scf_per_pipeline_mile_to_m3_per_pipeline_km</f>
        <v>1.7595274844905751E-2</v>
      </c>
      <c r="J242" s="257"/>
      <c r="P242" s="325"/>
      <c r="Q242" s="256"/>
    </row>
    <row r="243" spans="1:17" ht="15" customHeight="1" x14ac:dyDescent="0.3">
      <c r="A243" s="238" t="str">
        <f t="shared" ca="1" si="31"/>
        <v>Offshore Gas Production</v>
      </c>
      <c r="B243" s="238" t="str">
        <f ca="1">'Translation Table'!H1631</f>
        <v>Gas Well Completions without Hydraulic Fracturing (Vented)</v>
      </c>
      <c r="C243" s="126">
        <f t="shared" si="32"/>
        <v>3249.9303699725679</v>
      </c>
      <c r="D243" s="238" t="s">
        <v>344</v>
      </c>
      <c r="E243" s="225" t="s">
        <v>2073</v>
      </c>
      <c r="F243" s="464">
        <v>1737.6</v>
      </c>
      <c r="G243" s="225" t="s">
        <v>2733</v>
      </c>
      <c r="H243" s="371">
        <v>78.8</v>
      </c>
      <c r="I243" s="238">
        <f>kgCH4_per_activity_to_m3CH4_per_activity</f>
        <v>1.473840430213158</v>
      </c>
      <c r="J243" s="257"/>
      <c r="P243" s="325"/>
      <c r="Q243" s="256"/>
    </row>
    <row r="244" spans="1:17" ht="15" customHeight="1" x14ac:dyDescent="0.3">
      <c r="A244" s="237" t="str">
        <f t="shared" ca="1" si="31"/>
        <v>Offshore Gas Production</v>
      </c>
      <c r="B244" s="237" t="str">
        <f ca="1">'Translation Table'!H1632</f>
        <v>Oil Well Completions without Hydraulic Fracturing (Vented)</v>
      </c>
      <c r="C244" s="671">
        <f t="shared" si="32"/>
        <v>26.372017850260825</v>
      </c>
      <c r="D244" s="237" t="s">
        <v>344</v>
      </c>
      <c r="E244" s="225" t="s">
        <v>2073</v>
      </c>
      <c r="F244" s="464">
        <v>14.1</v>
      </c>
      <c r="G244" s="225" t="s">
        <v>2733</v>
      </c>
      <c r="H244" s="371">
        <v>78.8</v>
      </c>
      <c r="I244" s="237">
        <f>kgCH4_per_activity_to_m3CH4_per_activity</f>
        <v>1.473840430213158</v>
      </c>
      <c r="J244" s="257"/>
      <c r="P244" s="325"/>
      <c r="Q244" s="256"/>
    </row>
    <row r="245" spans="1:17" ht="15" customHeight="1" x14ac:dyDescent="0.3">
      <c r="A245" s="238" t="str">
        <f t="shared" ref="A245:A253" ca="1" si="33">OnshoreOilProduction</f>
        <v>Onshore Oil Production</v>
      </c>
      <c r="B245" s="238" t="str">
        <f ca="1">'Translation Table'!H1625</f>
        <v>Vessel Blowdowns</v>
      </c>
      <c r="C245" s="126">
        <f t="shared" ref="C245:C271" si="34">F245*I245/(H245/100)</f>
        <v>2.8029369289340105</v>
      </c>
      <c r="D245" s="238" t="s">
        <v>340</v>
      </c>
      <c r="E245" s="225" t="s">
        <v>2072</v>
      </c>
      <c r="F245" s="464">
        <v>78</v>
      </c>
      <c r="G245" s="225" t="s">
        <v>96</v>
      </c>
      <c r="H245" s="371">
        <v>78.8</v>
      </c>
      <c r="I245" s="237">
        <f>scf_per_y_source_to_m3_per_y_per_source</f>
        <v>2.8316850000000001E-2</v>
      </c>
      <c r="J245" s="257"/>
      <c r="P245" s="325"/>
      <c r="Q245" s="256"/>
    </row>
    <row r="246" spans="1:17" ht="15" customHeight="1" x14ac:dyDescent="0.3">
      <c r="A246" s="237" t="str">
        <f t="shared" ca="1" si="33"/>
        <v>Onshore Oil Production</v>
      </c>
      <c r="B246" s="237" t="str">
        <f ca="1">'Translation Table'!H1626</f>
        <v>Compressor Starts</v>
      </c>
      <c r="C246" s="671">
        <f t="shared" si="34"/>
        <v>303.39995501269038</v>
      </c>
      <c r="D246" s="237" t="s">
        <v>341</v>
      </c>
      <c r="E246" s="225" t="s">
        <v>2077</v>
      </c>
      <c r="F246" s="464">
        <v>8443</v>
      </c>
      <c r="G246" s="225" t="s">
        <v>97</v>
      </c>
      <c r="H246" s="371">
        <v>78.8</v>
      </c>
      <c r="I246" s="238">
        <f>scf_per_y_source_to_m3_per_y_per_source</f>
        <v>2.8316850000000001E-2</v>
      </c>
      <c r="J246" s="257"/>
      <c r="P246" s="325"/>
      <c r="Q246" s="256"/>
    </row>
    <row r="247" spans="1:17" ht="15" customHeight="1" x14ac:dyDescent="0.3">
      <c r="A247" s="238" t="str">
        <f t="shared" ca="1" si="33"/>
        <v>Onshore Oil Production</v>
      </c>
      <c r="B247" s="238" t="str">
        <f ca="1">'Translation Table'!H1627</f>
        <v>Compressor Blowdowns</v>
      </c>
      <c r="C247" s="126">
        <f t="shared" si="34"/>
        <v>135.61902525380711</v>
      </c>
      <c r="D247" s="238" t="s">
        <v>341</v>
      </c>
      <c r="E247" s="225" t="s">
        <v>2072</v>
      </c>
      <c r="F247" s="464">
        <v>3774</v>
      </c>
      <c r="G247" s="225" t="s">
        <v>97</v>
      </c>
      <c r="H247" s="371">
        <v>78.8</v>
      </c>
      <c r="I247" s="237">
        <f>scf_per_y_source_to_m3_per_y_per_source</f>
        <v>2.8316850000000001E-2</v>
      </c>
      <c r="J247" s="257"/>
      <c r="P247" s="325"/>
      <c r="Q247" s="256"/>
    </row>
    <row r="248" spans="1:17" ht="15" customHeight="1" x14ac:dyDescent="0.3">
      <c r="A248" s="237" t="str">
        <f t="shared" ca="1" si="33"/>
        <v>Onshore Oil Production</v>
      </c>
      <c r="B248" s="237" t="str">
        <f ca="1">'Translation Table'!H1628</f>
        <v>Gas Well Workover (Tubing Maintenance)</v>
      </c>
      <c r="C248" s="671">
        <f t="shared" si="34"/>
        <v>88.184707994923869</v>
      </c>
      <c r="D248" s="237" t="s">
        <v>342</v>
      </c>
      <c r="E248" s="225" t="s">
        <v>2071</v>
      </c>
      <c r="F248" s="464">
        <v>2454</v>
      </c>
      <c r="G248" s="225" t="s">
        <v>98</v>
      </c>
      <c r="H248" s="224">
        <v>78.8</v>
      </c>
      <c r="I248" s="238">
        <f>scf_per_activity_to_m3_per_activity</f>
        <v>2.8316850000000001E-2</v>
      </c>
      <c r="J248" s="257"/>
      <c r="P248" s="325"/>
      <c r="Q248" s="256"/>
    </row>
    <row r="249" spans="1:17" ht="15" customHeight="1" x14ac:dyDescent="0.3">
      <c r="A249" s="238" t="str">
        <f t="shared" ca="1" si="33"/>
        <v>Onshore Oil Production</v>
      </c>
      <c r="B249" s="238" t="str">
        <f ca="1">'Translation Table'!H1629</f>
        <v>Oil Well Workover (Tubing Maintenance)</v>
      </c>
      <c r="C249" s="126">
        <f t="shared" si="34"/>
        <v>3.4497685279187822</v>
      </c>
      <c r="D249" s="238" t="s">
        <v>342</v>
      </c>
      <c r="E249" s="225" t="s">
        <v>2071</v>
      </c>
      <c r="F249" s="464">
        <v>96</v>
      </c>
      <c r="G249" s="225" t="s">
        <v>98</v>
      </c>
      <c r="H249" s="224">
        <v>78.8</v>
      </c>
      <c r="I249" s="237">
        <f>scf_per_activity_to_m3_per_activity</f>
        <v>2.8316850000000001E-2</v>
      </c>
      <c r="J249" s="257"/>
      <c r="P249" s="325"/>
      <c r="Q249" s="256"/>
    </row>
    <row r="250" spans="1:17" ht="15" customHeight="1" x14ac:dyDescent="0.3">
      <c r="A250" s="237" t="str">
        <f t="shared" ca="1" si="33"/>
        <v>Onshore Oil Production</v>
      </c>
      <c r="B250" s="237" t="str">
        <f ca="1">'Translation Table'!H1630</f>
        <v>Gathering Gas Pipeline Blowdowns</v>
      </c>
      <c r="C250" s="671">
        <f t="shared" si="34"/>
        <v>6.8996699582181185</v>
      </c>
      <c r="D250" s="237" t="s">
        <v>343</v>
      </c>
      <c r="E250" s="225" t="s">
        <v>2072</v>
      </c>
      <c r="F250" s="464">
        <v>309</v>
      </c>
      <c r="G250" s="225" t="s">
        <v>100</v>
      </c>
      <c r="H250" s="371">
        <v>78.8</v>
      </c>
      <c r="I250" s="238">
        <f>scf_per_pipeline_mile_to_m3_per_pipeline_km</f>
        <v>1.7595274844905751E-2</v>
      </c>
      <c r="J250" s="257"/>
      <c r="P250" s="325"/>
      <c r="Q250" s="256"/>
    </row>
    <row r="251" spans="1:17" ht="15" customHeight="1" x14ac:dyDescent="0.3">
      <c r="A251" s="238" t="str">
        <f t="shared" ca="1" si="33"/>
        <v>Onshore Oil Production</v>
      </c>
      <c r="B251" s="238" t="str">
        <f ca="1">'Translation Table'!H1631</f>
        <v>Gas Well Completions without Hydraulic Fracturing (Vented)</v>
      </c>
      <c r="C251" s="126">
        <f t="shared" si="34"/>
        <v>3249.9303699725679</v>
      </c>
      <c r="D251" s="238" t="s">
        <v>344</v>
      </c>
      <c r="E251" s="225" t="s">
        <v>2073</v>
      </c>
      <c r="F251" s="464">
        <v>1737.6</v>
      </c>
      <c r="G251" s="225" t="s">
        <v>2733</v>
      </c>
      <c r="H251" s="371">
        <v>78.8</v>
      </c>
      <c r="I251" s="237">
        <f>kgCH4_per_activity_to_m3CH4_per_activity</f>
        <v>1.473840430213158</v>
      </c>
      <c r="J251" s="257"/>
      <c r="P251" s="325"/>
      <c r="Q251" s="256"/>
    </row>
    <row r="252" spans="1:17" ht="15" customHeight="1" x14ac:dyDescent="0.3">
      <c r="A252" s="237" t="str">
        <f t="shared" ca="1" si="33"/>
        <v>Onshore Oil Production</v>
      </c>
      <c r="B252" s="237" t="str">
        <f ca="1">'Translation Table'!H1632</f>
        <v>Oil Well Completions without Hydraulic Fracturing (Vented)</v>
      </c>
      <c r="C252" s="671">
        <f t="shared" si="34"/>
        <v>26.372017850260825</v>
      </c>
      <c r="D252" s="237" t="s">
        <v>344</v>
      </c>
      <c r="E252" s="225" t="s">
        <v>2073</v>
      </c>
      <c r="F252" s="464">
        <v>14.1</v>
      </c>
      <c r="G252" s="225" t="s">
        <v>2733</v>
      </c>
      <c r="H252" s="371">
        <v>78.8</v>
      </c>
      <c r="I252" s="238">
        <f>kgCH4_per_activity_to_m3CH4_per_activity</f>
        <v>1.473840430213158</v>
      </c>
      <c r="J252" s="257"/>
      <c r="P252" s="325"/>
      <c r="Q252" s="256"/>
    </row>
    <row r="253" spans="1:17" ht="15" customHeight="1" x14ac:dyDescent="0.3">
      <c r="A253" s="125" t="str">
        <f t="shared" ca="1" si="33"/>
        <v>Onshore Oil Production</v>
      </c>
      <c r="B253" s="238" t="str">
        <f ca="1">'Translation Table'!H1634</f>
        <v>Oil Pump Station Maintenance</v>
      </c>
      <c r="C253" s="126">
        <f t="shared" si="34"/>
        <v>1.3234704014430774</v>
      </c>
      <c r="D253" s="238" t="s">
        <v>345</v>
      </c>
      <c r="E253" s="225" t="s">
        <v>2077</v>
      </c>
      <c r="F253" s="464">
        <v>1.56</v>
      </c>
      <c r="G253" s="225" t="s">
        <v>95</v>
      </c>
      <c r="H253" s="226">
        <v>78.8</v>
      </c>
      <c r="I253" s="237">
        <f>lb_CH4_to_m3_CH4</f>
        <v>0.66852222842124676</v>
      </c>
      <c r="J253" s="257"/>
      <c r="P253" s="325"/>
      <c r="Q253" s="256"/>
    </row>
    <row r="254" spans="1:17" ht="15" customHeight="1" x14ac:dyDescent="0.3">
      <c r="A254" s="237" t="str">
        <f t="shared" ref="A254:A262" ca="1" si="35">OnshoreGasProduction</f>
        <v>Onshore Gas Production</v>
      </c>
      <c r="B254" s="237" t="str">
        <f ca="1">'Translation Table'!H1625</f>
        <v>Vessel Blowdowns</v>
      </c>
      <c r="C254" s="671">
        <f t="shared" ref="C254:C262" si="36">F254*I254/(H254/100)</f>
        <v>2.8029369289340105</v>
      </c>
      <c r="D254" s="237" t="s">
        <v>340</v>
      </c>
      <c r="E254" s="225" t="s">
        <v>2072</v>
      </c>
      <c r="F254" s="464">
        <v>78</v>
      </c>
      <c r="G254" s="225" t="s">
        <v>96</v>
      </c>
      <c r="H254" s="371">
        <v>78.8</v>
      </c>
      <c r="I254" s="238">
        <f>scf_per_y_source_to_m3_per_y_per_source</f>
        <v>2.8316850000000001E-2</v>
      </c>
      <c r="J254" s="257"/>
      <c r="P254" s="325"/>
      <c r="Q254" s="256"/>
    </row>
    <row r="255" spans="1:17" ht="15" customHeight="1" x14ac:dyDescent="0.3">
      <c r="A255" s="238" t="str">
        <f t="shared" ca="1" si="35"/>
        <v>Onshore Gas Production</v>
      </c>
      <c r="B255" s="238" t="str">
        <f ca="1">'Translation Table'!H1626</f>
        <v>Compressor Starts</v>
      </c>
      <c r="C255" s="126">
        <f t="shared" si="36"/>
        <v>303.39995501269038</v>
      </c>
      <c r="D255" s="238" t="s">
        <v>341</v>
      </c>
      <c r="E255" s="225" t="s">
        <v>2077</v>
      </c>
      <c r="F255" s="464">
        <v>8443</v>
      </c>
      <c r="G255" s="225" t="s">
        <v>97</v>
      </c>
      <c r="H255" s="371">
        <v>78.8</v>
      </c>
      <c r="I255" s="237">
        <f>scf_per_y_source_to_m3_per_y_per_source</f>
        <v>2.8316850000000001E-2</v>
      </c>
      <c r="J255" s="257"/>
      <c r="P255" s="325"/>
      <c r="Q255" s="256"/>
    </row>
    <row r="256" spans="1:17" ht="15" customHeight="1" x14ac:dyDescent="0.3">
      <c r="A256" s="237" t="str">
        <f t="shared" ca="1" si="35"/>
        <v>Onshore Gas Production</v>
      </c>
      <c r="B256" s="237" t="str">
        <f ca="1">'Translation Table'!H1627</f>
        <v>Compressor Blowdowns</v>
      </c>
      <c r="C256" s="671">
        <f t="shared" si="36"/>
        <v>135.61902525380711</v>
      </c>
      <c r="D256" s="237" t="s">
        <v>341</v>
      </c>
      <c r="E256" s="225" t="s">
        <v>2072</v>
      </c>
      <c r="F256" s="464">
        <v>3774</v>
      </c>
      <c r="G256" s="225" t="s">
        <v>97</v>
      </c>
      <c r="H256" s="371">
        <v>78.8</v>
      </c>
      <c r="I256" s="238">
        <f>scf_per_y_source_to_m3_per_y_per_source</f>
        <v>2.8316850000000001E-2</v>
      </c>
      <c r="J256" s="257"/>
      <c r="P256" s="325"/>
      <c r="Q256" s="256"/>
    </row>
    <row r="257" spans="1:17" ht="15" customHeight="1" x14ac:dyDescent="0.3">
      <c r="A257" s="238" t="str">
        <f t="shared" ca="1" si="35"/>
        <v>Onshore Gas Production</v>
      </c>
      <c r="B257" s="238" t="str">
        <f ca="1">'Translation Table'!H1628</f>
        <v>Gas Well Workover (Tubing Maintenance)</v>
      </c>
      <c r="C257" s="126">
        <f t="shared" si="36"/>
        <v>88.184707994923869</v>
      </c>
      <c r="D257" s="238" t="s">
        <v>342</v>
      </c>
      <c r="E257" s="225" t="s">
        <v>2071</v>
      </c>
      <c r="F257" s="464">
        <v>2454</v>
      </c>
      <c r="G257" s="225" t="s">
        <v>98</v>
      </c>
      <c r="H257" s="224">
        <v>78.8</v>
      </c>
      <c r="I257" s="237">
        <f>scf_per_activity_to_m3_per_activity</f>
        <v>2.8316850000000001E-2</v>
      </c>
      <c r="J257" s="257"/>
      <c r="P257" s="325"/>
      <c r="Q257" s="256"/>
    </row>
    <row r="258" spans="1:17" ht="15" customHeight="1" x14ac:dyDescent="0.3">
      <c r="A258" s="237" t="str">
        <f t="shared" ca="1" si="35"/>
        <v>Onshore Gas Production</v>
      </c>
      <c r="B258" s="237" t="str">
        <f ca="1">'Translation Table'!H1629</f>
        <v>Oil Well Workover (Tubing Maintenance)</v>
      </c>
      <c r="C258" s="671">
        <f t="shared" si="36"/>
        <v>3.4497685279187822</v>
      </c>
      <c r="D258" s="237" t="s">
        <v>342</v>
      </c>
      <c r="E258" s="225" t="s">
        <v>2071</v>
      </c>
      <c r="F258" s="464">
        <v>96</v>
      </c>
      <c r="G258" s="225" t="s">
        <v>98</v>
      </c>
      <c r="H258" s="224">
        <v>78.8</v>
      </c>
      <c r="I258" s="238">
        <f>scf_per_activity_to_m3_per_activity</f>
        <v>2.8316850000000001E-2</v>
      </c>
      <c r="J258" s="257"/>
      <c r="P258" s="325"/>
      <c r="Q258" s="256"/>
    </row>
    <row r="259" spans="1:17" ht="15" customHeight="1" x14ac:dyDescent="0.3">
      <c r="A259" s="238" t="str">
        <f t="shared" ca="1" si="35"/>
        <v>Onshore Gas Production</v>
      </c>
      <c r="B259" s="238" t="str">
        <f ca="1">'Translation Table'!H1630</f>
        <v>Gathering Gas Pipeline Blowdowns</v>
      </c>
      <c r="C259" s="126">
        <f t="shared" si="36"/>
        <v>6.8996699582181185</v>
      </c>
      <c r="D259" s="238" t="s">
        <v>343</v>
      </c>
      <c r="E259" s="225" t="s">
        <v>2072</v>
      </c>
      <c r="F259" s="464">
        <v>309</v>
      </c>
      <c r="G259" s="225" t="s">
        <v>100</v>
      </c>
      <c r="H259" s="371">
        <v>78.8</v>
      </c>
      <c r="I259" s="237">
        <f>scf_per_pipeline_mile_to_m3_per_pipeline_km</f>
        <v>1.7595274844905751E-2</v>
      </c>
      <c r="J259" s="257"/>
      <c r="P259" s="325"/>
      <c r="Q259" s="256"/>
    </row>
    <row r="260" spans="1:17" ht="15" customHeight="1" x14ac:dyDescent="0.3">
      <c r="A260" s="237" t="str">
        <f t="shared" ca="1" si="35"/>
        <v>Onshore Gas Production</v>
      </c>
      <c r="B260" s="237" t="str">
        <f ca="1">'Translation Table'!H1631</f>
        <v>Gas Well Completions without Hydraulic Fracturing (Vented)</v>
      </c>
      <c r="C260" s="671">
        <f t="shared" si="36"/>
        <v>3249.9303699725679</v>
      </c>
      <c r="D260" s="237" t="s">
        <v>344</v>
      </c>
      <c r="E260" s="225" t="s">
        <v>2073</v>
      </c>
      <c r="F260" s="464">
        <v>1737.6</v>
      </c>
      <c r="G260" s="225" t="s">
        <v>2733</v>
      </c>
      <c r="H260" s="371">
        <v>78.8</v>
      </c>
      <c r="I260" s="238">
        <f>kgCH4_per_activity_to_m3CH4_per_activity</f>
        <v>1.473840430213158</v>
      </c>
      <c r="J260" s="257"/>
      <c r="P260" s="325"/>
      <c r="Q260" s="256"/>
    </row>
    <row r="261" spans="1:17" ht="15" customHeight="1" x14ac:dyDescent="0.3">
      <c r="A261" s="238" t="str">
        <f t="shared" ca="1" si="35"/>
        <v>Onshore Gas Production</v>
      </c>
      <c r="B261" s="238" t="str">
        <f ca="1">'Translation Table'!H1632</f>
        <v>Oil Well Completions without Hydraulic Fracturing (Vented)</v>
      </c>
      <c r="C261" s="126">
        <f t="shared" si="36"/>
        <v>26.372017850260825</v>
      </c>
      <c r="D261" s="238" t="s">
        <v>344</v>
      </c>
      <c r="E261" s="225" t="s">
        <v>2073</v>
      </c>
      <c r="F261" s="464">
        <v>14.1</v>
      </c>
      <c r="G261" s="225" t="s">
        <v>2733</v>
      </c>
      <c r="H261" s="371">
        <v>78.8</v>
      </c>
      <c r="I261" s="237">
        <f>kgCH4_per_activity_to_m3CH4_per_activity</f>
        <v>1.473840430213158</v>
      </c>
      <c r="J261" s="257"/>
      <c r="P261" s="325"/>
      <c r="Q261" s="256"/>
    </row>
    <row r="262" spans="1:17" ht="15" customHeight="1" x14ac:dyDescent="0.3">
      <c r="A262" s="109" t="str">
        <f t="shared" ca="1" si="35"/>
        <v>Onshore Gas Production</v>
      </c>
      <c r="B262" s="237" t="str">
        <f ca="1">'Translation Table'!H1636</f>
        <v>Gas Gathering Pipeline Mishaps (Dig-ins)</v>
      </c>
      <c r="C262" s="671">
        <f t="shared" si="36"/>
        <v>14.938120394977091</v>
      </c>
      <c r="D262" s="237" t="s">
        <v>343</v>
      </c>
      <c r="E262" s="225" t="s">
        <v>2077</v>
      </c>
      <c r="F262" s="464">
        <v>669</v>
      </c>
      <c r="G262" s="225" t="s">
        <v>100</v>
      </c>
      <c r="H262" s="371">
        <v>78.8</v>
      </c>
      <c r="I262" s="238">
        <f>scf_per_pipeline_mile_to_m3_per_pipeline_km</f>
        <v>1.7595274844905751E-2</v>
      </c>
      <c r="J262" s="257"/>
      <c r="P262" s="325"/>
      <c r="Q262" s="256"/>
    </row>
    <row r="263" spans="1:17" ht="15" customHeight="1" x14ac:dyDescent="0.3">
      <c r="A263" s="238" t="str">
        <f t="shared" ref="A263:A271" ca="1" si="37">GasProcessing</f>
        <v>Gas Processing</v>
      </c>
      <c r="B263" s="238" t="str">
        <f ca="1">'Translation Table'!H1625</f>
        <v>Vessel Blowdowns</v>
      </c>
      <c r="C263" s="126">
        <f t="shared" si="34"/>
        <v>2.8029369289340105</v>
      </c>
      <c r="D263" s="238" t="s">
        <v>340</v>
      </c>
      <c r="E263" s="225" t="s">
        <v>2072</v>
      </c>
      <c r="F263" s="464">
        <v>78</v>
      </c>
      <c r="G263" s="225" t="s">
        <v>96</v>
      </c>
      <c r="H263" s="371">
        <v>78.8</v>
      </c>
      <c r="I263" s="237">
        <f>scf_per_y_source_to_m3_per_y_per_source</f>
        <v>2.8316850000000001E-2</v>
      </c>
      <c r="J263" s="257"/>
      <c r="P263" s="325"/>
      <c r="Q263" s="256"/>
    </row>
    <row r="264" spans="1:17" ht="15" customHeight="1" x14ac:dyDescent="0.3">
      <c r="A264" s="237" t="str">
        <f t="shared" ca="1" si="37"/>
        <v>Gas Processing</v>
      </c>
      <c r="B264" s="237" t="str">
        <f ca="1">'Translation Table'!H1626</f>
        <v>Compressor Starts</v>
      </c>
      <c r="C264" s="671">
        <f t="shared" si="34"/>
        <v>303.39995501269038</v>
      </c>
      <c r="D264" s="237" t="s">
        <v>341</v>
      </c>
      <c r="E264" s="225" t="s">
        <v>2077</v>
      </c>
      <c r="F264" s="464">
        <v>8443</v>
      </c>
      <c r="G264" s="225" t="s">
        <v>97</v>
      </c>
      <c r="H264" s="371">
        <v>78.8</v>
      </c>
      <c r="I264" s="238">
        <f>scf_per_y_source_to_m3_per_y_per_source</f>
        <v>2.8316850000000001E-2</v>
      </c>
      <c r="J264" s="257"/>
      <c r="P264" s="325"/>
      <c r="Q264" s="256"/>
    </row>
    <row r="265" spans="1:17" ht="15" customHeight="1" x14ac:dyDescent="0.3">
      <c r="A265" s="238" t="str">
        <f t="shared" ca="1" si="37"/>
        <v>Gas Processing</v>
      </c>
      <c r="B265" s="238" t="str">
        <f ca="1">'Translation Table'!H1627</f>
        <v>Compressor Blowdowns</v>
      </c>
      <c r="C265" s="126">
        <f t="shared" si="34"/>
        <v>135.61902525380711</v>
      </c>
      <c r="D265" s="238" t="s">
        <v>341</v>
      </c>
      <c r="E265" s="225" t="s">
        <v>2072</v>
      </c>
      <c r="F265" s="464">
        <v>3774</v>
      </c>
      <c r="G265" s="225" t="s">
        <v>97</v>
      </c>
      <c r="H265" s="371">
        <v>78.8</v>
      </c>
      <c r="I265" s="237">
        <f>scf_per_y_source_to_m3_per_y_per_source</f>
        <v>2.8316850000000001E-2</v>
      </c>
      <c r="J265" s="257"/>
      <c r="P265" s="325"/>
      <c r="Q265" s="256"/>
    </row>
    <row r="266" spans="1:17" ht="15" customHeight="1" x14ac:dyDescent="0.3">
      <c r="A266" s="237" t="str">
        <f t="shared" ca="1" si="37"/>
        <v>Gas Processing</v>
      </c>
      <c r="B266" s="237" t="str">
        <f ca="1">'Translation Table'!H1628</f>
        <v>Gas Well Workover (Tubing Maintenance)</v>
      </c>
      <c r="C266" s="671">
        <f t="shared" si="34"/>
        <v>88.184707994923869</v>
      </c>
      <c r="D266" s="237" t="s">
        <v>342</v>
      </c>
      <c r="E266" s="225" t="s">
        <v>2071</v>
      </c>
      <c r="F266" s="464">
        <v>2454</v>
      </c>
      <c r="G266" s="225" t="s">
        <v>98</v>
      </c>
      <c r="H266" s="224">
        <v>78.8</v>
      </c>
      <c r="I266" s="238">
        <f>scf_per_activity_to_m3_per_activity</f>
        <v>2.8316850000000001E-2</v>
      </c>
      <c r="J266" s="257"/>
      <c r="P266" s="325"/>
      <c r="Q266" s="256"/>
    </row>
    <row r="267" spans="1:17" ht="15" customHeight="1" x14ac:dyDescent="0.3">
      <c r="A267" s="238" t="str">
        <f t="shared" ca="1" si="37"/>
        <v>Gas Processing</v>
      </c>
      <c r="B267" s="238" t="str">
        <f ca="1">'Translation Table'!H1629</f>
        <v>Oil Well Workover (Tubing Maintenance)</v>
      </c>
      <c r="C267" s="126">
        <f t="shared" si="34"/>
        <v>3.4497685279187822</v>
      </c>
      <c r="D267" s="238" t="s">
        <v>342</v>
      </c>
      <c r="E267" s="225" t="s">
        <v>2071</v>
      </c>
      <c r="F267" s="464">
        <v>96</v>
      </c>
      <c r="G267" s="225" t="s">
        <v>98</v>
      </c>
      <c r="H267" s="224">
        <v>78.8</v>
      </c>
      <c r="I267" s="237">
        <f>scf_per_activity_to_m3_per_activity</f>
        <v>2.8316850000000001E-2</v>
      </c>
      <c r="J267" s="257"/>
      <c r="P267" s="325"/>
      <c r="Q267" s="256"/>
    </row>
    <row r="268" spans="1:17" ht="15" customHeight="1" x14ac:dyDescent="0.3">
      <c r="A268" s="237" t="str">
        <f t="shared" ca="1" si="37"/>
        <v>Gas Processing</v>
      </c>
      <c r="B268" s="237" t="str">
        <f ca="1">'Translation Table'!H1630</f>
        <v>Gathering Gas Pipeline Blowdowns</v>
      </c>
      <c r="C268" s="671">
        <f t="shared" si="34"/>
        <v>6.8996699582181185</v>
      </c>
      <c r="D268" s="237" t="s">
        <v>343</v>
      </c>
      <c r="E268" s="225" t="s">
        <v>2072</v>
      </c>
      <c r="F268" s="464">
        <v>309</v>
      </c>
      <c r="G268" s="225" t="s">
        <v>100</v>
      </c>
      <c r="H268" s="371">
        <v>78.8</v>
      </c>
      <c r="I268" s="238">
        <f>scf_per_pipeline_mile_to_m3_per_pipeline_km</f>
        <v>1.7595274844905751E-2</v>
      </c>
      <c r="J268" s="257"/>
      <c r="P268" s="325"/>
      <c r="Q268" s="256"/>
    </row>
    <row r="269" spans="1:17" ht="15" customHeight="1" x14ac:dyDescent="0.3">
      <c r="A269" s="238" t="str">
        <f t="shared" ca="1" si="37"/>
        <v>Gas Processing</v>
      </c>
      <c r="B269" s="238" t="str">
        <f ca="1">'Translation Table'!H1631</f>
        <v>Gas Well Completions without Hydraulic Fracturing (Vented)</v>
      </c>
      <c r="C269" s="126">
        <f t="shared" si="34"/>
        <v>3249.9303699725679</v>
      </c>
      <c r="D269" s="238" t="s">
        <v>344</v>
      </c>
      <c r="E269" s="225" t="s">
        <v>2073</v>
      </c>
      <c r="F269" s="464">
        <v>1737.6</v>
      </c>
      <c r="G269" s="225" t="s">
        <v>2733</v>
      </c>
      <c r="H269" s="371">
        <v>78.8</v>
      </c>
      <c r="I269" s="237">
        <f>kgCH4_per_activity_to_m3CH4_per_activity</f>
        <v>1.473840430213158</v>
      </c>
      <c r="J269" s="257"/>
      <c r="P269" s="325"/>
      <c r="Q269" s="256"/>
    </row>
    <row r="270" spans="1:17" ht="15" customHeight="1" x14ac:dyDescent="0.3">
      <c r="A270" s="237" t="str">
        <f t="shared" ca="1" si="37"/>
        <v>Gas Processing</v>
      </c>
      <c r="B270" s="237" t="str">
        <f ca="1">'Translation Table'!H1632</f>
        <v>Oil Well Completions without Hydraulic Fracturing (Vented)</v>
      </c>
      <c r="C270" s="671">
        <f t="shared" si="34"/>
        <v>26.372017850260825</v>
      </c>
      <c r="D270" s="237" t="s">
        <v>344</v>
      </c>
      <c r="E270" s="225" t="s">
        <v>2073</v>
      </c>
      <c r="F270" s="464">
        <v>14.1</v>
      </c>
      <c r="G270" s="225" t="s">
        <v>2733</v>
      </c>
      <c r="H270" s="371">
        <v>78.8</v>
      </c>
      <c r="I270" s="238">
        <f>kgCH4_per_activity_to_m3CH4_per_activity</f>
        <v>1.473840430213158</v>
      </c>
      <c r="J270" s="257"/>
      <c r="P270" s="325"/>
      <c r="Q270" s="256"/>
    </row>
    <row r="271" spans="1:17" ht="15" customHeight="1" x14ac:dyDescent="0.3">
      <c r="A271" s="238" t="str">
        <f t="shared" ca="1" si="37"/>
        <v>Gas Processing</v>
      </c>
      <c r="B271" s="238" t="str">
        <f ca="1">'Translation Table'!H1638</f>
        <v>Non-routine Activities</v>
      </c>
      <c r="C271" s="126">
        <f t="shared" si="34"/>
        <v>211.9815668202765</v>
      </c>
      <c r="D271" s="238" t="s">
        <v>2511</v>
      </c>
      <c r="E271" s="225" t="s">
        <v>2075</v>
      </c>
      <c r="F271" s="464">
        <v>184</v>
      </c>
      <c r="G271" s="225" t="s">
        <v>2512</v>
      </c>
      <c r="H271" s="371">
        <v>86.8</v>
      </c>
      <c r="I271" s="237">
        <f>scf_per_E6scf_to_m3_per_E6m3</f>
        <v>1</v>
      </c>
      <c r="J271" s="257"/>
      <c r="P271" s="325"/>
      <c r="Q271" s="256"/>
    </row>
    <row r="272" spans="1:17" ht="15" customHeight="1" x14ac:dyDescent="0.3">
      <c r="A272" s="237" t="str">
        <f ca="1">GasTransmission</f>
        <v>Gas Transmission</v>
      </c>
      <c r="B272" s="237" t="str">
        <f ca="1">'Translation Table'!H1625</f>
        <v>Vessel Blowdowns</v>
      </c>
      <c r="C272" s="671">
        <f t="shared" ref="C272:C294" si="38">F272*I272/(H272/100)</f>
        <v>2.8029369289340105</v>
      </c>
      <c r="D272" s="237" t="s">
        <v>340</v>
      </c>
      <c r="E272" s="668" t="s">
        <v>3391</v>
      </c>
      <c r="F272" s="464">
        <v>78</v>
      </c>
      <c r="G272" s="225" t="s">
        <v>96</v>
      </c>
      <c r="H272" s="371">
        <v>78.8</v>
      </c>
      <c r="I272" s="238">
        <f t="shared" ref="I272:I278" si="39">scf_per_y_source_to_m3_per_y_per_source</f>
        <v>2.8316850000000001E-2</v>
      </c>
      <c r="J272" s="257"/>
      <c r="P272" s="325"/>
      <c r="Q272" s="256"/>
    </row>
    <row r="273" spans="1:17" ht="15" customHeight="1" x14ac:dyDescent="0.3">
      <c r="A273" s="238" t="str">
        <f t="shared" ref="A273:A279" ca="1" si="40">GasTransmission</f>
        <v>Gas Transmission</v>
      </c>
      <c r="B273" s="238" t="str">
        <f ca="1">'Translation Table'!H1626</f>
        <v>Compressor Starts</v>
      </c>
      <c r="C273" s="126">
        <f t="shared" si="38"/>
        <v>303.39995501269038</v>
      </c>
      <c r="D273" s="238" t="s">
        <v>341</v>
      </c>
      <c r="E273" s="668" t="s">
        <v>3392</v>
      </c>
      <c r="F273" s="464">
        <v>8443</v>
      </c>
      <c r="G273" s="225" t="s">
        <v>97</v>
      </c>
      <c r="H273" s="371">
        <v>78.8</v>
      </c>
      <c r="I273" s="237">
        <f t="shared" si="39"/>
        <v>2.8316850000000001E-2</v>
      </c>
      <c r="J273" s="257"/>
      <c r="P273" s="325"/>
      <c r="Q273" s="256"/>
    </row>
    <row r="274" spans="1:17" ht="15" customHeight="1" x14ac:dyDescent="0.3">
      <c r="A274" s="237" t="str">
        <f t="shared" ca="1" si="40"/>
        <v>Gas Transmission</v>
      </c>
      <c r="B274" s="237" t="str">
        <f ca="1">'Translation Table'!H1627</f>
        <v>Compressor Blowdowns</v>
      </c>
      <c r="C274" s="671">
        <f t="shared" si="38"/>
        <v>135.61902525380711</v>
      </c>
      <c r="D274" s="237" t="s">
        <v>341</v>
      </c>
      <c r="E274" s="668" t="s">
        <v>3391</v>
      </c>
      <c r="F274" s="464">
        <v>3774</v>
      </c>
      <c r="G274" s="225" t="s">
        <v>97</v>
      </c>
      <c r="H274" s="371">
        <v>78.8</v>
      </c>
      <c r="I274" s="238">
        <f t="shared" si="39"/>
        <v>2.8316850000000001E-2</v>
      </c>
      <c r="J274" s="257"/>
      <c r="P274" s="325"/>
      <c r="Q274" s="256"/>
    </row>
    <row r="275" spans="1:17" ht="15" customHeight="1" x14ac:dyDescent="0.3">
      <c r="A275" s="452" t="str">
        <f t="shared" ca="1" si="40"/>
        <v>Gas Transmission</v>
      </c>
      <c r="B275" s="238" t="str">
        <f ca="1">'Translation Table'!H1643</f>
        <v>PRV Lifts</v>
      </c>
      <c r="C275" s="126">
        <f t="shared" si="38"/>
        <v>5821.0226980728057</v>
      </c>
      <c r="D275" s="238" t="s">
        <v>345</v>
      </c>
      <c r="E275" s="225" t="s">
        <v>2076</v>
      </c>
      <c r="F275" s="464">
        <v>192000</v>
      </c>
      <c r="G275" s="225" t="s">
        <v>122</v>
      </c>
      <c r="H275" s="371">
        <v>93.4</v>
      </c>
      <c r="I275" s="237">
        <f t="shared" si="39"/>
        <v>2.8316850000000001E-2</v>
      </c>
      <c r="J275" s="257"/>
      <c r="P275" s="325"/>
      <c r="Q275" s="256"/>
    </row>
    <row r="276" spans="1:17" ht="15" customHeight="1" x14ac:dyDescent="0.3">
      <c r="A276" s="237" t="str">
        <f t="shared" ca="1" si="40"/>
        <v>Gas Transmission</v>
      </c>
      <c r="B276" s="237" t="str">
        <f ca="1">'Translation Table'!H1644</f>
        <v>ESD Activations</v>
      </c>
      <c r="C276" s="671">
        <f t="shared" si="38"/>
        <v>12581.89801927195</v>
      </c>
      <c r="D276" s="237" t="s">
        <v>345</v>
      </c>
      <c r="E276" s="225" t="s">
        <v>2076</v>
      </c>
      <c r="F276" s="464">
        <v>415000</v>
      </c>
      <c r="G276" s="225" t="s">
        <v>122</v>
      </c>
      <c r="H276" s="371">
        <v>93.4</v>
      </c>
      <c r="I276" s="238">
        <f t="shared" si="39"/>
        <v>2.8316850000000001E-2</v>
      </c>
      <c r="J276" s="257"/>
      <c r="P276" s="325"/>
      <c r="Q276" s="256"/>
    </row>
    <row r="277" spans="1:17" ht="15" customHeight="1" x14ac:dyDescent="0.3">
      <c r="A277" s="452" t="str">
        <f t="shared" ca="1" si="40"/>
        <v>Gas Transmission</v>
      </c>
      <c r="B277" s="238" t="str">
        <f ca="1">'Translation Table'!H1645</f>
        <v>Meter and Regulator Station Blowdowns</v>
      </c>
      <c r="C277" s="126">
        <f t="shared" si="38"/>
        <v>606.35653104925052</v>
      </c>
      <c r="D277" s="238" t="s">
        <v>345</v>
      </c>
      <c r="E277" s="225" t="s">
        <v>2076</v>
      </c>
      <c r="F277" s="464">
        <v>20000</v>
      </c>
      <c r="G277" s="225" t="s">
        <v>123</v>
      </c>
      <c r="H277" s="371">
        <v>93.4</v>
      </c>
      <c r="I277" s="237">
        <f t="shared" si="39"/>
        <v>2.8316850000000001E-2</v>
      </c>
      <c r="J277" s="257"/>
      <c r="P277" s="325"/>
      <c r="Q277" s="256"/>
    </row>
    <row r="278" spans="1:17" ht="15" customHeight="1" x14ac:dyDescent="0.3">
      <c r="A278" s="237" t="str">
        <f t="shared" ca="1" si="40"/>
        <v>Gas Transmission</v>
      </c>
      <c r="B278" s="237" t="str">
        <f ca="1">'Translation Table'!H1646</f>
        <v>Miscellaneous</v>
      </c>
      <c r="C278" s="671">
        <f t="shared" si="38"/>
        <v>34380.415310492506</v>
      </c>
      <c r="D278" s="237" t="s">
        <v>345</v>
      </c>
      <c r="E278" s="225" t="s">
        <v>2076</v>
      </c>
      <c r="F278" s="464">
        <v>1134000</v>
      </c>
      <c r="G278" s="225" t="s">
        <v>122</v>
      </c>
      <c r="H278" s="371">
        <v>93.4</v>
      </c>
      <c r="I278" s="238">
        <f t="shared" si="39"/>
        <v>2.8316850000000001E-2</v>
      </c>
      <c r="J278" s="257"/>
      <c r="P278" s="325"/>
      <c r="Q278" s="256"/>
    </row>
    <row r="279" spans="1:17" ht="15" customHeight="1" x14ac:dyDescent="0.3">
      <c r="A279" s="452" t="str">
        <f t="shared" ca="1" si="40"/>
        <v>Gas Transmission</v>
      </c>
      <c r="B279" s="238" t="str">
        <f ca="1">'Translation Table'!H1647</f>
        <v>Pipeline Venting &amp; Blowdowns</v>
      </c>
      <c r="C279" s="126">
        <f t="shared" si="38"/>
        <v>601.54659312086119</v>
      </c>
      <c r="D279" s="238" t="s">
        <v>346</v>
      </c>
      <c r="E279" s="225" t="s">
        <v>2076</v>
      </c>
      <c r="F279" s="464">
        <v>0.61350000000000005</v>
      </c>
      <c r="G279" s="225" t="s">
        <v>2732</v>
      </c>
      <c r="H279" s="371">
        <v>93.4</v>
      </c>
      <c r="I279" s="237">
        <f>tonnesCH4_per_pipeline_mile_to_m3CH4_per_pipeline_km</f>
        <v>915.80198528913513</v>
      </c>
      <c r="J279" s="257"/>
      <c r="P279" s="325"/>
      <c r="Q279" s="256"/>
    </row>
    <row r="280" spans="1:17" ht="15" customHeight="1" x14ac:dyDescent="0.3">
      <c r="A280" s="237" t="str">
        <f ca="1">GasStorage</f>
        <v>Gas Storage</v>
      </c>
      <c r="B280" s="237" t="str">
        <f ca="1">'Translation Table'!H1625</f>
        <v>Vessel Blowdowns</v>
      </c>
      <c r="C280" s="671">
        <f t="shared" si="38"/>
        <v>2.8029369289340105</v>
      </c>
      <c r="D280" s="237" t="s">
        <v>340</v>
      </c>
      <c r="E280" s="668" t="s">
        <v>3391</v>
      </c>
      <c r="F280" s="464">
        <v>78</v>
      </c>
      <c r="G280" s="225" t="s">
        <v>96</v>
      </c>
      <c r="H280" s="371">
        <v>78.8</v>
      </c>
      <c r="I280" s="238">
        <f t="shared" ref="I280:I286" si="41">scf_per_y_source_to_m3_per_y_per_source</f>
        <v>2.8316850000000001E-2</v>
      </c>
      <c r="J280" s="257"/>
      <c r="P280" s="325"/>
      <c r="Q280" s="256"/>
    </row>
    <row r="281" spans="1:17" ht="15" customHeight="1" x14ac:dyDescent="0.3">
      <c r="A281" s="238" t="str">
        <f ca="1">GasStorage</f>
        <v>Gas Storage</v>
      </c>
      <c r="B281" s="238" t="str">
        <f ca="1">'Translation Table'!H1626</f>
        <v>Compressor Starts</v>
      </c>
      <c r="C281" s="126">
        <f t="shared" si="38"/>
        <v>303.39995501269038</v>
      </c>
      <c r="D281" s="238" t="s">
        <v>341</v>
      </c>
      <c r="E281" s="668" t="s">
        <v>3392</v>
      </c>
      <c r="F281" s="464">
        <v>8443</v>
      </c>
      <c r="G281" s="225" t="s">
        <v>97</v>
      </c>
      <c r="H281" s="371">
        <v>78.8</v>
      </c>
      <c r="I281" s="237">
        <f t="shared" si="41"/>
        <v>2.8316850000000001E-2</v>
      </c>
      <c r="J281" s="257"/>
      <c r="P281" s="325"/>
      <c r="Q281" s="256"/>
    </row>
    <row r="282" spans="1:17" ht="15" customHeight="1" x14ac:dyDescent="0.3">
      <c r="A282" s="237" t="str">
        <f ca="1">GasStorage</f>
        <v>Gas Storage</v>
      </c>
      <c r="B282" s="237" t="str">
        <f ca="1">'Translation Table'!H1627</f>
        <v>Compressor Blowdowns</v>
      </c>
      <c r="C282" s="671">
        <f t="shared" si="38"/>
        <v>135.61902525380711</v>
      </c>
      <c r="D282" s="237" t="s">
        <v>341</v>
      </c>
      <c r="E282" s="668" t="s">
        <v>3391</v>
      </c>
      <c r="F282" s="464">
        <v>3774</v>
      </c>
      <c r="G282" s="225" t="s">
        <v>97</v>
      </c>
      <c r="H282" s="371">
        <v>78.8</v>
      </c>
      <c r="I282" s="237">
        <f t="shared" si="41"/>
        <v>2.8316850000000001E-2</v>
      </c>
      <c r="J282" s="257"/>
      <c r="P282" s="325"/>
      <c r="Q282" s="256"/>
    </row>
    <row r="283" spans="1:17" ht="15" customHeight="1" x14ac:dyDescent="0.3">
      <c r="A283" s="238" t="str">
        <f ca="1">GasStorage</f>
        <v>Gas Storage</v>
      </c>
      <c r="B283" s="238" t="str">
        <f ca="1">'Translation Table'!H1648</f>
        <v>Gas Storage Station Venting</v>
      </c>
      <c r="C283" s="126">
        <f t="shared" si="38"/>
        <v>67853.467343860597</v>
      </c>
      <c r="D283" s="238" t="s">
        <v>345</v>
      </c>
      <c r="E283" s="225" t="s">
        <v>2076</v>
      </c>
      <c r="F283" s="464">
        <v>43</v>
      </c>
      <c r="G283" s="225" t="s">
        <v>2731</v>
      </c>
      <c r="H283" s="371">
        <v>93.4</v>
      </c>
      <c r="I283" s="237">
        <f>tonnesCH4_to_m3CH4</f>
        <v>1473.840430213158</v>
      </c>
      <c r="J283" s="257"/>
      <c r="P283" s="325"/>
      <c r="Q283" s="256"/>
    </row>
    <row r="284" spans="1:17" ht="15" customHeight="1" x14ac:dyDescent="0.3">
      <c r="A284" s="193" t="str">
        <f t="shared" ref="A284:A291" ca="1" si="42">GasDistribution</f>
        <v>Gas Distribution</v>
      </c>
      <c r="B284" s="237" t="str">
        <f ca="1">'Translation Table'!H1625</f>
        <v>Vessel Blowdowns</v>
      </c>
      <c r="C284" s="671">
        <f t="shared" si="38"/>
        <v>2.8029369289340105</v>
      </c>
      <c r="D284" s="237" t="s">
        <v>340</v>
      </c>
      <c r="E284" s="668" t="s">
        <v>3391</v>
      </c>
      <c r="F284" s="464">
        <v>78</v>
      </c>
      <c r="G284" s="225" t="s">
        <v>96</v>
      </c>
      <c r="H284" s="371">
        <v>78.8</v>
      </c>
      <c r="I284" s="237">
        <f t="shared" si="41"/>
        <v>2.8316850000000001E-2</v>
      </c>
      <c r="J284" s="257"/>
      <c r="P284" s="325"/>
      <c r="Q284" s="256"/>
    </row>
    <row r="285" spans="1:17" ht="15" customHeight="1" x14ac:dyDescent="0.3">
      <c r="A285" s="452" t="str">
        <f t="shared" ca="1" si="42"/>
        <v>Gas Distribution</v>
      </c>
      <c r="B285" s="238" t="str">
        <f ca="1">'Translation Table'!H1626</f>
        <v>Compressor Starts</v>
      </c>
      <c r="C285" s="126">
        <f t="shared" si="38"/>
        <v>303.39995501269038</v>
      </c>
      <c r="D285" s="238" t="s">
        <v>341</v>
      </c>
      <c r="E285" s="668" t="s">
        <v>3392</v>
      </c>
      <c r="F285" s="464">
        <v>8443</v>
      </c>
      <c r="G285" s="225" t="s">
        <v>97</v>
      </c>
      <c r="H285" s="371">
        <v>78.8</v>
      </c>
      <c r="I285" s="237">
        <f t="shared" si="41"/>
        <v>2.8316850000000001E-2</v>
      </c>
      <c r="J285" s="257"/>
      <c r="P285" s="325"/>
      <c r="Q285" s="256"/>
    </row>
    <row r="286" spans="1:17" ht="15" customHeight="1" x14ac:dyDescent="0.3">
      <c r="A286" s="193" t="str">
        <f t="shared" ca="1" si="42"/>
        <v>Gas Distribution</v>
      </c>
      <c r="B286" s="237" t="str">
        <f ca="1">'Translation Table'!H1627</f>
        <v>Compressor Blowdowns</v>
      </c>
      <c r="C286" s="671">
        <f t="shared" si="38"/>
        <v>135.61902525380711</v>
      </c>
      <c r="D286" s="237" t="s">
        <v>341</v>
      </c>
      <c r="E286" s="668" t="s">
        <v>3391</v>
      </c>
      <c r="F286" s="464">
        <v>3774</v>
      </c>
      <c r="G286" s="225" t="s">
        <v>97</v>
      </c>
      <c r="H286" s="371">
        <v>78.8</v>
      </c>
      <c r="I286" s="237">
        <f t="shared" si="41"/>
        <v>2.8316850000000001E-2</v>
      </c>
      <c r="J286" s="257"/>
      <c r="P286" s="325"/>
      <c r="Q286" s="256"/>
    </row>
    <row r="287" spans="1:17" ht="15" customHeight="1" x14ac:dyDescent="0.3">
      <c r="A287" s="452" t="str">
        <f t="shared" ca="1" si="42"/>
        <v>Gas Distribution</v>
      </c>
      <c r="B287" s="238" t="str">
        <f ca="1">'Translation Table'!H1649</f>
        <v>Meter &amp; Regulator Station Maintenance</v>
      </c>
      <c r="C287" s="126">
        <f t="shared" si="38"/>
        <v>4.5042194092827001</v>
      </c>
      <c r="D287" s="238" t="s">
        <v>345</v>
      </c>
      <c r="E287" s="225" t="s">
        <v>2078</v>
      </c>
      <c r="F287" s="464">
        <v>4.2699999999999996</v>
      </c>
      <c r="G287" s="225" t="s">
        <v>123</v>
      </c>
      <c r="H287" s="371">
        <v>94.8</v>
      </c>
      <c r="I287" s="237">
        <v>1</v>
      </c>
      <c r="J287" s="257"/>
      <c r="P287" s="325"/>
      <c r="Q287" s="256"/>
    </row>
    <row r="288" spans="1:17" ht="15" customHeight="1" x14ac:dyDescent="0.3">
      <c r="A288" s="237" t="str">
        <f t="shared" ca="1" si="42"/>
        <v>Gas Distribution</v>
      </c>
      <c r="B288" s="237" t="str">
        <f ca="1">'Translation Table'!H1650</f>
        <v>Odorizer &amp; Gas Sampling Vents</v>
      </c>
      <c r="C288" s="671">
        <f t="shared" si="38"/>
        <v>35.432489451476798</v>
      </c>
      <c r="D288" s="237" t="s">
        <v>345</v>
      </c>
      <c r="E288" s="225" t="s">
        <v>2078</v>
      </c>
      <c r="F288" s="464">
        <v>33.590000000000003</v>
      </c>
      <c r="G288" s="225" t="s">
        <v>123</v>
      </c>
      <c r="H288" s="371">
        <v>94.8</v>
      </c>
      <c r="I288" s="237">
        <v>1</v>
      </c>
      <c r="J288" s="257"/>
      <c r="P288" s="325"/>
      <c r="Q288" s="256"/>
    </row>
    <row r="289" spans="1:17" ht="15" customHeight="1" x14ac:dyDescent="0.3">
      <c r="A289" s="452" t="str">
        <f t="shared" ca="1" si="42"/>
        <v>Gas Distribution</v>
      </c>
      <c r="B289" s="238" t="str">
        <f ca="1">'Translation Table'!H1651</f>
        <v>Pipeline Blowdowns</v>
      </c>
      <c r="C289" s="126">
        <f t="shared" si="38"/>
        <v>31.630049747962264</v>
      </c>
      <c r="D289" s="238" t="s">
        <v>347</v>
      </c>
      <c r="E289" s="225" t="s">
        <v>2078</v>
      </c>
      <c r="F289" s="464">
        <v>1679</v>
      </c>
      <c r="G289" s="225" t="s">
        <v>99</v>
      </c>
      <c r="H289" s="371">
        <v>93.4</v>
      </c>
      <c r="I289" s="237">
        <f>scf_per_pipeline_mile_to_m3_per_pipeline_km</f>
        <v>1.7595274844905751E-2</v>
      </c>
      <c r="J289" s="257"/>
      <c r="P289" s="325"/>
      <c r="Q289" s="256"/>
    </row>
    <row r="290" spans="1:17" ht="15" customHeight="1" x14ac:dyDescent="0.3">
      <c r="A290" s="237" t="str">
        <f t="shared" ca="1" si="42"/>
        <v>Gas Distribution</v>
      </c>
      <c r="B290" s="237" t="str">
        <f ca="1">'Translation Table'!H1652</f>
        <v>Pipeline Mishaps (Dig-ins)</v>
      </c>
      <c r="C290" s="671">
        <f t="shared" si="38"/>
        <v>29.859219089053116</v>
      </c>
      <c r="D290" s="237" t="s">
        <v>347</v>
      </c>
      <c r="E290" s="225" t="s">
        <v>2078</v>
      </c>
      <c r="F290" s="464">
        <v>1585</v>
      </c>
      <c r="G290" s="225" t="s">
        <v>99</v>
      </c>
      <c r="H290" s="371">
        <v>93.4</v>
      </c>
      <c r="I290" s="237">
        <f>scf_per_pipeline_mile_to_m3_per_pipeline_km</f>
        <v>1.7595274844905751E-2</v>
      </c>
      <c r="J290" s="257"/>
      <c r="P290" s="325"/>
      <c r="Q290" s="256"/>
    </row>
    <row r="291" spans="1:17" ht="15" customHeight="1" x14ac:dyDescent="0.3">
      <c r="A291" s="452" t="str">
        <f t="shared" ca="1" si="42"/>
        <v>Gas Distribution</v>
      </c>
      <c r="B291" s="238" t="str">
        <f ca="1">'Translation Table'!H1653</f>
        <v>PRV Lifts</v>
      </c>
      <c r="C291" s="126">
        <f t="shared" si="38"/>
        <v>0.94193120154741705</v>
      </c>
      <c r="D291" s="238" t="s">
        <v>347</v>
      </c>
      <c r="E291" s="225" t="s">
        <v>2078</v>
      </c>
      <c r="F291" s="464">
        <v>50</v>
      </c>
      <c r="G291" s="225" t="s">
        <v>99</v>
      </c>
      <c r="H291" s="371">
        <v>93.4</v>
      </c>
      <c r="I291" s="237">
        <f>scf_per_pipeline_mile_to_m3_per_pipeline_km</f>
        <v>1.7595274844905751E-2</v>
      </c>
      <c r="J291" s="257"/>
      <c r="P291" s="325"/>
      <c r="Q291" s="256"/>
    </row>
    <row r="292" spans="1:17" ht="15" customHeight="1" x14ac:dyDescent="0.3">
      <c r="A292" s="237" t="str">
        <f ca="1">PetroleumRefining</f>
        <v>Petroleum Refining</v>
      </c>
      <c r="B292" s="237" t="str">
        <f ca="1">'Translation Table'!H1625</f>
        <v>Vessel Blowdowns</v>
      </c>
      <c r="C292" s="671">
        <f t="shared" si="38"/>
        <v>2.8029369289340105</v>
      </c>
      <c r="D292" s="237" t="s">
        <v>340</v>
      </c>
      <c r="E292" s="668" t="s">
        <v>3391</v>
      </c>
      <c r="F292" s="464">
        <v>78</v>
      </c>
      <c r="G292" s="225" t="s">
        <v>96</v>
      </c>
      <c r="H292" s="371">
        <v>78.8</v>
      </c>
      <c r="I292" s="237">
        <f>scf_per_y_source_to_m3_per_y_per_source</f>
        <v>2.8316850000000001E-2</v>
      </c>
      <c r="J292" s="257"/>
      <c r="P292" s="325"/>
      <c r="Q292" s="256"/>
    </row>
    <row r="293" spans="1:17" ht="15" customHeight="1" x14ac:dyDescent="0.3">
      <c r="A293" s="238" t="str">
        <f ca="1">PetroleumRefining</f>
        <v>Petroleum Refining</v>
      </c>
      <c r="B293" s="238" t="str">
        <f ca="1">'Translation Table'!H1626</f>
        <v>Compressor Starts</v>
      </c>
      <c r="C293" s="126">
        <f t="shared" si="38"/>
        <v>303.39995501269038</v>
      </c>
      <c r="D293" s="238" t="s">
        <v>341</v>
      </c>
      <c r="E293" s="668" t="s">
        <v>3392</v>
      </c>
      <c r="F293" s="464">
        <v>8443</v>
      </c>
      <c r="G293" s="225" t="s">
        <v>97</v>
      </c>
      <c r="H293" s="371">
        <v>78.8</v>
      </c>
      <c r="I293" s="237">
        <f>scf_per_y_source_to_m3_per_y_per_source</f>
        <v>2.8316850000000001E-2</v>
      </c>
      <c r="J293" s="257"/>
      <c r="P293" s="325"/>
      <c r="Q293" s="256"/>
    </row>
    <row r="294" spans="1:17" ht="15" customHeight="1" x14ac:dyDescent="0.3">
      <c r="A294" s="237" t="str">
        <f ca="1">PetroleumRefining</f>
        <v>Petroleum Refining</v>
      </c>
      <c r="B294" s="237" t="str">
        <f ca="1">'Translation Table'!H1627</f>
        <v>Compressor Blowdowns</v>
      </c>
      <c r="C294" s="671">
        <f t="shared" si="38"/>
        <v>135.61902525380711</v>
      </c>
      <c r="D294" s="237" t="s">
        <v>341</v>
      </c>
      <c r="E294" s="668" t="s">
        <v>3391</v>
      </c>
      <c r="F294" s="464">
        <v>3774</v>
      </c>
      <c r="G294" s="225" t="s">
        <v>97</v>
      </c>
      <c r="H294" s="371">
        <v>78.8</v>
      </c>
      <c r="I294" s="237">
        <f>scf_per_y_source_to_m3_per_y_per_source</f>
        <v>2.8316850000000001E-2</v>
      </c>
      <c r="J294" s="257"/>
      <c r="P294" s="325"/>
      <c r="Q294" s="256"/>
    </row>
    <row r="296" spans="1:17" ht="22.5" x14ac:dyDescent="0.45">
      <c r="A296" s="1109" t="str">
        <f>'Translation Table'!C1654</f>
        <v xml:space="preserve">Compressors: </v>
      </c>
      <c r="B296" s="1109"/>
      <c r="C296" s="103"/>
      <c r="D296" s="103"/>
      <c r="E296" s="104"/>
      <c r="F296" s="105"/>
      <c r="G296" s="104"/>
      <c r="H296" s="106"/>
      <c r="I296" s="107"/>
    </row>
    <row r="297" spans="1:17" x14ac:dyDescent="0.3">
      <c r="A297" s="104"/>
      <c r="B297" s="108"/>
      <c r="C297" s="103"/>
      <c r="D297" s="103"/>
      <c r="E297" s="104"/>
      <c r="F297" s="105"/>
      <c r="G297" s="104"/>
      <c r="H297" s="106"/>
      <c r="I297" s="107"/>
    </row>
    <row r="298" spans="1:17" ht="15.5" x14ac:dyDescent="0.3">
      <c r="A298" s="92" t="str">
        <f ca="1">'Translation Table'!H1654</f>
        <v>Industry Segment</v>
      </c>
      <c r="B298" s="92" t="str">
        <f ca="1">'Translation Table'!H1655</f>
        <v>Compressor Type</v>
      </c>
      <c r="C298" s="112" t="str">
        <f ca="1">'Translation Table'!H1656</f>
        <v>Uncontrolled Emission Factor</v>
      </c>
      <c r="D298" s="113" t="str">
        <f ca="1">'Translation Table'!H1657</f>
        <v>Data Source</v>
      </c>
      <c r="E298" s="1094" t="str">
        <f ca="1">'Translation Table'!H1658</f>
        <v>As Reported in the Reference</v>
      </c>
      <c r="F298" s="1094"/>
      <c r="G298" s="1094"/>
      <c r="H298" s="68" t="str">
        <f ca="1">'Translation Table'!H1659</f>
        <v>Conversion Factor</v>
      </c>
      <c r="J298" s="256"/>
      <c r="P298" s="325"/>
      <c r="Q298" s="256"/>
    </row>
    <row r="299" spans="1:17" ht="14.25" customHeight="1" x14ac:dyDescent="0.35">
      <c r="A299" s="114"/>
      <c r="B299" s="115"/>
      <c r="C299" s="116" t="str">
        <f ca="1">'Translation Table'!H1665</f>
        <v>(Nm3/compressor seal per day)</v>
      </c>
      <c r="D299" s="117"/>
      <c r="E299" s="92" t="str">
        <f ca="1">'Translation Table'!H1660</f>
        <v>EF Value</v>
      </c>
      <c r="F299" s="118" t="str">
        <f ca="1">'Translation Table'!H1661</f>
        <v>Units of</v>
      </c>
      <c r="G299" s="92" t="str">
        <f ca="1">'Translation Table'!H1662</f>
        <v xml:space="preserve">CH4 Content </v>
      </c>
      <c r="H299" s="92" t="str">
        <f ca="1">'Translation Table'!H1663</f>
        <v>Value</v>
      </c>
      <c r="J299" s="256"/>
      <c r="P299" s="325"/>
      <c r="Q299" s="256"/>
    </row>
    <row r="300" spans="1:17" ht="15.5" x14ac:dyDescent="0.3">
      <c r="A300" s="93"/>
      <c r="B300" s="93"/>
      <c r="C300" s="93"/>
      <c r="D300" s="119"/>
      <c r="E300" s="93"/>
      <c r="F300" s="93" t="str">
        <f ca="1">'Translation Table'!H1666</f>
        <v>Measure</v>
      </c>
      <c r="G300" s="93" t="str">
        <f ca="1">'Translation Table'!H1667</f>
        <v>Basis for Industry Segment</v>
      </c>
      <c r="H300" s="93"/>
      <c r="J300" s="256"/>
      <c r="P300" s="325"/>
      <c r="Q300" s="256"/>
    </row>
    <row r="301" spans="1:17" ht="15.5" x14ac:dyDescent="0.35">
      <c r="A301" s="120"/>
      <c r="B301" s="121"/>
      <c r="C301" s="122"/>
      <c r="D301" s="123"/>
      <c r="E301" s="94"/>
      <c r="F301" s="124"/>
      <c r="G301" s="94" t="str">
        <f ca="1">'Translation Table'!H1668</f>
        <v>(Mol%)</v>
      </c>
      <c r="H301" s="94"/>
      <c r="J301" s="256"/>
      <c r="P301" s="325"/>
      <c r="Q301" s="256"/>
    </row>
    <row r="302" spans="1:17" x14ac:dyDescent="0.3">
      <c r="A302" s="109" t="str">
        <f ca="1">OffshoreOilProduction</f>
        <v>Offshore Oil Production</v>
      </c>
      <c r="B302" s="109" t="str">
        <f ca="1">'Translation Table'!H1673</f>
        <v>Reciprocating Compressor Rod Packing (Operating Mode)</v>
      </c>
      <c r="C302" s="671">
        <f>E302*H302/(G302/100)/4</f>
        <v>27.443925252245009</v>
      </c>
      <c r="D302" s="222" t="s">
        <v>3389</v>
      </c>
      <c r="E302" s="223">
        <f>0.0027*24</f>
        <v>6.4799999999999996E-2</v>
      </c>
      <c r="F302" s="222" t="s">
        <v>2175</v>
      </c>
      <c r="G302" s="224">
        <v>87</v>
      </c>
      <c r="H302" s="109">
        <f t="shared" ref="H302:H346" si="43">tonnesCH4_to_m3CH4</f>
        <v>1473.840430213158</v>
      </c>
      <c r="J302" s="256"/>
      <c r="P302" s="325"/>
      <c r="Q302" s="256"/>
    </row>
    <row r="303" spans="1:17" x14ac:dyDescent="0.3">
      <c r="A303" s="125" t="str">
        <f ca="1">OffshoreOilProduction</f>
        <v>Offshore Oil Production</v>
      </c>
      <c r="B303" s="125" t="str">
        <f ca="1">'Translation Table'!H1674</f>
        <v>Reciprocating Compressor Rod Packing (Standby Mode)</v>
      </c>
      <c r="C303" s="126">
        <f>E303*H303/(G303/100)/4</f>
        <v>27.443925252245009</v>
      </c>
      <c r="D303" s="222" t="s">
        <v>3389</v>
      </c>
      <c r="E303" s="222">
        <f>0.0027*24</f>
        <v>6.4799999999999996E-2</v>
      </c>
      <c r="F303" s="222" t="s">
        <v>2175</v>
      </c>
      <c r="G303" s="224">
        <v>87</v>
      </c>
      <c r="H303" s="125">
        <f t="shared" si="43"/>
        <v>1473.840430213158</v>
      </c>
      <c r="J303" s="256"/>
      <c r="P303" s="325"/>
      <c r="Q303" s="256"/>
    </row>
    <row r="304" spans="1:17" x14ac:dyDescent="0.3">
      <c r="A304" s="109" t="str">
        <f ca="1">OffshoreOilProduction</f>
        <v>Offshore Oil Production</v>
      </c>
      <c r="B304" s="109" t="str">
        <f ca="1">'Translation Table'!H1675</f>
        <v>Reciprocating Compressor Rod Packing (Average)</v>
      </c>
      <c r="C304" s="671">
        <f>E304*H304/(G304/100)/4</f>
        <v>18.956820128522882</v>
      </c>
      <c r="D304" s="222" t="s">
        <v>3389</v>
      </c>
      <c r="E304" s="222">
        <f>16.3/365</f>
        <v>4.4657534246575342E-2</v>
      </c>
      <c r="F304" s="222" t="s">
        <v>2175</v>
      </c>
      <c r="G304" s="224">
        <v>86.8</v>
      </c>
      <c r="H304" s="109">
        <f t="shared" si="43"/>
        <v>1473.840430213158</v>
      </c>
      <c r="J304" s="256"/>
      <c r="P304" s="325"/>
      <c r="Q304" s="256"/>
    </row>
    <row r="305" spans="1:17" x14ac:dyDescent="0.3">
      <c r="A305" s="125" t="str">
        <f ca="1">OffshoreOilProduction</f>
        <v>Offshore Oil Production</v>
      </c>
      <c r="B305" s="125" t="str">
        <f ca="1">'Translation Table'!H1676</f>
        <v>Centrifugal Compressor (Wet Seal)</v>
      </c>
      <c r="C305" s="126">
        <f>E305*H305/(G305/100)/2</f>
        <v>201.0353329703353</v>
      </c>
      <c r="D305" s="222" t="s">
        <v>3390</v>
      </c>
      <c r="E305" s="222">
        <f>86.43/365</f>
        <v>0.23679452054794523</v>
      </c>
      <c r="F305" s="222" t="s">
        <v>2175</v>
      </c>
      <c r="G305" s="224">
        <v>86.8</v>
      </c>
      <c r="H305" s="125">
        <f t="shared" si="43"/>
        <v>1473.840430213158</v>
      </c>
      <c r="J305" s="256"/>
      <c r="P305" s="325"/>
      <c r="Q305" s="256"/>
    </row>
    <row r="306" spans="1:17" x14ac:dyDescent="0.3">
      <c r="A306" s="109" t="str">
        <f ca="1">OffshoreOilProduction</f>
        <v>Offshore Oil Production</v>
      </c>
      <c r="B306" s="109" t="str">
        <f ca="1">'Translation Table'!H1677</f>
        <v>Centrifugal Compressor (Dry Seal)</v>
      </c>
      <c r="C306" s="671">
        <f>E306*H306/(G306/100)/2</f>
        <v>65.569663732890803</v>
      </c>
      <c r="D306" s="222" t="s">
        <v>3390</v>
      </c>
      <c r="E306" s="222">
        <f>28.19/365</f>
        <v>7.7232876712328771E-2</v>
      </c>
      <c r="F306" s="222" t="s">
        <v>2175</v>
      </c>
      <c r="G306" s="224">
        <v>86.8</v>
      </c>
      <c r="H306" s="109">
        <f t="shared" si="43"/>
        <v>1473.840430213158</v>
      </c>
      <c r="J306" s="256"/>
      <c r="P306" s="325"/>
      <c r="Q306" s="256"/>
    </row>
    <row r="307" spans="1:17" x14ac:dyDescent="0.3">
      <c r="A307" s="125" t="str">
        <f ca="1">OffshoreGasProduction</f>
        <v>Offshore Gas Production</v>
      </c>
      <c r="B307" s="125" t="str">
        <f ca="1">'Translation Table'!H1673</f>
        <v>Reciprocating Compressor Rod Packing (Operating Mode)</v>
      </c>
      <c r="C307" s="126">
        <f>E307*H307/(G307/100)/4</f>
        <v>27.443925252245009</v>
      </c>
      <c r="D307" s="222" t="s">
        <v>3389</v>
      </c>
      <c r="E307" s="223">
        <f>0.0027*24</f>
        <v>6.4799999999999996E-2</v>
      </c>
      <c r="F307" s="222" t="s">
        <v>2175</v>
      </c>
      <c r="G307" s="224">
        <v>87</v>
      </c>
      <c r="H307" s="125">
        <f t="shared" si="43"/>
        <v>1473.840430213158</v>
      </c>
      <c r="J307" s="256"/>
      <c r="P307" s="325"/>
      <c r="Q307" s="256"/>
    </row>
    <row r="308" spans="1:17" x14ac:dyDescent="0.3">
      <c r="A308" s="109" t="str">
        <f ca="1">OffshoreGasProduction</f>
        <v>Offshore Gas Production</v>
      </c>
      <c r="B308" s="109" t="str">
        <f ca="1">'Translation Table'!H1674</f>
        <v>Reciprocating Compressor Rod Packing (Standby Mode)</v>
      </c>
      <c r="C308" s="671">
        <f>E308*H308/(G308/100)/4</f>
        <v>27.443925252245009</v>
      </c>
      <c r="D308" s="222" t="s">
        <v>3389</v>
      </c>
      <c r="E308" s="222">
        <f>0.0027*24</f>
        <v>6.4799999999999996E-2</v>
      </c>
      <c r="F308" s="222" t="s">
        <v>2175</v>
      </c>
      <c r="G308" s="224">
        <v>87</v>
      </c>
      <c r="H308" s="109">
        <f t="shared" si="43"/>
        <v>1473.840430213158</v>
      </c>
      <c r="J308" s="256"/>
      <c r="P308" s="325"/>
      <c r="Q308" s="256"/>
    </row>
    <row r="309" spans="1:17" x14ac:dyDescent="0.3">
      <c r="A309" s="125" t="str">
        <f ca="1">OffshoreGasProduction</f>
        <v>Offshore Gas Production</v>
      </c>
      <c r="B309" s="125" t="str">
        <f ca="1">'Translation Table'!H1675</f>
        <v>Reciprocating Compressor Rod Packing (Average)</v>
      </c>
      <c r="C309" s="126">
        <f>E309*H309/(G309/100)/4</f>
        <v>18.956820128522882</v>
      </c>
      <c r="D309" s="222" t="s">
        <v>3389</v>
      </c>
      <c r="E309" s="222">
        <f>16.3/365</f>
        <v>4.4657534246575342E-2</v>
      </c>
      <c r="F309" s="222" t="s">
        <v>2175</v>
      </c>
      <c r="G309" s="224">
        <v>86.8</v>
      </c>
      <c r="H309" s="125">
        <f t="shared" si="43"/>
        <v>1473.840430213158</v>
      </c>
      <c r="J309" s="256"/>
      <c r="P309" s="325"/>
      <c r="Q309" s="256"/>
    </row>
    <row r="310" spans="1:17" x14ac:dyDescent="0.3">
      <c r="A310" s="109" t="str">
        <f ca="1">OffshoreGasProduction</f>
        <v>Offshore Gas Production</v>
      </c>
      <c r="B310" s="109" t="str">
        <f ca="1">'Translation Table'!H1676</f>
        <v>Centrifugal Compressor (Wet Seal)</v>
      </c>
      <c r="C310" s="671">
        <f>E310*H310/(G310/100)/2</f>
        <v>201.0353329703353</v>
      </c>
      <c r="D310" s="222" t="s">
        <v>3390</v>
      </c>
      <c r="E310" s="222">
        <f>86.43/365</f>
        <v>0.23679452054794523</v>
      </c>
      <c r="F310" s="222" t="s">
        <v>2175</v>
      </c>
      <c r="G310" s="224">
        <v>86.8</v>
      </c>
      <c r="H310" s="109">
        <f t="shared" si="43"/>
        <v>1473.840430213158</v>
      </c>
      <c r="J310" s="256"/>
      <c r="P310" s="325"/>
      <c r="Q310" s="256"/>
    </row>
    <row r="311" spans="1:17" x14ac:dyDescent="0.3">
      <c r="A311" s="125" t="str">
        <f ca="1">OffshoreGasProduction</f>
        <v>Offshore Gas Production</v>
      </c>
      <c r="B311" s="125" t="str">
        <f ca="1">'Translation Table'!H1677</f>
        <v>Centrifugal Compressor (Dry Seal)</v>
      </c>
      <c r="C311" s="126">
        <f>E311*H311/(G311/100)/2</f>
        <v>65.569663732890803</v>
      </c>
      <c r="D311" s="222" t="s">
        <v>3390</v>
      </c>
      <c r="E311" s="222">
        <f>28.19/365</f>
        <v>7.7232876712328771E-2</v>
      </c>
      <c r="F311" s="222" t="s">
        <v>2175</v>
      </c>
      <c r="G311" s="224">
        <v>86.8</v>
      </c>
      <c r="H311" s="125">
        <f t="shared" si="43"/>
        <v>1473.840430213158</v>
      </c>
      <c r="J311" s="256"/>
      <c r="P311" s="325"/>
      <c r="Q311" s="256"/>
    </row>
    <row r="312" spans="1:17" x14ac:dyDescent="0.3">
      <c r="A312" s="109" t="str">
        <f ca="1">OnshoreOilProduction</f>
        <v>Onshore Oil Production</v>
      </c>
      <c r="B312" s="109" t="str">
        <f ca="1">'Translation Table'!H1673</f>
        <v>Reciprocating Compressor Rod Packing (Operating Mode)</v>
      </c>
      <c r="C312" s="671">
        <f>E312*H312/(G312/100)/4</f>
        <v>27.443925252245009</v>
      </c>
      <c r="D312" s="222" t="s">
        <v>3389</v>
      </c>
      <c r="E312" s="223">
        <f>0.0027*24</f>
        <v>6.4799999999999996E-2</v>
      </c>
      <c r="F312" s="222" t="s">
        <v>2175</v>
      </c>
      <c r="G312" s="224">
        <v>87</v>
      </c>
      <c r="H312" s="109">
        <f t="shared" si="43"/>
        <v>1473.840430213158</v>
      </c>
      <c r="J312" s="256"/>
      <c r="P312" s="325"/>
      <c r="Q312" s="256"/>
    </row>
    <row r="313" spans="1:17" x14ac:dyDescent="0.3">
      <c r="A313" s="125" t="str">
        <f ca="1">OnshoreOilProduction</f>
        <v>Onshore Oil Production</v>
      </c>
      <c r="B313" s="125" t="str">
        <f ca="1">'Translation Table'!H1674</f>
        <v>Reciprocating Compressor Rod Packing (Standby Mode)</v>
      </c>
      <c r="C313" s="126">
        <f>E313*H313/(G313/100)/4</f>
        <v>27.443925252245009</v>
      </c>
      <c r="D313" s="222" t="s">
        <v>3389</v>
      </c>
      <c r="E313" s="222">
        <f>0.0027*24</f>
        <v>6.4799999999999996E-2</v>
      </c>
      <c r="F313" s="222" t="s">
        <v>2175</v>
      </c>
      <c r="G313" s="224">
        <v>87</v>
      </c>
      <c r="H313" s="125">
        <f t="shared" si="43"/>
        <v>1473.840430213158</v>
      </c>
      <c r="J313" s="256"/>
      <c r="P313" s="325"/>
      <c r="Q313" s="256"/>
    </row>
    <row r="314" spans="1:17" x14ac:dyDescent="0.3">
      <c r="A314" s="109" t="str">
        <f ca="1">OnshoreOilProduction</f>
        <v>Onshore Oil Production</v>
      </c>
      <c r="B314" s="109" t="str">
        <f ca="1">'Translation Table'!H1675</f>
        <v>Reciprocating Compressor Rod Packing (Average)</v>
      </c>
      <c r="C314" s="671">
        <f>E314*H314/(G314/100)/4</f>
        <v>18.956820128522882</v>
      </c>
      <c r="D314" s="222" t="s">
        <v>3389</v>
      </c>
      <c r="E314" s="222">
        <f>16.3/365</f>
        <v>4.4657534246575342E-2</v>
      </c>
      <c r="F314" s="222" t="s">
        <v>2175</v>
      </c>
      <c r="G314" s="224">
        <v>86.8</v>
      </c>
      <c r="H314" s="109">
        <f t="shared" si="43"/>
        <v>1473.840430213158</v>
      </c>
      <c r="J314" s="256"/>
      <c r="P314" s="325"/>
      <c r="Q314" s="256"/>
    </row>
    <row r="315" spans="1:17" x14ac:dyDescent="0.3">
      <c r="A315" s="125" t="str">
        <f ca="1">OnshoreOilProduction</f>
        <v>Onshore Oil Production</v>
      </c>
      <c r="B315" s="125" t="str">
        <f ca="1">'Translation Table'!H1676</f>
        <v>Centrifugal Compressor (Wet Seal)</v>
      </c>
      <c r="C315" s="126">
        <f>E315*H315/(G315/100)/2</f>
        <v>201.0353329703353</v>
      </c>
      <c r="D315" s="222" t="s">
        <v>3390</v>
      </c>
      <c r="E315" s="222">
        <f>86.43/365</f>
        <v>0.23679452054794523</v>
      </c>
      <c r="F315" s="222" t="s">
        <v>2175</v>
      </c>
      <c r="G315" s="224">
        <v>86.8</v>
      </c>
      <c r="H315" s="125">
        <f t="shared" si="43"/>
        <v>1473.840430213158</v>
      </c>
      <c r="J315" s="256"/>
      <c r="P315" s="325"/>
      <c r="Q315" s="256"/>
    </row>
    <row r="316" spans="1:17" x14ac:dyDescent="0.3">
      <c r="A316" s="109" t="str">
        <f ca="1">OnshoreOilProduction</f>
        <v>Onshore Oil Production</v>
      </c>
      <c r="B316" s="109" t="str">
        <f ca="1">'Translation Table'!H1677</f>
        <v>Centrifugal Compressor (Dry Seal)</v>
      </c>
      <c r="C316" s="671">
        <f>E316*H316/(G316/100)/2</f>
        <v>65.569663732890803</v>
      </c>
      <c r="D316" s="222" t="s">
        <v>3390</v>
      </c>
      <c r="E316" s="222">
        <f>28.19/365</f>
        <v>7.7232876712328771E-2</v>
      </c>
      <c r="F316" s="222" t="s">
        <v>2175</v>
      </c>
      <c r="G316" s="224">
        <v>86.8</v>
      </c>
      <c r="H316" s="109">
        <f t="shared" si="43"/>
        <v>1473.840430213158</v>
      </c>
      <c r="J316" s="256"/>
      <c r="P316" s="325"/>
      <c r="Q316" s="256"/>
    </row>
    <row r="317" spans="1:17" x14ac:dyDescent="0.3">
      <c r="A317" s="125" t="str">
        <f ca="1">OnshoreGasProduction</f>
        <v>Onshore Gas Production</v>
      </c>
      <c r="B317" s="125" t="str">
        <f ca="1">'Translation Table'!H1673</f>
        <v>Reciprocating Compressor Rod Packing (Operating Mode)</v>
      </c>
      <c r="C317" s="126">
        <f>E317*H317/(G317/100)/4</f>
        <v>27.443925252245009</v>
      </c>
      <c r="D317" s="222" t="s">
        <v>3389</v>
      </c>
      <c r="E317" s="223">
        <f>0.0027*24</f>
        <v>6.4799999999999996E-2</v>
      </c>
      <c r="F317" s="222" t="s">
        <v>2175</v>
      </c>
      <c r="G317" s="224">
        <v>87</v>
      </c>
      <c r="H317" s="125">
        <f t="shared" si="43"/>
        <v>1473.840430213158</v>
      </c>
      <c r="J317" s="256"/>
      <c r="P317" s="325"/>
      <c r="Q317" s="256"/>
    </row>
    <row r="318" spans="1:17" x14ac:dyDescent="0.3">
      <c r="A318" s="109" t="str">
        <f ca="1">OnshoreGasProduction</f>
        <v>Onshore Gas Production</v>
      </c>
      <c r="B318" s="109" t="str">
        <f ca="1">'Translation Table'!H1674</f>
        <v>Reciprocating Compressor Rod Packing (Standby Mode)</v>
      </c>
      <c r="C318" s="671">
        <f>E318*H318/(G318/100)/4</f>
        <v>27.443925252245009</v>
      </c>
      <c r="D318" s="222" t="s">
        <v>3389</v>
      </c>
      <c r="E318" s="222">
        <f>0.0027*24</f>
        <v>6.4799999999999996E-2</v>
      </c>
      <c r="F318" s="222" t="s">
        <v>2175</v>
      </c>
      <c r="G318" s="224">
        <v>87</v>
      </c>
      <c r="H318" s="109">
        <f t="shared" si="43"/>
        <v>1473.840430213158</v>
      </c>
      <c r="J318" s="256"/>
      <c r="P318" s="325"/>
      <c r="Q318" s="256"/>
    </row>
    <row r="319" spans="1:17" x14ac:dyDescent="0.3">
      <c r="A319" s="125" t="str">
        <f ca="1">OnshoreGasProduction</f>
        <v>Onshore Gas Production</v>
      </c>
      <c r="B319" s="125" t="str">
        <f ca="1">'Translation Table'!H1675</f>
        <v>Reciprocating Compressor Rod Packing (Average)</v>
      </c>
      <c r="C319" s="126">
        <f>E319*H319/(G319/100)/4</f>
        <v>18.956820128522882</v>
      </c>
      <c r="D319" s="222" t="s">
        <v>3389</v>
      </c>
      <c r="E319" s="222">
        <f>16.3/365</f>
        <v>4.4657534246575342E-2</v>
      </c>
      <c r="F319" s="222" t="s">
        <v>2175</v>
      </c>
      <c r="G319" s="224">
        <v>86.8</v>
      </c>
      <c r="H319" s="125">
        <f t="shared" si="43"/>
        <v>1473.840430213158</v>
      </c>
      <c r="J319" s="256"/>
      <c r="P319" s="325"/>
      <c r="Q319" s="256"/>
    </row>
    <row r="320" spans="1:17" x14ac:dyDescent="0.3">
      <c r="A320" s="109" t="str">
        <f ca="1">OnshoreGasProduction</f>
        <v>Onshore Gas Production</v>
      </c>
      <c r="B320" s="109" t="str">
        <f ca="1">'Translation Table'!H1676</f>
        <v>Centrifugal Compressor (Wet Seal)</v>
      </c>
      <c r="C320" s="671">
        <f>E320*H320/(G320/100)/2</f>
        <v>201.0353329703353</v>
      </c>
      <c r="D320" s="222" t="s">
        <v>3390</v>
      </c>
      <c r="E320" s="222">
        <f>86.43/365</f>
        <v>0.23679452054794523</v>
      </c>
      <c r="F320" s="222" t="s">
        <v>2175</v>
      </c>
      <c r="G320" s="224">
        <v>86.8</v>
      </c>
      <c r="H320" s="109">
        <f t="shared" si="43"/>
        <v>1473.840430213158</v>
      </c>
      <c r="J320" s="256"/>
      <c r="P320" s="325"/>
      <c r="Q320" s="256"/>
    </row>
    <row r="321" spans="1:17" x14ac:dyDescent="0.3">
      <c r="A321" s="125" t="str">
        <f ca="1">OnshoreGasProduction</f>
        <v>Onshore Gas Production</v>
      </c>
      <c r="B321" s="125" t="str">
        <f ca="1">'Translation Table'!H1677</f>
        <v>Centrifugal Compressor (Dry Seal)</v>
      </c>
      <c r="C321" s="126">
        <f>E321*H321/(G321/100)/2</f>
        <v>65.569663732890803</v>
      </c>
      <c r="D321" s="222" t="s">
        <v>3390</v>
      </c>
      <c r="E321" s="222">
        <f>28.19/365</f>
        <v>7.7232876712328771E-2</v>
      </c>
      <c r="F321" s="222" t="s">
        <v>2175</v>
      </c>
      <c r="G321" s="224">
        <v>86.8</v>
      </c>
      <c r="H321" s="125">
        <f t="shared" si="43"/>
        <v>1473.840430213158</v>
      </c>
      <c r="J321" s="256"/>
      <c r="P321" s="325"/>
      <c r="Q321" s="256"/>
    </row>
    <row r="322" spans="1:17" x14ac:dyDescent="0.3">
      <c r="A322" s="125" t="str">
        <f ca="1">GasProcessing</f>
        <v>Gas Processing</v>
      </c>
      <c r="B322" s="125" t="str">
        <f ca="1">'Translation Table'!H1673</f>
        <v>Reciprocating Compressor Rod Packing (Operating Mode)</v>
      </c>
      <c r="C322" s="126">
        <f>E322*H322/(G322/100)/4</f>
        <v>27.443925252245009</v>
      </c>
      <c r="D322" s="222" t="s">
        <v>3388</v>
      </c>
      <c r="E322" s="223">
        <f>0.0027*24</f>
        <v>6.4799999999999996E-2</v>
      </c>
      <c r="F322" s="222" t="s">
        <v>2175</v>
      </c>
      <c r="G322" s="224">
        <v>87</v>
      </c>
      <c r="H322" s="125">
        <f t="shared" si="43"/>
        <v>1473.840430213158</v>
      </c>
      <c r="J322" s="256"/>
      <c r="P322" s="325"/>
      <c r="Q322" s="256"/>
    </row>
    <row r="323" spans="1:17" x14ac:dyDescent="0.3">
      <c r="A323" s="109" t="str">
        <f ca="1">GasProcessing</f>
        <v>Gas Processing</v>
      </c>
      <c r="B323" s="109" t="str">
        <f ca="1">'Translation Table'!H1674</f>
        <v>Reciprocating Compressor Rod Packing (Standby Mode)</v>
      </c>
      <c r="C323" s="671">
        <f>E323*H323/(G323/100)/4</f>
        <v>27.443925252245009</v>
      </c>
      <c r="D323" s="222" t="s">
        <v>3389</v>
      </c>
      <c r="E323" s="222">
        <f>0.0027*24</f>
        <v>6.4799999999999996E-2</v>
      </c>
      <c r="F323" s="222" t="s">
        <v>2175</v>
      </c>
      <c r="G323" s="224">
        <v>87</v>
      </c>
      <c r="H323" s="109">
        <f t="shared" si="43"/>
        <v>1473.840430213158</v>
      </c>
      <c r="J323" s="256"/>
      <c r="P323" s="325"/>
      <c r="Q323" s="256"/>
    </row>
    <row r="324" spans="1:17" x14ac:dyDescent="0.3">
      <c r="A324" s="125" t="str">
        <f ca="1">GasProcessing</f>
        <v>Gas Processing</v>
      </c>
      <c r="B324" s="125" t="str">
        <f ca="1">'Translation Table'!H1675</f>
        <v>Reciprocating Compressor Rod Packing (Average)</v>
      </c>
      <c r="C324" s="126">
        <f>E324*H324/(G324/100)/4</f>
        <v>18.956820128522882</v>
      </c>
      <c r="D324" s="222" t="s">
        <v>3388</v>
      </c>
      <c r="E324" s="222">
        <f>16.3/365</f>
        <v>4.4657534246575342E-2</v>
      </c>
      <c r="F324" s="222" t="s">
        <v>2175</v>
      </c>
      <c r="G324" s="224">
        <v>86.8</v>
      </c>
      <c r="H324" s="125">
        <f t="shared" si="43"/>
        <v>1473.840430213158</v>
      </c>
      <c r="J324" s="256"/>
      <c r="P324" s="325"/>
      <c r="Q324" s="256"/>
    </row>
    <row r="325" spans="1:17" x14ac:dyDescent="0.3">
      <c r="A325" s="109" t="str">
        <f ca="1">GasProcessing</f>
        <v>Gas Processing</v>
      </c>
      <c r="B325" s="109" t="str">
        <f ca="1">'Translation Table'!H1676</f>
        <v>Centrifugal Compressor (Wet Seal)</v>
      </c>
      <c r="C325" s="671">
        <f>E325*H325/(G325/100)/2</f>
        <v>201.0353329703353</v>
      </c>
      <c r="D325" s="222" t="s">
        <v>3387</v>
      </c>
      <c r="E325" s="222">
        <f>86.43/365</f>
        <v>0.23679452054794523</v>
      </c>
      <c r="F325" s="222" t="s">
        <v>2175</v>
      </c>
      <c r="G325" s="224">
        <v>86.8</v>
      </c>
      <c r="H325" s="109">
        <f t="shared" si="43"/>
        <v>1473.840430213158</v>
      </c>
      <c r="J325" s="256"/>
      <c r="P325" s="325"/>
      <c r="Q325" s="256"/>
    </row>
    <row r="326" spans="1:17" x14ac:dyDescent="0.3">
      <c r="A326" s="125" t="str">
        <f ca="1">GasProcessing</f>
        <v>Gas Processing</v>
      </c>
      <c r="B326" s="125" t="str">
        <f ca="1">'Translation Table'!H1677</f>
        <v>Centrifugal Compressor (Dry Seal)</v>
      </c>
      <c r="C326" s="126">
        <f>E326*H326/(G326/100)/2</f>
        <v>65.569663732890803</v>
      </c>
      <c r="D326" s="222" t="s">
        <v>3387</v>
      </c>
      <c r="E326" s="222">
        <f>28.19/365</f>
        <v>7.7232876712328771E-2</v>
      </c>
      <c r="F326" s="222" t="s">
        <v>2175</v>
      </c>
      <c r="G326" s="224">
        <v>86.8</v>
      </c>
      <c r="H326" s="125">
        <f t="shared" si="43"/>
        <v>1473.840430213158</v>
      </c>
      <c r="J326" s="256"/>
      <c r="P326" s="325"/>
      <c r="Q326" s="256"/>
    </row>
    <row r="327" spans="1:17" x14ac:dyDescent="0.3">
      <c r="A327" s="48" t="str">
        <f ca="1">GasTransmission</f>
        <v>Gas Transmission</v>
      </c>
      <c r="B327" s="109" t="str">
        <f ca="1">'Translation Table'!H1673</f>
        <v>Reciprocating Compressor Rod Packing (Operating Mode)</v>
      </c>
      <c r="C327" s="671">
        <f>E327*H327/(G327/100)/4</f>
        <v>18.557134324739547</v>
      </c>
      <c r="D327" s="222" t="s">
        <v>3385</v>
      </c>
      <c r="E327" s="222">
        <f>0.00196*24</f>
        <v>4.7039999999999998E-2</v>
      </c>
      <c r="F327" s="222" t="s">
        <v>2175</v>
      </c>
      <c r="G327" s="224">
        <v>93.4</v>
      </c>
      <c r="H327" s="109">
        <f t="shared" si="43"/>
        <v>1473.840430213158</v>
      </c>
      <c r="J327" s="256"/>
      <c r="P327" s="325"/>
      <c r="Q327" s="256"/>
    </row>
    <row r="328" spans="1:17" x14ac:dyDescent="0.3">
      <c r="A328" s="81" t="str">
        <f ca="1">GasTransmission</f>
        <v>Gas Transmission</v>
      </c>
      <c r="B328" s="125" t="str">
        <f ca="1">'Translation Table'!H1674</f>
        <v>Reciprocating Compressor Rod Packing (Standby Mode)</v>
      </c>
      <c r="C328" s="126">
        <f>E328*H328/(G328/100)/4</f>
        <v>11.74022783810053</v>
      </c>
      <c r="D328" s="222" t="s">
        <v>3385</v>
      </c>
      <c r="E328" s="222">
        <f>0.00124*24</f>
        <v>2.9760000000000002E-2</v>
      </c>
      <c r="F328" s="222" t="s">
        <v>2175</v>
      </c>
      <c r="G328" s="224">
        <v>93.4</v>
      </c>
      <c r="H328" s="125">
        <f t="shared" si="43"/>
        <v>1473.840430213158</v>
      </c>
      <c r="J328" s="256"/>
      <c r="P328" s="325"/>
      <c r="Q328" s="256"/>
    </row>
    <row r="329" spans="1:17" x14ac:dyDescent="0.3">
      <c r="A329" s="48" t="str">
        <f ca="1">GasTransmission</f>
        <v>Gas Transmission</v>
      </c>
      <c r="B329" s="109" t="str">
        <f ca="1">'Translation Table'!H1675</f>
        <v>Reciprocating Compressor Rod Packing (Average)</v>
      </c>
      <c r="C329" s="671">
        <f>E329*H329/(G329/100)/4</f>
        <v>70.252008515085436</v>
      </c>
      <c r="D329" s="222" t="s">
        <v>3385</v>
      </c>
      <c r="E329" s="222">
        <f>0.00742*24</f>
        <v>0.17808000000000002</v>
      </c>
      <c r="F329" s="222" t="s">
        <v>2175</v>
      </c>
      <c r="G329" s="224">
        <v>93.4</v>
      </c>
      <c r="H329" s="109">
        <f t="shared" si="43"/>
        <v>1473.840430213158</v>
      </c>
      <c r="J329" s="256"/>
      <c r="P329" s="325"/>
      <c r="Q329" s="256"/>
    </row>
    <row r="330" spans="1:17" x14ac:dyDescent="0.3">
      <c r="A330" s="81" t="str">
        <f ca="1">GasTransmission</f>
        <v>Gas Transmission</v>
      </c>
      <c r="B330" s="125" t="str">
        <f ca="1">'Translation Table'!H1676</f>
        <v>Centrifugal Compressor (Wet Seal)</v>
      </c>
      <c r="C330" s="126">
        <f>E330*H330/(G330/100)/2</f>
        <v>348.41966487266092</v>
      </c>
      <c r="D330" s="222" t="s">
        <v>3383</v>
      </c>
      <c r="E330" s="222">
        <f>0.0184*24</f>
        <v>0.44159999999999999</v>
      </c>
      <c r="F330" s="222" t="s">
        <v>2175</v>
      </c>
      <c r="G330" s="224">
        <v>93.4</v>
      </c>
      <c r="H330" s="125">
        <f t="shared" si="43"/>
        <v>1473.840430213158</v>
      </c>
      <c r="J330" s="256"/>
      <c r="P330" s="325"/>
      <c r="Q330" s="256"/>
    </row>
    <row r="331" spans="1:17" x14ac:dyDescent="0.3">
      <c r="A331" s="48" t="str">
        <f ca="1">GasTransmission</f>
        <v>Gas Transmission</v>
      </c>
      <c r="B331" s="109" t="str">
        <f ca="1">'Translation Table'!H1677</f>
        <v>Centrifugal Compressor (Dry Seal)</v>
      </c>
      <c r="C331" s="671">
        <f>E331*H331/(G331/100)/2</f>
        <v>108.88114527270653</v>
      </c>
      <c r="D331" s="222" t="s">
        <v>3383</v>
      </c>
      <c r="E331" s="222">
        <f>0.00575*24</f>
        <v>0.13800000000000001</v>
      </c>
      <c r="F331" s="222" t="s">
        <v>2175</v>
      </c>
      <c r="G331" s="224">
        <v>93.4</v>
      </c>
      <c r="H331" s="109">
        <f t="shared" si="43"/>
        <v>1473.840430213158</v>
      </c>
      <c r="J331" s="256"/>
      <c r="P331" s="325"/>
      <c r="Q331" s="256"/>
    </row>
    <row r="332" spans="1:17" x14ac:dyDescent="0.3">
      <c r="A332" s="81" t="str">
        <f ca="1">GasStorage</f>
        <v>Gas Storage</v>
      </c>
      <c r="B332" s="125" t="str">
        <f ca="1">'Translation Table'!H1673</f>
        <v>Reciprocating Compressor Rod Packing (Operating Mode)</v>
      </c>
      <c r="C332" s="126">
        <f>E332*H332/(G332/100)/4</f>
        <v>22.817700878888932</v>
      </c>
      <c r="D332" s="222" t="s">
        <v>3385</v>
      </c>
      <c r="E332" s="222">
        <f>0.00241*24</f>
        <v>5.7839999999999996E-2</v>
      </c>
      <c r="F332" s="222" t="s">
        <v>2175</v>
      </c>
      <c r="G332" s="224">
        <v>93.4</v>
      </c>
      <c r="H332" s="125">
        <f t="shared" si="43"/>
        <v>1473.840430213158</v>
      </c>
      <c r="J332" s="256"/>
      <c r="P332" s="325"/>
      <c r="Q332" s="256"/>
    </row>
    <row r="333" spans="1:17" x14ac:dyDescent="0.3">
      <c r="A333" s="48" t="str">
        <f ca="1">GasStorage</f>
        <v>Gas Storage</v>
      </c>
      <c r="B333" s="109" t="str">
        <f ca="1">'Translation Table'!H1674</f>
        <v>Reciprocating Compressor Rod Packing (Standby Mode)</v>
      </c>
      <c r="C333" s="671">
        <f>E333*H333/(G333/100)/4</f>
        <v>22.154946081576806</v>
      </c>
      <c r="D333" s="222" t="s">
        <v>3385</v>
      </c>
      <c r="E333" s="222">
        <f>0.00234*24</f>
        <v>5.6160000000000002E-2</v>
      </c>
      <c r="F333" s="222" t="s">
        <v>2175</v>
      </c>
      <c r="G333" s="224">
        <v>93.4</v>
      </c>
      <c r="H333" s="109">
        <f t="shared" si="43"/>
        <v>1473.840430213158</v>
      </c>
      <c r="J333" s="256"/>
      <c r="P333" s="325"/>
      <c r="Q333" s="256"/>
    </row>
    <row r="334" spans="1:17" x14ac:dyDescent="0.3">
      <c r="A334" s="81" t="str">
        <f ca="1">GasStorage</f>
        <v>Gas Storage</v>
      </c>
      <c r="B334" s="125" t="str">
        <f ca="1">'Translation Table'!H1675</f>
        <v>Reciprocating Compressor Rod Packing (Average)</v>
      </c>
      <c r="C334" s="126">
        <f>E334*H334/(G334/100)/4</f>
        <v>75.648726150341332</v>
      </c>
      <c r="D334" s="222" t="s">
        <v>3385</v>
      </c>
      <c r="E334" s="222">
        <f>0.00799*24</f>
        <v>0.19176000000000001</v>
      </c>
      <c r="F334" s="222" t="s">
        <v>2175</v>
      </c>
      <c r="G334" s="224">
        <v>93.4</v>
      </c>
      <c r="H334" s="125">
        <f t="shared" si="43"/>
        <v>1473.840430213158</v>
      </c>
      <c r="J334" s="256"/>
      <c r="P334" s="325"/>
      <c r="Q334" s="256"/>
    </row>
    <row r="335" spans="1:17" x14ac:dyDescent="0.3">
      <c r="A335" s="48" t="str">
        <f ca="1">GasStorage</f>
        <v>Gas Storage</v>
      </c>
      <c r="B335" s="109" t="str">
        <f ca="1">'Translation Table'!H1676</f>
        <v>Centrifugal Compressor (Wet Seal)</v>
      </c>
      <c r="C335" s="671">
        <f>E335*H335/(G335/100)/2</f>
        <v>348.41966487266092</v>
      </c>
      <c r="D335" s="222" t="s">
        <v>3383</v>
      </c>
      <c r="E335" s="222">
        <f>0.0184*24</f>
        <v>0.44159999999999999</v>
      </c>
      <c r="F335" s="222" t="s">
        <v>2175</v>
      </c>
      <c r="G335" s="224">
        <v>93.4</v>
      </c>
      <c r="H335" s="109">
        <f t="shared" si="43"/>
        <v>1473.840430213158</v>
      </c>
      <c r="J335" s="256"/>
      <c r="P335" s="325"/>
      <c r="Q335" s="256"/>
    </row>
    <row r="336" spans="1:17" x14ac:dyDescent="0.3">
      <c r="A336" s="81" t="str">
        <f ca="1">GasStorage</f>
        <v>Gas Storage</v>
      </c>
      <c r="B336" s="125" t="str">
        <f ca="1">'Translation Table'!H1677</f>
        <v>Centrifugal Compressor (Dry Seal)</v>
      </c>
      <c r="C336" s="126">
        <f>E336*H336/(G336/100)/2</f>
        <v>108.88114527270653</v>
      </c>
      <c r="D336" s="222" t="s">
        <v>3383</v>
      </c>
      <c r="E336" s="222">
        <f>0.00575*24</f>
        <v>0.13800000000000001</v>
      </c>
      <c r="F336" s="222" t="s">
        <v>2175</v>
      </c>
      <c r="G336" s="224">
        <v>93.4</v>
      </c>
      <c r="H336" s="125">
        <f t="shared" si="43"/>
        <v>1473.840430213158</v>
      </c>
      <c r="J336" s="256"/>
      <c r="P336" s="325"/>
      <c r="Q336" s="256"/>
    </row>
    <row r="337" spans="1:17" x14ac:dyDescent="0.3">
      <c r="A337" s="48" t="s">
        <v>34</v>
      </c>
      <c r="B337" s="109" t="str">
        <f ca="1">'Translation Table'!H1673</f>
        <v>Reciprocating Compressor Rod Packing (Operating Mode)</v>
      </c>
      <c r="C337" s="671">
        <f>E337*H337/(G337/100)/4</f>
        <v>18.557134324739547</v>
      </c>
      <c r="D337" s="222" t="s">
        <v>3386</v>
      </c>
      <c r="E337" s="222">
        <f>0.00196*24</f>
        <v>4.7039999999999998E-2</v>
      </c>
      <c r="F337" s="222" t="s">
        <v>2175</v>
      </c>
      <c r="G337" s="224">
        <v>93.4</v>
      </c>
      <c r="H337" s="109">
        <f t="shared" si="43"/>
        <v>1473.840430213158</v>
      </c>
      <c r="J337" s="256"/>
      <c r="P337" s="325"/>
      <c r="Q337" s="256"/>
    </row>
    <row r="338" spans="1:17" x14ac:dyDescent="0.3">
      <c r="A338" s="81" t="s">
        <v>34</v>
      </c>
      <c r="B338" s="125" t="str">
        <f ca="1">'Translation Table'!H1674</f>
        <v>Reciprocating Compressor Rod Packing (Standby Mode)</v>
      </c>
      <c r="C338" s="126">
        <f>E338*H338/(G338/100)/4</f>
        <v>11.74022783810053</v>
      </c>
      <c r="D338" s="222" t="s">
        <v>3386</v>
      </c>
      <c r="E338" s="222">
        <f>0.00124*24</f>
        <v>2.9760000000000002E-2</v>
      </c>
      <c r="F338" s="222" t="s">
        <v>2175</v>
      </c>
      <c r="G338" s="224">
        <v>93.4</v>
      </c>
      <c r="H338" s="125">
        <f t="shared" si="43"/>
        <v>1473.840430213158</v>
      </c>
      <c r="J338" s="256"/>
      <c r="P338" s="325"/>
      <c r="Q338" s="256"/>
    </row>
    <row r="339" spans="1:17" x14ac:dyDescent="0.3">
      <c r="A339" s="48" t="s">
        <v>34</v>
      </c>
      <c r="B339" s="109" t="str">
        <f ca="1">'Translation Table'!H1675</f>
        <v>Reciprocating Compressor Rod Packing (Average)</v>
      </c>
      <c r="C339" s="671">
        <f>E339*H339/(G339/100)/4</f>
        <v>70.252008515085436</v>
      </c>
      <c r="D339" s="222" t="s">
        <v>3386</v>
      </c>
      <c r="E339" s="222">
        <f>0.00742*24</f>
        <v>0.17808000000000002</v>
      </c>
      <c r="F339" s="222" t="s">
        <v>2175</v>
      </c>
      <c r="G339" s="224">
        <v>93.4</v>
      </c>
      <c r="H339" s="109">
        <f t="shared" si="43"/>
        <v>1473.840430213158</v>
      </c>
      <c r="J339" s="256"/>
      <c r="P339" s="325"/>
      <c r="Q339" s="256"/>
    </row>
    <row r="340" spans="1:17" x14ac:dyDescent="0.3">
      <c r="A340" s="81" t="s">
        <v>34</v>
      </c>
      <c r="B340" s="125" t="str">
        <f ca="1">'Translation Table'!H1676</f>
        <v>Centrifugal Compressor (Wet Seal)</v>
      </c>
      <c r="C340" s="126">
        <f>E340*H340/(G340/100)/2</f>
        <v>348.41966487266092</v>
      </c>
      <c r="D340" s="222" t="s">
        <v>3384</v>
      </c>
      <c r="E340" s="222">
        <f>0.0184*24</f>
        <v>0.44159999999999999</v>
      </c>
      <c r="F340" s="222" t="s">
        <v>2175</v>
      </c>
      <c r="G340" s="224">
        <v>93.4</v>
      </c>
      <c r="H340" s="125">
        <f t="shared" si="43"/>
        <v>1473.840430213158</v>
      </c>
      <c r="J340" s="256"/>
      <c r="P340" s="325"/>
      <c r="Q340" s="256"/>
    </row>
    <row r="341" spans="1:17" x14ac:dyDescent="0.3">
      <c r="A341" s="48" t="s">
        <v>34</v>
      </c>
      <c r="B341" s="109" t="str">
        <f ca="1">'Translation Table'!H1677</f>
        <v>Centrifugal Compressor (Dry Seal)</v>
      </c>
      <c r="C341" s="671">
        <f>E341*H341/(G341/100)/2</f>
        <v>108.88114527270653</v>
      </c>
      <c r="D341" s="222" t="s">
        <v>3384</v>
      </c>
      <c r="E341" s="222">
        <f>0.00575*24</f>
        <v>0.13800000000000001</v>
      </c>
      <c r="F341" s="222" t="s">
        <v>2175</v>
      </c>
      <c r="G341" s="224">
        <v>93.4</v>
      </c>
      <c r="H341" s="109">
        <f t="shared" si="43"/>
        <v>1473.840430213158</v>
      </c>
      <c r="J341" s="256"/>
      <c r="P341" s="325"/>
      <c r="Q341" s="256"/>
    </row>
    <row r="342" spans="1:17" x14ac:dyDescent="0.3">
      <c r="A342" s="81" t="str">
        <f ca="1">PetroleumRefining</f>
        <v>Petroleum Refining</v>
      </c>
      <c r="B342" s="125" t="str">
        <f ca="1">'Translation Table'!H1673</f>
        <v>Reciprocating Compressor Rod Packing (Operating Mode)</v>
      </c>
      <c r="C342" s="126">
        <f>E342*H342/(G342/100)/4</f>
        <v>18.557134324739547</v>
      </c>
      <c r="D342" s="222" t="s">
        <v>3386</v>
      </c>
      <c r="E342" s="222">
        <f>0.00196*24</f>
        <v>4.7039999999999998E-2</v>
      </c>
      <c r="F342" s="222" t="s">
        <v>2175</v>
      </c>
      <c r="G342" s="224">
        <v>93.4</v>
      </c>
      <c r="H342" s="125">
        <f t="shared" si="43"/>
        <v>1473.840430213158</v>
      </c>
      <c r="J342" s="256"/>
      <c r="P342" s="325"/>
      <c r="Q342" s="256"/>
    </row>
    <row r="343" spans="1:17" x14ac:dyDescent="0.3">
      <c r="A343" s="48" t="str">
        <f ca="1">PetroleumRefining</f>
        <v>Petroleum Refining</v>
      </c>
      <c r="B343" s="109" t="str">
        <f ca="1">'Translation Table'!H1674</f>
        <v>Reciprocating Compressor Rod Packing (Standby Mode)</v>
      </c>
      <c r="C343" s="671">
        <f>E343*H343/(G343/100)/4</f>
        <v>11.74022783810053</v>
      </c>
      <c r="D343" s="222" t="s">
        <v>3386</v>
      </c>
      <c r="E343" s="222">
        <f>0.00124*24</f>
        <v>2.9760000000000002E-2</v>
      </c>
      <c r="F343" s="222" t="s">
        <v>2175</v>
      </c>
      <c r="G343" s="224">
        <v>93.4</v>
      </c>
      <c r="H343" s="109">
        <f t="shared" si="43"/>
        <v>1473.840430213158</v>
      </c>
      <c r="J343" s="256"/>
      <c r="P343" s="325"/>
      <c r="Q343" s="256"/>
    </row>
    <row r="344" spans="1:17" x14ac:dyDescent="0.3">
      <c r="A344" s="81" t="str">
        <f ca="1">PetroleumRefining</f>
        <v>Petroleum Refining</v>
      </c>
      <c r="B344" s="125" t="str">
        <f ca="1">'Translation Table'!H1675</f>
        <v>Reciprocating Compressor Rod Packing (Average)</v>
      </c>
      <c r="C344" s="126">
        <f>E344*H344/(G344/100)/4</f>
        <v>70.252008515085436</v>
      </c>
      <c r="D344" s="222" t="s">
        <v>3386</v>
      </c>
      <c r="E344" s="222">
        <f>0.00742*24</f>
        <v>0.17808000000000002</v>
      </c>
      <c r="F344" s="222" t="s">
        <v>2175</v>
      </c>
      <c r="G344" s="224">
        <v>93.4</v>
      </c>
      <c r="H344" s="125">
        <f t="shared" si="43"/>
        <v>1473.840430213158</v>
      </c>
      <c r="J344" s="256"/>
      <c r="P344" s="325"/>
      <c r="Q344" s="256"/>
    </row>
    <row r="345" spans="1:17" x14ac:dyDescent="0.3">
      <c r="A345" s="48" t="str">
        <f ca="1">PetroleumRefining</f>
        <v>Petroleum Refining</v>
      </c>
      <c r="B345" s="109" t="str">
        <f ca="1">'Translation Table'!H1676</f>
        <v>Centrifugal Compressor (Wet Seal)</v>
      </c>
      <c r="C345" s="671">
        <f>E345*H345/(G345/100)/2</f>
        <v>348.41966487266092</v>
      </c>
      <c r="D345" s="222" t="s">
        <v>3384</v>
      </c>
      <c r="E345" s="222">
        <f>0.0184*24</f>
        <v>0.44159999999999999</v>
      </c>
      <c r="F345" s="222" t="s">
        <v>2175</v>
      </c>
      <c r="G345" s="224">
        <v>93.4</v>
      </c>
      <c r="H345" s="109">
        <f t="shared" si="43"/>
        <v>1473.840430213158</v>
      </c>
      <c r="J345" s="256"/>
      <c r="P345" s="325"/>
      <c r="Q345" s="256"/>
    </row>
    <row r="346" spans="1:17" x14ac:dyDescent="0.3">
      <c r="A346" s="81" t="str">
        <f ca="1">PetroleumRefining</f>
        <v>Petroleum Refining</v>
      </c>
      <c r="B346" s="125" t="str">
        <f ca="1">'Translation Table'!H1677</f>
        <v>Centrifugal Compressor (Dry Seal)</v>
      </c>
      <c r="C346" s="126">
        <f>E346*H346/(G346/100)/2</f>
        <v>108.88114527270653</v>
      </c>
      <c r="D346" s="222" t="s">
        <v>3384</v>
      </c>
      <c r="E346" s="222">
        <f>0.00575*24</f>
        <v>0.13800000000000001</v>
      </c>
      <c r="F346" s="222" t="s">
        <v>2175</v>
      </c>
      <c r="G346" s="224">
        <v>93.4</v>
      </c>
      <c r="H346" s="125">
        <f t="shared" si="43"/>
        <v>1473.840430213158</v>
      </c>
      <c r="J346" s="256"/>
      <c r="P346" s="325"/>
      <c r="Q346" s="256"/>
    </row>
    <row r="350" spans="1:17" x14ac:dyDescent="0.3">
      <c r="B350" s="110" t="str">
        <f ca="1">'Translation Table'!H1681</f>
        <v>Important: values highlighted in red are assumed.</v>
      </c>
    </row>
  </sheetData>
  <sheetProtection algorithmName="SHA-512" hashValue="YKdQmt/0DXxJoaiMj2pr/dUgPxjdiHUAuoRlJ00hordxVxm3P4TvSms+ZnryKYKPwPkanN/aWTXynVcKSTiGFA==" saltValue="XrleKzUUU3yZCRwoNfQ07w==" spinCount="100000" sheet="1" objects="1" scenarios="1"/>
  <sortState xmlns:xlrd2="http://schemas.microsoft.com/office/spreadsheetml/2017/richdata2" ref="B106:H107">
    <sortCondition ref="B106"/>
  </sortState>
  <mergeCells count="25">
    <mergeCell ref="A197:B197"/>
    <mergeCell ref="A208:B208"/>
    <mergeCell ref="A221:B221"/>
    <mergeCell ref="A296:B296"/>
    <mergeCell ref="A1:B1"/>
    <mergeCell ref="A56:B56"/>
    <mergeCell ref="A92:B92"/>
    <mergeCell ref="A117:B117"/>
    <mergeCell ref="A125:B125"/>
    <mergeCell ref="E3:F3"/>
    <mergeCell ref="E94:G94"/>
    <mergeCell ref="E210:G210"/>
    <mergeCell ref="E58:G58"/>
    <mergeCell ref="E119:G119"/>
    <mergeCell ref="E127:G127"/>
    <mergeCell ref="E199:G199"/>
    <mergeCell ref="E298:G298"/>
    <mergeCell ref="L4:M4"/>
    <mergeCell ref="N4:N5"/>
    <mergeCell ref="C223:D223"/>
    <mergeCell ref="F223:H223"/>
    <mergeCell ref="K4:K5"/>
    <mergeCell ref="K62:K63"/>
    <mergeCell ref="L62:M62"/>
    <mergeCell ref="N62:N63"/>
  </mergeCells>
  <phoneticPr fontId="12" type="noConversion"/>
  <dataValidations count="2">
    <dataValidation type="custom" allowBlank="1" showInputMessage="1" showErrorMessage="1" error="The value you entered is not valid._x000a__x000a_This cell accepts only zero and positive numeric values." sqref="E123 E203:E206 E214:E219 E98:E115 E131:E195 E302:E346 F227:F294 E62:E88 E6:E54" xr:uid="{00000000-0002-0000-0600-000002000000}">
      <formula1>ISNUMBER(E6)</formula1>
    </dataValidation>
    <dataValidation type="decimal" allowBlank="1" showInputMessage="1" showErrorMessage="1" error="The value you entered is not valid._x000a__x000a_This cell accepts only values between 0 and 100." sqref="G203:G206 G214:G219 G98:G115 G131:G195 G302:G346 G62:G88 H227:H294" xr:uid="{A88D186F-51A6-4488-A8B5-70C32A990693}">
      <formula1>0</formula1>
      <formula2>100</formula2>
    </dataValidation>
  </dataValidations>
  <pageMargins left="0.7" right="0.7" top="0.75" bottom="0.75" header="0.3" footer="0.3"/>
  <pageSetup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AB3E58"/>
  </sheetPr>
  <dimension ref="A1:Y54"/>
  <sheetViews>
    <sheetView showGridLines="0" topLeftCell="A23" zoomScaleNormal="100" workbookViewId="0">
      <selection activeCell="A57" sqref="A57"/>
    </sheetView>
  </sheetViews>
  <sheetFormatPr defaultColWidth="9.1796875" defaultRowHeight="14" x14ac:dyDescent="0.3"/>
  <cols>
    <col min="1" max="1" width="26" style="256" customWidth="1"/>
    <col min="2" max="2" width="9.26953125" style="256" bestFit="1" customWidth="1"/>
    <col min="3" max="3" width="17.54296875" style="256" bestFit="1" customWidth="1"/>
    <col min="4" max="4" width="9.54296875" style="256" customWidth="1"/>
    <col min="5" max="5" width="13" style="256" customWidth="1"/>
    <col min="6" max="6" width="10.1796875" style="256" bestFit="1" customWidth="1"/>
    <col min="7" max="7" width="10.26953125" style="256" bestFit="1" customWidth="1"/>
    <col min="8" max="8" width="10.81640625" style="256" customWidth="1"/>
    <col min="9" max="9" width="13.1796875" style="256" customWidth="1"/>
    <col min="10" max="10" width="10.26953125" style="256" bestFit="1" customWidth="1"/>
    <col min="11" max="13" width="10.54296875" style="256" bestFit="1" customWidth="1"/>
    <col min="14" max="14" width="15.7265625" style="256" bestFit="1" customWidth="1"/>
    <col min="15" max="15" width="9.26953125" style="256" bestFit="1" customWidth="1"/>
    <col min="16" max="16" width="10.1796875" style="256" bestFit="1" customWidth="1"/>
    <col min="17" max="17" width="10.54296875" style="256" bestFit="1" customWidth="1"/>
    <col min="18" max="18" width="14.54296875" style="256" bestFit="1" customWidth="1"/>
    <col min="19" max="19" width="5.81640625" style="256" customWidth="1"/>
    <col min="20" max="20" width="6.81640625" style="256" customWidth="1"/>
    <col min="21" max="21" width="5.453125" style="256" customWidth="1"/>
    <col min="22" max="22" width="4.81640625" style="256" customWidth="1"/>
    <col min="23" max="23" width="6" style="256" customWidth="1"/>
    <col min="24" max="24" width="20" style="256" bestFit="1" customWidth="1"/>
    <col min="25" max="25" width="9.26953125" style="256" bestFit="1" customWidth="1"/>
    <col min="26" max="16384" width="9.1796875" style="256"/>
  </cols>
  <sheetData>
    <row r="1" spans="1:25" ht="22.5" x14ac:dyDescent="0.45">
      <c r="A1" s="1118" t="str">
        <f ca="1">'Translation Table'!H2393</f>
        <v>Chemical Library</v>
      </c>
      <c r="B1" s="1118"/>
      <c r="C1" s="1118"/>
      <c r="S1" s="45" t="s">
        <v>641</v>
      </c>
      <c r="T1" s="45" t="s">
        <v>642</v>
      </c>
      <c r="U1" s="45" t="s">
        <v>644</v>
      </c>
      <c r="V1" s="45" t="s">
        <v>645</v>
      </c>
      <c r="W1" s="45" t="s">
        <v>643</v>
      </c>
    </row>
    <row r="2" spans="1:25" ht="22.9" customHeight="1" x14ac:dyDescent="0.3">
      <c r="A2" s="1119" t="str">
        <f ca="1">'Translation Table'!H2394</f>
        <v>Substance</v>
      </c>
      <c r="B2" s="1120"/>
      <c r="C2" s="564" t="str">
        <f ca="1">'Translation Table'!H2395</f>
        <v>Molecular Weight</v>
      </c>
      <c r="D2" s="1110" t="str">
        <f ca="1">'Translation Table'!H2396</f>
        <v>Gas Density at STP</v>
      </c>
      <c r="E2" s="1112"/>
      <c r="F2" s="1110" t="str">
        <f ca="1">'Translation Table'!H2397</f>
        <v>Liquid Density</v>
      </c>
      <c r="G2" s="1112"/>
      <c r="H2" s="1110" t="str">
        <f ca="1">'Translation Table'!H2398</f>
        <v>Specific Heat Capacity (Cp)</v>
      </c>
      <c r="I2" s="1111"/>
      <c r="J2" s="1112"/>
      <c r="K2" s="1110" t="str">
        <f ca="1">'Translation Table'!H2399</f>
        <v>Lower Heating Value</v>
      </c>
      <c r="L2" s="1111"/>
      <c r="M2" s="1111"/>
      <c r="N2" s="1112"/>
      <c r="O2" s="1110" t="str">
        <f ca="1">'Translation Table'!H2400</f>
        <v>Higher Heating Value</v>
      </c>
      <c r="P2" s="1111"/>
      <c r="Q2" s="1111"/>
      <c r="R2" s="1112"/>
      <c r="S2" s="1110" t="str">
        <f ca="1">'Translation Table'!H2401</f>
        <v>Composition (Atoms/Molecule)</v>
      </c>
      <c r="T2" s="1111"/>
      <c r="U2" s="1111"/>
      <c r="V2" s="1111"/>
      <c r="W2" s="1112"/>
      <c r="X2" s="1113" t="str">
        <f ca="1">'Translation Table'!H2402</f>
        <v>Carbon Content</v>
      </c>
      <c r="Y2" s="1114"/>
    </row>
    <row r="3" spans="1:25" ht="15.5" x14ac:dyDescent="0.35">
      <c r="A3" s="1117" t="str">
        <f ca="1">'Translation Table'!H2403</f>
        <v>Name</v>
      </c>
      <c r="B3" s="1117" t="str">
        <f ca="1">'Translation Table'!H2404</f>
        <v>Formula</v>
      </c>
      <c r="C3" s="1117" t="str">
        <f ca="1">'Translation Table'!H2405</f>
        <v>(kg/kmol)</v>
      </c>
      <c r="D3" s="565" t="str">
        <f ca="1">'Translation Table'!H2406</f>
        <v>At 15°C</v>
      </c>
      <c r="E3" s="565" t="str">
        <f ca="1">'Translation Table'!H2407</f>
        <v>At Standard T</v>
      </c>
      <c r="F3" s="1119" t="str">
        <f ca="1">'Translation Table'!H2408</f>
        <v>At 15°C</v>
      </c>
      <c r="G3" s="1120"/>
      <c r="H3" s="1119" t="str">
        <f ca="1">'Translation Table'!H2409</f>
        <v>Ideal Gas</v>
      </c>
      <c r="I3" s="1120"/>
      <c r="J3" s="565" t="str">
        <f ca="1">'Translation Table'!H2410</f>
        <v>Liquid</v>
      </c>
      <c r="K3" s="1121" t="str">
        <f ca="1">'Translation Table'!H2411</f>
        <v>At 15°C</v>
      </c>
      <c r="L3" s="1122"/>
      <c r="M3" s="1121" t="str">
        <f ca="1">'Translation Table'!H2412</f>
        <v>At Standard T</v>
      </c>
      <c r="N3" s="1122"/>
      <c r="O3" s="1121" t="str">
        <f ca="1">'Translation Table'!H2413</f>
        <v>At 15°C</v>
      </c>
      <c r="P3" s="1122"/>
      <c r="Q3" s="1121" t="str">
        <f ca="1">'Translation Table'!H2414</f>
        <v>At Standard T</v>
      </c>
      <c r="R3" s="1122"/>
      <c r="S3" s="1117" t="str">
        <f ca="1">'Translation Table'!H2415</f>
        <v>C</v>
      </c>
      <c r="T3" s="1117" t="str">
        <f ca="1">'Translation Table'!H2416</f>
        <v>H</v>
      </c>
      <c r="U3" s="1117" t="str">
        <f ca="1">'Translation Table'!H2417</f>
        <v>S</v>
      </c>
      <c r="V3" s="1117" t="str">
        <f ca="1">'Translation Table'!H2418</f>
        <v>N</v>
      </c>
      <c r="W3" s="1117" t="str">
        <f ca="1">'Translation Table'!H2419</f>
        <v>O</v>
      </c>
      <c r="X3" s="1115" t="str">
        <f ca="1">'Translation Table'!H2420</f>
        <v>(tonnes/10^3 Nm3)</v>
      </c>
      <c r="Y3" s="1115" t="str">
        <f ca="1">'Translation Table'!H2421</f>
        <v>kg/kg</v>
      </c>
    </row>
    <row r="4" spans="1:25" ht="15.5" x14ac:dyDescent="0.35">
      <c r="A4" s="1116"/>
      <c r="B4" s="1116"/>
      <c r="C4" s="1116"/>
      <c r="D4" s="565" t="str">
        <f ca="1">'Translation Table'!H2422</f>
        <v>(kg/m3)</v>
      </c>
      <c r="E4" s="565" t="str">
        <f ca="1">'Translation Table'!H2423</f>
        <v>(kg/m3)</v>
      </c>
      <c r="F4" s="565" t="str">
        <f ca="1">'Translation Table'!H2424</f>
        <v>(kg/m3)</v>
      </c>
      <c r="G4" s="565" t="str">
        <f ca="1">'Translation Table'!H2425</f>
        <v>(Nm3/kmol)</v>
      </c>
      <c r="H4" s="566" t="str">
        <f ca="1">'Translation Table'!H2426</f>
        <v>(kJ/(kg·°C)</v>
      </c>
      <c r="I4" s="566" t="str">
        <f ca="1">'Translation Table'!H2427</f>
        <v>(kJ/kmol·°C)</v>
      </c>
      <c r="J4" s="566" t="str">
        <f ca="1">'Translation Table'!H2428</f>
        <v>(kJ/(kg·°C)</v>
      </c>
      <c r="K4" s="567" t="str">
        <f ca="1">'Translation Table'!H2429</f>
        <v>(MJ/m3)</v>
      </c>
      <c r="L4" s="567" t="str">
        <f ca="1">'Translation Table'!H2430</f>
        <v>(MJ/kmol)</v>
      </c>
      <c r="M4" s="567" t="str">
        <f ca="1">'Translation Table'!H2431</f>
        <v>(MJ/kmol)</v>
      </c>
      <c r="N4" s="567" t="str">
        <f ca="1">'Translation Table'!H2432</f>
        <v>(GJ/10^3 Nm3)</v>
      </c>
      <c r="O4" s="567" t="str">
        <f ca="1">'Translation Table'!H2433</f>
        <v>(MJ/m3)</v>
      </c>
      <c r="P4" s="567" t="str">
        <f ca="1">'Translation Table'!H2434</f>
        <v>(MJ/kmol)</v>
      </c>
      <c r="Q4" s="567" t="str">
        <f ca="1">'Translation Table'!H2435</f>
        <v>(MJ/kmol)</v>
      </c>
      <c r="R4" s="567" t="str">
        <f ca="1">'Translation Table'!H2436</f>
        <v>(GJ/10^3 m3)</v>
      </c>
      <c r="S4" s="1116"/>
      <c r="T4" s="1116"/>
      <c r="U4" s="1116"/>
      <c r="V4" s="1116"/>
      <c r="W4" s="1116"/>
      <c r="X4" s="1116"/>
      <c r="Y4" s="1116"/>
    </row>
    <row r="5" spans="1:25" ht="17" x14ac:dyDescent="0.45">
      <c r="A5" s="575" t="str">
        <f ca="1">'Translation Table'!H2437</f>
        <v>Methane</v>
      </c>
      <c r="B5" s="575" t="s">
        <v>2513</v>
      </c>
      <c r="C5" s="576">
        <v>16.042999999999999</v>
      </c>
      <c r="D5" s="576">
        <f>$B$34*$C5/$B$37/(273.15+15)</f>
        <v>0.67849950340646603</v>
      </c>
      <c r="E5" s="576">
        <f>$B$34*$C$5/$B$37/(273.15+$B$33)</f>
        <v>0.67849950340646603</v>
      </c>
      <c r="F5" s="576">
        <v>300</v>
      </c>
      <c r="G5" s="576">
        <v>0.05</v>
      </c>
      <c r="H5" s="576">
        <v>2.2040000000000002</v>
      </c>
      <c r="I5" s="576">
        <f>H5*D5*$B$37*(273.15+15)/$B$34</f>
        <v>35.358772000000002</v>
      </c>
      <c r="J5" s="576">
        <v>0</v>
      </c>
      <c r="K5" s="576">
        <v>33.936</v>
      </c>
      <c r="L5" s="576">
        <f>K5*($B$37*(273.15+15)/$B$34)</f>
        <v>802.4106801355274</v>
      </c>
      <c r="M5" s="576">
        <f>-(-L5-(15-$B$33)*($S5*$I$18+$T5/2*$I$20+$V5/2*$I$19+$U5*$I$21-$I5-($S5+$T5/4-$W5/2+$U5)*$I$22)/1000)</f>
        <v>802.4106801355274</v>
      </c>
      <c r="N5" s="576">
        <f>M5/$B$35</f>
        <v>33.936</v>
      </c>
      <c r="O5" s="577">
        <v>37.694000000000003</v>
      </c>
      <c r="P5" s="576">
        <f>O5*($B$37*(273.15+15)/$B$34)</f>
        <v>891.26792129386399</v>
      </c>
      <c r="Q5" s="578">
        <f>-(-P5-(15-$B$33)*($S5*$I$18+$T5/2*$J$20*F5*G5+$V5/2*$I$19+$U5*$I$21-$I5-($S5+$T5/4-$W5/2+$U5)*$I$22)/1000)</f>
        <v>891.26792129386399</v>
      </c>
      <c r="R5" s="576">
        <f>Q5/$B$35</f>
        <v>37.694000000000003</v>
      </c>
      <c r="S5" s="579">
        <v>1</v>
      </c>
      <c r="T5" s="579">
        <v>4</v>
      </c>
      <c r="U5" s="580">
        <v>0</v>
      </c>
      <c r="V5" s="580">
        <v>0</v>
      </c>
      <c r="W5" s="580">
        <v>0</v>
      </c>
      <c r="X5" s="581">
        <f>1000/B$35*S5*12.0107/1000</f>
        <v>0.50796322293611185</v>
      </c>
      <c r="Y5" s="581">
        <f t="shared" ref="Y5:Y22" si="0">S5*12.0107/C5</f>
        <v>0.74865673502462138</v>
      </c>
    </row>
    <row r="6" spans="1:25" ht="17" x14ac:dyDescent="0.45">
      <c r="A6" s="193" t="str">
        <f ca="1">'Translation Table'!H2438</f>
        <v>Ethane</v>
      </c>
      <c r="B6" s="193" t="s">
        <v>2514</v>
      </c>
      <c r="C6" s="572">
        <v>30.07</v>
      </c>
      <c r="D6" s="572">
        <f t="shared" ref="D6:D22" si="1">$B$34*$C6/$B$37/(273.15+15)</f>
        <v>1.2717372104614122</v>
      </c>
      <c r="E6" s="572">
        <f t="shared" ref="E6:E22" si="2">B$34*C6/B$37/(273.15+B$33)</f>
        <v>1.2717372104614122</v>
      </c>
      <c r="F6" s="572">
        <v>357.8</v>
      </c>
      <c r="G6" s="572">
        <v>8.4040000000000004E-2</v>
      </c>
      <c r="H6" s="572">
        <v>1.706</v>
      </c>
      <c r="I6" s="572">
        <f t="shared" ref="I6:I22" si="3">H6*D6*$B$37*(273.15+15)/$B$34</f>
        <v>51.299420000000005</v>
      </c>
      <c r="J6" s="572">
        <v>3.8069999999999999</v>
      </c>
      <c r="K6" s="572">
        <v>60.395000000000003</v>
      </c>
      <c r="L6" s="572">
        <f t="shared" ref="L6:L17" si="4">K6*($B$37*(273.15+15)/$B$34)</f>
        <v>1428.029026013236</v>
      </c>
      <c r="M6" s="572">
        <f t="shared" ref="M6:M17" si="5">-(-L6-(15-$B$33)*($S6*$I$18+$T6/2*$I$20+$V6/2*$I$19+$U6*$I$21-$I6-($S6+$T6/4-$W6/2+$U6)*$I$22)/1000)</f>
        <v>1428.029026013236</v>
      </c>
      <c r="N6" s="572">
        <f>M6/$B$35</f>
        <v>60.395000000000003</v>
      </c>
      <c r="O6" s="48">
        <v>66.031999999999996</v>
      </c>
      <c r="P6" s="572">
        <f t="shared" ref="P6:P17" si="6">O6*($B$37*(273.15+15)/$B$34)</f>
        <v>1561.3148877507408</v>
      </c>
      <c r="Q6" s="573">
        <f t="shared" ref="Q6:Q17" si="7">-(-P6-(15-$B$33)*($S6*$I$18+$T6/2*$J$20*F6*G6+$V6/2*$I$19+$U6*$I$21-$I6-($S6+$T6/4-$W6/2+$U6)*$I$22)/1000)</f>
        <v>1561.3148877507408</v>
      </c>
      <c r="R6" s="572">
        <f t="shared" ref="R6:R22" si="8">Q6/$B$35</f>
        <v>66.031999999999996</v>
      </c>
      <c r="S6" s="574">
        <v>2</v>
      </c>
      <c r="T6" s="574">
        <v>6</v>
      </c>
      <c r="U6" s="574">
        <v>0</v>
      </c>
      <c r="V6" s="574">
        <v>0</v>
      </c>
      <c r="W6" s="574">
        <v>0</v>
      </c>
      <c r="X6" s="394">
        <f t="shared" ref="X6:X22" si="9">1000/B$35*S6*12.0107/1000</f>
        <v>1.0159264458722237</v>
      </c>
      <c r="Y6" s="394">
        <f t="shared" si="0"/>
        <v>0.79884935151313596</v>
      </c>
    </row>
    <row r="7" spans="1:25" ht="17" x14ac:dyDescent="0.45">
      <c r="A7" s="575" t="str">
        <f ca="1">'Translation Table'!H2439</f>
        <v>Propane</v>
      </c>
      <c r="B7" s="575" t="s">
        <v>2515</v>
      </c>
      <c r="C7" s="576">
        <v>44.097000000000001</v>
      </c>
      <c r="D7" s="576">
        <f t="shared" si="1"/>
        <v>1.8649749175163581</v>
      </c>
      <c r="E7" s="576">
        <f t="shared" si="2"/>
        <v>1.8649749175163581</v>
      </c>
      <c r="F7" s="576">
        <v>507.8</v>
      </c>
      <c r="G7" s="576">
        <v>8.6840000000000001E-2</v>
      </c>
      <c r="H7" s="576">
        <v>1.625</v>
      </c>
      <c r="I7" s="576">
        <f t="shared" si="3"/>
        <v>71.657624999999996</v>
      </c>
      <c r="J7" s="576">
        <v>2.476</v>
      </c>
      <c r="K7" s="576">
        <v>86.456000000000003</v>
      </c>
      <c r="L7" s="576">
        <f t="shared" si="4"/>
        <v>2044.2367327262245</v>
      </c>
      <c r="M7" s="576">
        <f t="shared" si="5"/>
        <v>2044.2367327262245</v>
      </c>
      <c r="N7" s="576">
        <f t="shared" ref="N7:N22" si="10">M7/$B$35</f>
        <v>86.456000000000003</v>
      </c>
      <c r="O7" s="577">
        <v>93.971999999999994</v>
      </c>
      <c r="P7" s="576">
        <f t="shared" si="6"/>
        <v>2221.9512150428977</v>
      </c>
      <c r="Q7" s="578">
        <f t="shared" si="7"/>
        <v>2221.9512150428977</v>
      </c>
      <c r="R7" s="576">
        <f t="shared" si="8"/>
        <v>93.972000000000008</v>
      </c>
      <c r="S7" s="579">
        <v>3</v>
      </c>
      <c r="T7" s="579">
        <v>8</v>
      </c>
      <c r="U7" s="580">
        <v>0</v>
      </c>
      <c r="V7" s="580">
        <v>0</v>
      </c>
      <c r="W7" s="580">
        <v>0</v>
      </c>
      <c r="X7" s="581">
        <f t="shared" si="9"/>
        <v>1.5238896688083352</v>
      </c>
      <c r="Y7" s="581">
        <f t="shared" si="0"/>
        <v>0.81711000748350227</v>
      </c>
    </row>
    <row r="8" spans="1:25" ht="17" x14ac:dyDescent="0.45">
      <c r="A8" s="193" t="str">
        <f ca="1">'Translation Table'!H2440</f>
        <v>iso-Butane</v>
      </c>
      <c r="B8" s="193" t="s">
        <v>2516</v>
      </c>
      <c r="C8" s="572">
        <v>58.124000000000002</v>
      </c>
      <c r="D8" s="572">
        <f t="shared" si="1"/>
        <v>2.4582126245713045</v>
      </c>
      <c r="E8" s="572">
        <f t="shared" si="2"/>
        <v>2.4582126245713045</v>
      </c>
      <c r="F8" s="572">
        <v>563.20000000000005</v>
      </c>
      <c r="G8" s="572">
        <v>0.1032</v>
      </c>
      <c r="H8" s="572">
        <v>1.6160000000000001</v>
      </c>
      <c r="I8" s="572">
        <f t="shared" si="3"/>
        <v>93.928384000000023</v>
      </c>
      <c r="J8" s="572">
        <v>2.3660000000000001</v>
      </c>
      <c r="K8" s="48">
        <v>112.03100000000001</v>
      </c>
      <c r="L8" s="572">
        <f t="shared" si="4"/>
        <v>2648.9530559365649</v>
      </c>
      <c r="M8" s="572">
        <f t="shared" si="5"/>
        <v>2648.9530559365649</v>
      </c>
      <c r="N8" s="572">
        <f t="shared" si="10"/>
        <v>112.03100000000001</v>
      </c>
      <c r="O8" s="48">
        <v>121.426</v>
      </c>
      <c r="P8" s="572">
        <f t="shared" si="6"/>
        <v>2871.0961588324067</v>
      </c>
      <c r="Q8" s="573">
        <f t="shared" si="7"/>
        <v>2871.0961588324067</v>
      </c>
      <c r="R8" s="572">
        <f t="shared" si="8"/>
        <v>121.42600000000002</v>
      </c>
      <c r="S8" s="574">
        <v>4</v>
      </c>
      <c r="T8" s="574">
        <v>10</v>
      </c>
      <c r="U8" s="574">
        <v>0</v>
      </c>
      <c r="V8" s="574">
        <v>0</v>
      </c>
      <c r="W8" s="574">
        <v>0</v>
      </c>
      <c r="X8" s="394">
        <f t="shared" si="9"/>
        <v>2.0318528917444474</v>
      </c>
      <c r="Y8" s="394">
        <f t="shared" si="0"/>
        <v>0.82655701603468446</v>
      </c>
    </row>
    <row r="9" spans="1:25" ht="17" x14ac:dyDescent="0.45">
      <c r="A9" s="575" t="str">
        <f ca="1">'Translation Table'!H2441</f>
        <v>n-Butane</v>
      </c>
      <c r="B9" s="575" t="s">
        <v>2516</v>
      </c>
      <c r="C9" s="576">
        <v>58.124000000000002</v>
      </c>
      <c r="D9" s="576">
        <f t="shared" si="1"/>
        <v>2.4582126245713045</v>
      </c>
      <c r="E9" s="576">
        <f t="shared" si="2"/>
        <v>2.4582126245713045</v>
      </c>
      <c r="F9" s="576">
        <v>584.20000000000005</v>
      </c>
      <c r="G9" s="576">
        <v>9.9489999999999995E-2</v>
      </c>
      <c r="H9" s="576">
        <v>1.6519999999999999</v>
      </c>
      <c r="I9" s="576">
        <f t="shared" si="3"/>
        <v>96.020848000000001</v>
      </c>
      <c r="J9" s="576">
        <v>2.3660000000000001</v>
      </c>
      <c r="K9" s="576">
        <v>112.384</v>
      </c>
      <c r="L9" s="576">
        <f t="shared" si="4"/>
        <v>2657.2996781102988</v>
      </c>
      <c r="M9" s="576">
        <f t="shared" si="5"/>
        <v>2657.2996781102988</v>
      </c>
      <c r="N9" s="576">
        <f t="shared" si="10"/>
        <v>112.384</v>
      </c>
      <c r="O9" s="577">
        <v>121.779</v>
      </c>
      <c r="P9" s="576">
        <f t="shared" si="6"/>
        <v>2879.4427810061406</v>
      </c>
      <c r="Q9" s="578">
        <f t="shared" si="7"/>
        <v>2879.4427810061406</v>
      </c>
      <c r="R9" s="576">
        <f t="shared" si="8"/>
        <v>121.77900000000001</v>
      </c>
      <c r="S9" s="579">
        <v>4</v>
      </c>
      <c r="T9" s="579">
        <v>10</v>
      </c>
      <c r="U9" s="580">
        <v>0</v>
      </c>
      <c r="V9" s="580">
        <v>0</v>
      </c>
      <c r="W9" s="580">
        <v>0</v>
      </c>
      <c r="X9" s="581">
        <f t="shared" si="9"/>
        <v>2.0318528917444474</v>
      </c>
      <c r="Y9" s="581">
        <f t="shared" si="0"/>
        <v>0.82655701603468446</v>
      </c>
    </row>
    <row r="10" spans="1:25" ht="17" x14ac:dyDescent="0.45">
      <c r="A10" s="193" t="str">
        <f ca="1">'Translation Table'!H2442</f>
        <v>iso-Pentane</v>
      </c>
      <c r="B10" s="193" t="s">
        <v>2517</v>
      </c>
      <c r="C10" s="572">
        <v>72.150999999999996</v>
      </c>
      <c r="D10" s="572">
        <f t="shared" si="1"/>
        <v>3.0514503316262505</v>
      </c>
      <c r="E10" s="572">
        <f t="shared" si="2"/>
        <v>3.0514503316262505</v>
      </c>
      <c r="F10" s="572">
        <v>624.4</v>
      </c>
      <c r="G10" s="572">
        <v>0.11559999999999999</v>
      </c>
      <c r="H10" s="572">
        <v>1.6</v>
      </c>
      <c r="I10" s="572">
        <f t="shared" si="3"/>
        <v>115.44160000000002</v>
      </c>
      <c r="J10" s="572">
        <v>2.2389999999999999</v>
      </c>
      <c r="K10" s="48">
        <v>138.04400000000001</v>
      </c>
      <c r="L10" s="572">
        <f t="shared" si="4"/>
        <v>3264.0258111925018</v>
      </c>
      <c r="M10" s="572">
        <f t="shared" si="5"/>
        <v>3264.0258111925018</v>
      </c>
      <c r="N10" s="572">
        <f t="shared" si="10"/>
        <v>138.04400000000001</v>
      </c>
      <c r="O10" s="48">
        <v>149.31899999999999</v>
      </c>
      <c r="P10" s="572">
        <f t="shared" si="6"/>
        <v>3530.621179489533</v>
      </c>
      <c r="Q10" s="573">
        <f t="shared" si="7"/>
        <v>3530.621179489533</v>
      </c>
      <c r="R10" s="572">
        <f t="shared" si="8"/>
        <v>149.31899999999999</v>
      </c>
      <c r="S10" s="574">
        <v>5</v>
      </c>
      <c r="T10" s="574">
        <v>12</v>
      </c>
      <c r="U10" s="574">
        <v>0</v>
      </c>
      <c r="V10" s="574">
        <v>0</v>
      </c>
      <c r="W10" s="574">
        <v>0</v>
      </c>
      <c r="X10" s="394">
        <f t="shared" si="9"/>
        <v>2.5398161146805593</v>
      </c>
      <c r="Y10" s="394">
        <f t="shared" si="0"/>
        <v>0.832330806225832</v>
      </c>
    </row>
    <row r="11" spans="1:25" ht="17" x14ac:dyDescent="0.45">
      <c r="A11" s="575" t="str">
        <f ca="1">'Translation Table'!H2443</f>
        <v>n-Pentane</v>
      </c>
      <c r="B11" s="575" t="s">
        <v>2517</v>
      </c>
      <c r="C11" s="576">
        <v>72.150999999999996</v>
      </c>
      <c r="D11" s="576">
        <f t="shared" si="1"/>
        <v>3.0514503316262505</v>
      </c>
      <c r="E11" s="576">
        <f t="shared" si="2"/>
        <v>3.0514503316262505</v>
      </c>
      <c r="F11" s="576">
        <v>631</v>
      </c>
      <c r="G11" s="576">
        <v>0.1143</v>
      </c>
      <c r="H11" s="576">
        <v>1.6220000000000001</v>
      </c>
      <c r="I11" s="576">
        <f t="shared" si="3"/>
        <v>117.02892200000001</v>
      </c>
      <c r="J11" s="576">
        <v>2.2919999999999998</v>
      </c>
      <c r="K11" s="576">
        <v>138.38</v>
      </c>
      <c r="L11" s="576">
        <f t="shared" si="4"/>
        <v>3271.9704713918632</v>
      </c>
      <c r="M11" s="576">
        <f t="shared" si="5"/>
        <v>3271.9704713918632</v>
      </c>
      <c r="N11" s="576">
        <f t="shared" si="10"/>
        <v>138.38</v>
      </c>
      <c r="O11" s="577">
        <v>149.654</v>
      </c>
      <c r="P11" s="576">
        <f t="shared" si="6"/>
        <v>3538.5421948668732</v>
      </c>
      <c r="Q11" s="578">
        <f t="shared" si="7"/>
        <v>3538.5421948668732</v>
      </c>
      <c r="R11" s="576">
        <f t="shared" si="8"/>
        <v>149.654</v>
      </c>
      <c r="S11" s="579">
        <v>5</v>
      </c>
      <c r="T11" s="579">
        <v>12</v>
      </c>
      <c r="U11" s="580">
        <v>0</v>
      </c>
      <c r="V11" s="580">
        <v>0</v>
      </c>
      <c r="W11" s="580">
        <v>0</v>
      </c>
      <c r="X11" s="581">
        <f t="shared" si="9"/>
        <v>2.5398161146805593</v>
      </c>
      <c r="Y11" s="581">
        <f t="shared" si="0"/>
        <v>0.832330806225832</v>
      </c>
    </row>
    <row r="12" spans="1:25" ht="17" x14ac:dyDescent="0.45">
      <c r="A12" s="193" t="str">
        <f ca="1">'Translation Table'!H2444</f>
        <v>Hexane</v>
      </c>
      <c r="B12" s="193" t="s">
        <v>2518</v>
      </c>
      <c r="C12" s="572">
        <v>86.177999999999997</v>
      </c>
      <c r="D12" s="572">
        <f t="shared" si="1"/>
        <v>3.644688038681196</v>
      </c>
      <c r="E12" s="572">
        <f t="shared" si="2"/>
        <v>3.644688038681196</v>
      </c>
      <c r="F12" s="572">
        <v>663.8</v>
      </c>
      <c r="G12" s="572">
        <v>0.1298</v>
      </c>
      <c r="H12" s="572">
        <v>1.613</v>
      </c>
      <c r="I12" s="572">
        <f t="shared" si="3"/>
        <v>139.00511399999999</v>
      </c>
      <c r="J12" s="572">
        <v>2.2309999999999999</v>
      </c>
      <c r="K12" s="48">
        <v>164.40199999999999</v>
      </c>
      <c r="L12" s="572">
        <f t="shared" si="4"/>
        <v>3887.2560300459972</v>
      </c>
      <c r="M12" s="572">
        <f t="shared" si="5"/>
        <v>3887.2560300459972</v>
      </c>
      <c r="N12" s="572">
        <f t="shared" si="10"/>
        <v>164.40199999999999</v>
      </c>
      <c r="O12" s="48">
        <v>177.55600000000001</v>
      </c>
      <c r="P12" s="572">
        <f t="shared" si="6"/>
        <v>4198.280018922198</v>
      </c>
      <c r="Q12" s="573">
        <f t="shared" si="7"/>
        <v>4198.280018922198</v>
      </c>
      <c r="R12" s="572">
        <f t="shared" si="8"/>
        <v>177.55600000000001</v>
      </c>
      <c r="S12" s="574">
        <v>6</v>
      </c>
      <c r="T12" s="574">
        <v>14</v>
      </c>
      <c r="U12" s="574">
        <v>0</v>
      </c>
      <c r="V12" s="574">
        <v>0</v>
      </c>
      <c r="W12" s="574">
        <v>0</v>
      </c>
      <c r="X12" s="394">
        <f t="shared" si="9"/>
        <v>3.0477793376166704</v>
      </c>
      <c r="Y12" s="394">
        <f t="shared" si="0"/>
        <v>0.8362250226275848</v>
      </c>
    </row>
    <row r="13" spans="1:25" ht="17" x14ac:dyDescent="0.45">
      <c r="A13" s="575" t="str">
        <f ca="1">'Translation Table'!H2445</f>
        <v>Heptane</v>
      </c>
      <c r="B13" s="575" t="s">
        <v>2519</v>
      </c>
      <c r="C13" s="576">
        <v>100.205</v>
      </c>
      <c r="D13" s="576">
        <f t="shared" si="1"/>
        <v>4.2379257457361419</v>
      </c>
      <c r="E13" s="576">
        <f t="shared" si="2"/>
        <v>4.2379257457361419</v>
      </c>
      <c r="F13" s="576">
        <v>688</v>
      </c>
      <c r="G13" s="576">
        <v>0.14560000000000001</v>
      </c>
      <c r="H13" s="576">
        <v>1.6060000000000001</v>
      </c>
      <c r="I13" s="576">
        <f t="shared" si="3"/>
        <v>160.92922999999999</v>
      </c>
      <c r="J13" s="576">
        <v>2.2090000000000001</v>
      </c>
      <c r="K13" s="576">
        <v>190.398</v>
      </c>
      <c r="L13" s="576">
        <f t="shared" si="4"/>
        <v>4501.9268233275616</v>
      </c>
      <c r="M13" s="576">
        <f t="shared" si="5"/>
        <v>4501.9268233275616</v>
      </c>
      <c r="N13" s="576">
        <f t="shared" si="10"/>
        <v>190.398</v>
      </c>
      <c r="O13" s="577">
        <v>205.43100000000001</v>
      </c>
      <c r="P13" s="576">
        <f t="shared" si="6"/>
        <v>4857.3794327829301</v>
      </c>
      <c r="Q13" s="578">
        <f t="shared" si="7"/>
        <v>4857.3794327829301</v>
      </c>
      <c r="R13" s="576">
        <f t="shared" si="8"/>
        <v>205.43099999999998</v>
      </c>
      <c r="S13" s="579">
        <v>7</v>
      </c>
      <c r="T13" s="579">
        <v>16</v>
      </c>
      <c r="U13" s="580">
        <v>0</v>
      </c>
      <c r="V13" s="580">
        <v>0</v>
      </c>
      <c r="W13" s="580">
        <v>0</v>
      </c>
      <c r="X13" s="581">
        <f t="shared" si="9"/>
        <v>3.5557425605527824</v>
      </c>
      <c r="Y13" s="581">
        <f t="shared" si="0"/>
        <v>0.83902899056933289</v>
      </c>
    </row>
    <row r="14" spans="1:25" ht="17" x14ac:dyDescent="0.45">
      <c r="A14" s="193" t="str">
        <f ca="1">'Translation Table'!H2446</f>
        <v>Octane</v>
      </c>
      <c r="B14" s="193" t="s">
        <v>2520</v>
      </c>
      <c r="C14" s="572">
        <v>114.229</v>
      </c>
      <c r="D14" s="572">
        <f t="shared" si="1"/>
        <v>4.8310365751179463</v>
      </c>
      <c r="E14" s="572">
        <f t="shared" si="2"/>
        <v>4.8310365751179463</v>
      </c>
      <c r="F14" s="572">
        <v>706.7</v>
      </c>
      <c r="G14" s="572">
        <v>0.16159999999999999</v>
      </c>
      <c r="H14" s="572">
        <v>1.601</v>
      </c>
      <c r="I14" s="572">
        <f t="shared" si="3"/>
        <v>182.880629</v>
      </c>
      <c r="J14" s="572">
        <v>2.1909999999999998</v>
      </c>
      <c r="K14" s="48">
        <v>216.37200000000001</v>
      </c>
      <c r="L14" s="572">
        <f t="shared" si="4"/>
        <v>5116.0774305246441</v>
      </c>
      <c r="M14" s="572">
        <f t="shared" si="5"/>
        <v>5116.0774305246441</v>
      </c>
      <c r="N14" s="572">
        <f t="shared" si="10"/>
        <v>216.37199999999999</v>
      </c>
      <c r="O14" s="48">
        <v>233.285</v>
      </c>
      <c r="P14" s="572">
        <f t="shared" si="6"/>
        <v>5515.9823053812024</v>
      </c>
      <c r="Q14" s="573">
        <f t="shared" si="7"/>
        <v>5515.9823053812024</v>
      </c>
      <c r="R14" s="572">
        <f t="shared" si="8"/>
        <v>233.285</v>
      </c>
      <c r="S14" s="574">
        <v>8</v>
      </c>
      <c r="T14" s="574">
        <v>18</v>
      </c>
      <c r="U14" s="574">
        <v>0</v>
      </c>
      <c r="V14" s="574">
        <v>0</v>
      </c>
      <c r="W14" s="574">
        <v>0</v>
      </c>
      <c r="X14" s="394">
        <f t="shared" si="9"/>
        <v>4.0637057834888948</v>
      </c>
      <c r="Y14" s="394">
        <f t="shared" si="0"/>
        <v>0.84116642884031201</v>
      </c>
    </row>
    <row r="15" spans="1:25" ht="17" x14ac:dyDescent="0.45">
      <c r="A15" s="575" t="str">
        <f ca="1">'Translation Table'!H2447</f>
        <v>Nonane</v>
      </c>
      <c r="B15" s="575" t="s">
        <v>2521</v>
      </c>
      <c r="C15" s="576">
        <v>128.255</v>
      </c>
      <c r="D15" s="576">
        <f t="shared" si="1"/>
        <v>5.4242319896151781</v>
      </c>
      <c r="E15" s="576">
        <f t="shared" si="2"/>
        <v>5.4242319896151781</v>
      </c>
      <c r="F15" s="576">
        <v>721.7</v>
      </c>
      <c r="G15" s="576">
        <v>0.1777</v>
      </c>
      <c r="H15" s="576">
        <v>1.5980000000000001</v>
      </c>
      <c r="I15" s="576">
        <f t="shared" si="3"/>
        <v>204.95149000000001</v>
      </c>
      <c r="J15" s="576">
        <v>2.1840000000000002</v>
      </c>
      <c r="K15" s="576">
        <v>242.398</v>
      </c>
      <c r="L15" s="576">
        <f t="shared" si="4"/>
        <v>5731.4575684668653</v>
      </c>
      <c r="M15" s="576">
        <f t="shared" si="5"/>
        <v>5731.4575684668653</v>
      </c>
      <c r="N15" s="576">
        <f t="shared" si="10"/>
        <v>242.39799999999997</v>
      </c>
      <c r="O15" s="577">
        <v>261.19</v>
      </c>
      <c r="P15" s="576">
        <f t="shared" si="6"/>
        <v>6175.7910639025931</v>
      </c>
      <c r="Q15" s="578">
        <f t="shared" si="7"/>
        <v>6175.7910639025931</v>
      </c>
      <c r="R15" s="576">
        <f t="shared" si="8"/>
        <v>261.19</v>
      </c>
      <c r="S15" s="579">
        <v>9</v>
      </c>
      <c r="T15" s="579">
        <v>20</v>
      </c>
      <c r="U15" s="580">
        <v>0</v>
      </c>
      <c r="V15" s="580">
        <v>0</v>
      </c>
      <c r="W15" s="580">
        <v>0</v>
      </c>
      <c r="X15" s="581">
        <f t="shared" si="9"/>
        <v>4.5716690064250063</v>
      </c>
      <c r="Y15" s="581">
        <f t="shared" si="0"/>
        <v>0.84282328174340182</v>
      </c>
    </row>
    <row r="16" spans="1:25" ht="17" x14ac:dyDescent="0.45">
      <c r="A16" s="193" t="str">
        <f ca="1">'Translation Table'!H2448</f>
        <v>Decane</v>
      </c>
      <c r="B16" s="193" t="s">
        <v>2522</v>
      </c>
      <c r="C16" s="572">
        <v>142.28200000000001</v>
      </c>
      <c r="D16" s="572">
        <f t="shared" si="1"/>
        <v>6.0174696966701253</v>
      </c>
      <c r="E16" s="572">
        <f t="shared" si="2"/>
        <v>6.0174696966701253</v>
      </c>
      <c r="F16" s="572">
        <v>733.9</v>
      </c>
      <c r="G16" s="572">
        <v>0.19389999999999999</v>
      </c>
      <c r="H16" s="572">
        <v>1.595</v>
      </c>
      <c r="I16" s="572">
        <f t="shared" si="3"/>
        <v>226.93979000000002</v>
      </c>
      <c r="J16" s="572">
        <v>2.1789999999999998</v>
      </c>
      <c r="K16" s="48">
        <v>268.39299999999997</v>
      </c>
      <c r="L16" s="572">
        <f t="shared" si="4"/>
        <v>6346.1047169264075</v>
      </c>
      <c r="M16" s="572">
        <f t="shared" si="5"/>
        <v>6346.1047169264075</v>
      </c>
      <c r="N16" s="572">
        <f t="shared" si="10"/>
        <v>268.39299999999997</v>
      </c>
      <c r="O16" s="48">
        <v>289.06400000000002</v>
      </c>
      <c r="P16" s="572">
        <f t="shared" si="6"/>
        <v>6834.866832941304</v>
      </c>
      <c r="Q16" s="573">
        <f t="shared" si="7"/>
        <v>6834.866832941304</v>
      </c>
      <c r="R16" s="572">
        <f t="shared" si="8"/>
        <v>289.06400000000002</v>
      </c>
      <c r="S16" s="574">
        <v>10</v>
      </c>
      <c r="T16" s="574">
        <v>22</v>
      </c>
      <c r="U16" s="574">
        <v>0</v>
      </c>
      <c r="V16" s="574">
        <v>0</v>
      </c>
      <c r="W16" s="574">
        <v>0</v>
      </c>
      <c r="X16" s="394">
        <f t="shared" si="9"/>
        <v>5.0796322293611187</v>
      </c>
      <c r="Y16" s="394">
        <f t="shared" si="0"/>
        <v>0.8441475379879394</v>
      </c>
    </row>
    <row r="17" spans="1:25" ht="17" x14ac:dyDescent="0.45">
      <c r="A17" s="575" t="str">
        <f ca="1">'Translation Table'!H2449</f>
        <v>Hydrogen Sulphide</v>
      </c>
      <c r="B17" s="575" t="s">
        <v>2523</v>
      </c>
      <c r="C17" s="576">
        <v>34.076000000000001</v>
      </c>
      <c r="D17" s="576">
        <f t="shared" si="1"/>
        <v>1.4411611966638869</v>
      </c>
      <c r="E17" s="576">
        <f t="shared" si="2"/>
        <v>1.4411611966638869</v>
      </c>
      <c r="F17" s="576">
        <v>789</v>
      </c>
      <c r="G17" s="576">
        <v>4.3189999999999999E-2</v>
      </c>
      <c r="H17" s="576">
        <v>0.996</v>
      </c>
      <c r="I17" s="576">
        <f t="shared" si="3"/>
        <v>33.939695999999998</v>
      </c>
      <c r="J17" s="576">
        <v>0.996</v>
      </c>
      <c r="K17" s="576">
        <v>21.911999999999999</v>
      </c>
      <c r="L17" s="576">
        <f t="shared" si="4"/>
        <v>518.10534014408518</v>
      </c>
      <c r="M17" s="576">
        <f t="shared" si="5"/>
        <v>518.10534014408518</v>
      </c>
      <c r="N17" s="576">
        <f t="shared" si="10"/>
        <v>21.911999999999999</v>
      </c>
      <c r="O17" s="577">
        <v>23.791</v>
      </c>
      <c r="P17" s="576">
        <f t="shared" si="6"/>
        <v>562.53396072325347</v>
      </c>
      <c r="Q17" s="578">
        <f t="shared" si="7"/>
        <v>562.53396072325347</v>
      </c>
      <c r="R17" s="576">
        <f t="shared" si="8"/>
        <v>23.790999999999997</v>
      </c>
      <c r="S17" s="579">
        <v>0</v>
      </c>
      <c r="T17" s="579">
        <v>2</v>
      </c>
      <c r="U17" s="580">
        <v>1</v>
      </c>
      <c r="V17" s="580">
        <v>0</v>
      </c>
      <c r="W17" s="580">
        <v>0</v>
      </c>
      <c r="X17" s="581">
        <f t="shared" si="9"/>
        <v>0</v>
      </c>
      <c r="Y17" s="581">
        <f t="shared" si="0"/>
        <v>0</v>
      </c>
    </row>
    <row r="18" spans="1:25" ht="17" x14ac:dyDescent="0.45">
      <c r="A18" s="193" t="str">
        <f ca="1">'Translation Table'!H2450</f>
        <v>Carbon Dioxide</v>
      </c>
      <c r="B18" s="193" t="s">
        <v>2524</v>
      </c>
      <c r="C18" s="572">
        <v>44.01</v>
      </c>
      <c r="D18" s="572">
        <f t="shared" si="1"/>
        <v>1.8612954649952362</v>
      </c>
      <c r="E18" s="572">
        <f t="shared" si="2"/>
        <v>1.8612954649952362</v>
      </c>
      <c r="F18" s="572">
        <v>821.9</v>
      </c>
      <c r="G18" s="572">
        <v>5.355E-2</v>
      </c>
      <c r="H18" s="572">
        <v>0.83299999999999996</v>
      </c>
      <c r="I18" s="572">
        <f t="shared" si="3"/>
        <v>36.660330000000002</v>
      </c>
      <c r="J18" s="572">
        <v>0</v>
      </c>
      <c r="K18" s="48">
        <v>0</v>
      </c>
      <c r="L18" s="48">
        <v>0</v>
      </c>
      <c r="M18" s="572">
        <v>0</v>
      </c>
      <c r="N18" s="572">
        <f t="shared" si="10"/>
        <v>0</v>
      </c>
      <c r="O18" s="48">
        <v>0</v>
      </c>
      <c r="P18" s="48">
        <v>0</v>
      </c>
      <c r="Q18" s="573">
        <v>0</v>
      </c>
      <c r="R18" s="572">
        <f t="shared" si="8"/>
        <v>0</v>
      </c>
      <c r="S18" s="574">
        <v>0</v>
      </c>
      <c r="T18" s="574">
        <v>0</v>
      </c>
      <c r="U18" s="574">
        <v>0</v>
      </c>
      <c r="V18" s="574">
        <v>0</v>
      </c>
      <c r="W18" s="574">
        <v>0</v>
      </c>
      <c r="X18" s="394">
        <f t="shared" si="9"/>
        <v>0</v>
      </c>
      <c r="Y18" s="394">
        <f t="shared" si="0"/>
        <v>0</v>
      </c>
    </row>
    <row r="19" spans="1:25" ht="17" x14ac:dyDescent="0.45">
      <c r="A19" s="575" t="str">
        <f ca="1">'Translation Table'!H2451</f>
        <v>Nitrogen</v>
      </c>
      <c r="B19" s="575" t="s">
        <v>2525</v>
      </c>
      <c r="C19" s="576">
        <v>28.013000000000002</v>
      </c>
      <c r="D19" s="576">
        <f t="shared" si="1"/>
        <v>1.1847414192436163</v>
      </c>
      <c r="E19" s="576">
        <f t="shared" si="2"/>
        <v>1.1847414192436163</v>
      </c>
      <c r="F19" s="576">
        <v>808.6</v>
      </c>
      <c r="G19" s="576">
        <v>3.4639999999999997E-2</v>
      </c>
      <c r="H19" s="576">
        <v>1.04</v>
      </c>
      <c r="I19" s="576">
        <f t="shared" si="3"/>
        <v>29.133520000000004</v>
      </c>
      <c r="J19" s="576">
        <v>0</v>
      </c>
      <c r="K19" s="576">
        <v>0</v>
      </c>
      <c r="L19" s="576">
        <v>0</v>
      </c>
      <c r="M19" s="576">
        <v>0</v>
      </c>
      <c r="N19" s="576">
        <f t="shared" si="10"/>
        <v>0</v>
      </c>
      <c r="O19" s="577">
        <v>0</v>
      </c>
      <c r="P19" s="576">
        <v>0</v>
      </c>
      <c r="Q19" s="578">
        <v>0</v>
      </c>
      <c r="R19" s="576">
        <f t="shared" si="8"/>
        <v>0</v>
      </c>
      <c r="S19" s="579">
        <v>0</v>
      </c>
      <c r="T19" s="579">
        <v>0</v>
      </c>
      <c r="U19" s="580">
        <v>0</v>
      </c>
      <c r="V19" s="580">
        <v>2</v>
      </c>
      <c r="W19" s="580">
        <v>0</v>
      </c>
      <c r="X19" s="581">
        <f t="shared" si="9"/>
        <v>0</v>
      </c>
      <c r="Y19" s="581">
        <f t="shared" si="0"/>
        <v>0</v>
      </c>
    </row>
    <row r="20" spans="1:25" ht="17" x14ac:dyDescent="0.45">
      <c r="A20" s="193" t="str">
        <f ca="1">'Translation Table'!H2452</f>
        <v>Water</v>
      </c>
      <c r="B20" s="193" t="s">
        <v>2526</v>
      </c>
      <c r="C20" s="572">
        <v>18.015000000000001</v>
      </c>
      <c r="D20" s="572">
        <f t="shared" si="1"/>
        <v>0.76190042721856799</v>
      </c>
      <c r="E20" s="572">
        <f t="shared" si="2"/>
        <v>0.76190042721856799</v>
      </c>
      <c r="F20" s="572">
        <v>999.1</v>
      </c>
      <c r="G20" s="572">
        <v>1.8030000000000001E-2</v>
      </c>
      <c r="H20" s="572">
        <v>1.8620000000000001</v>
      </c>
      <c r="I20" s="572">
        <f t="shared" si="3"/>
        <v>33.543929999999996</v>
      </c>
      <c r="J20" s="572">
        <v>4.1909999999999998</v>
      </c>
      <c r="K20" s="48">
        <v>0</v>
      </c>
      <c r="L20" s="48">
        <v>0</v>
      </c>
      <c r="M20" s="572">
        <v>0</v>
      </c>
      <c r="N20" s="572">
        <f t="shared" si="10"/>
        <v>0</v>
      </c>
      <c r="O20" s="48">
        <v>0</v>
      </c>
      <c r="P20" s="48">
        <v>0</v>
      </c>
      <c r="Q20" s="573">
        <v>0</v>
      </c>
      <c r="R20" s="572">
        <f t="shared" si="8"/>
        <v>0</v>
      </c>
      <c r="S20" s="574">
        <v>0</v>
      </c>
      <c r="T20" s="574">
        <v>2</v>
      </c>
      <c r="U20" s="574">
        <v>0</v>
      </c>
      <c r="V20" s="574">
        <v>0</v>
      </c>
      <c r="W20" s="574">
        <v>1</v>
      </c>
      <c r="X20" s="394">
        <f t="shared" si="9"/>
        <v>0</v>
      </c>
      <c r="Y20" s="394">
        <f t="shared" si="0"/>
        <v>0</v>
      </c>
    </row>
    <row r="21" spans="1:25" ht="17" x14ac:dyDescent="0.45">
      <c r="A21" s="575" t="str">
        <f ca="1">'Translation Table'!H2453</f>
        <v>Sulphur Dioxide</v>
      </c>
      <c r="B21" s="575" t="s">
        <v>2527</v>
      </c>
      <c r="C21" s="576">
        <v>64.058999999999997</v>
      </c>
      <c r="D21" s="576">
        <f t="shared" si="1"/>
        <v>2.7092189546041769</v>
      </c>
      <c r="E21" s="576">
        <f t="shared" si="2"/>
        <v>2.7092189546041769</v>
      </c>
      <c r="F21" s="576">
        <v>1396</v>
      </c>
      <c r="G21" s="576">
        <v>4.589E-2</v>
      </c>
      <c r="H21" s="576">
        <v>0.60619999999999996</v>
      </c>
      <c r="I21" s="576">
        <f t="shared" si="3"/>
        <v>38.832565799999998</v>
      </c>
      <c r="J21" s="576">
        <v>1.359</v>
      </c>
      <c r="K21" s="576">
        <v>0</v>
      </c>
      <c r="L21" s="576">
        <v>0</v>
      </c>
      <c r="M21" s="576">
        <v>0</v>
      </c>
      <c r="N21" s="576">
        <f t="shared" si="10"/>
        <v>0</v>
      </c>
      <c r="O21" s="577">
        <v>0</v>
      </c>
      <c r="P21" s="576">
        <v>0</v>
      </c>
      <c r="Q21" s="578">
        <v>0</v>
      </c>
      <c r="R21" s="576">
        <f t="shared" si="8"/>
        <v>0</v>
      </c>
      <c r="S21" s="579">
        <v>0</v>
      </c>
      <c r="T21" s="579">
        <v>0</v>
      </c>
      <c r="U21" s="580">
        <v>1</v>
      </c>
      <c r="V21" s="580">
        <v>2</v>
      </c>
      <c r="W21" s="580">
        <v>0</v>
      </c>
      <c r="X21" s="581">
        <f t="shared" si="9"/>
        <v>0</v>
      </c>
      <c r="Y21" s="581">
        <f t="shared" si="0"/>
        <v>0</v>
      </c>
    </row>
    <row r="22" spans="1:25" ht="17" x14ac:dyDescent="0.45">
      <c r="A22" s="193" t="str">
        <f ca="1">'Translation Table'!H2454</f>
        <v>Oxygen</v>
      </c>
      <c r="B22" s="193" t="s">
        <v>2528</v>
      </c>
      <c r="C22" s="572">
        <v>31.998999999999999</v>
      </c>
      <c r="D22" s="572">
        <f t="shared" si="1"/>
        <v>1.3533195542918099</v>
      </c>
      <c r="E22" s="572">
        <f t="shared" si="2"/>
        <v>1.3533195542918099</v>
      </c>
      <c r="F22" s="572">
        <v>1141</v>
      </c>
      <c r="G22" s="572">
        <v>2.8039999999999999E-2</v>
      </c>
      <c r="H22" s="572">
        <v>0.91659999999999997</v>
      </c>
      <c r="I22" s="572">
        <f t="shared" si="3"/>
        <v>29.330283400000003</v>
      </c>
      <c r="J22" s="572">
        <v>0</v>
      </c>
      <c r="K22" s="48">
        <v>0</v>
      </c>
      <c r="L22" s="48">
        <v>0</v>
      </c>
      <c r="M22" s="572">
        <f>-(-L22-(15-$B$33)*($S22*$H$18+$T22/2*$H$20+$V22/2*$H$19+$U22*$H$21-$H22-($S22+$T22/4-$W22/2+$U22)*$H$22))</f>
        <v>0</v>
      </c>
      <c r="N22" s="572">
        <f t="shared" si="10"/>
        <v>0</v>
      </c>
      <c r="O22" s="48">
        <v>0</v>
      </c>
      <c r="P22" s="48">
        <v>0</v>
      </c>
      <c r="Q22" s="573">
        <v>0</v>
      </c>
      <c r="R22" s="572">
        <f t="shared" si="8"/>
        <v>0</v>
      </c>
      <c r="S22" s="574">
        <v>0</v>
      </c>
      <c r="T22" s="574">
        <v>0</v>
      </c>
      <c r="U22" s="574">
        <v>0</v>
      </c>
      <c r="V22" s="574">
        <v>0</v>
      </c>
      <c r="W22" s="574">
        <v>2</v>
      </c>
      <c r="X22" s="394">
        <f t="shared" si="9"/>
        <v>0</v>
      </c>
      <c r="Y22" s="394">
        <f t="shared" si="0"/>
        <v>0</v>
      </c>
    </row>
    <row r="23" spans="1:25" x14ac:dyDescent="0.3">
      <c r="C23" s="165"/>
      <c r="D23" s="165"/>
      <c r="E23" s="165"/>
      <c r="F23" s="165"/>
      <c r="G23" s="165"/>
      <c r="H23" s="165"/>
      <c r="I23" s="165"/>
      <c r="J23" s="165"/>
      <c r="K23" s="65"/>
      <c r="L23" s="65"/>
      <c r="M23" s="165"/>
      <c r="N23" s="165"/>
      <c r="O23" s="65"/>
      <c r="P23" s="65"/>
      <c r="Q23" s="166"/>
      <c r="R23" s="165"/>
      <c r="S23" s="518"/>
      <c r="T23" s="518"/>
      <c r="U23" s="518"/>
      <c r="V23" s="518"/>
      <c r="W23" s="518"/>
      <c r="X23" s="396"/>
      <c r="Y23" s="396"/>
    </row>
    <row r="24" spans="1:25" x14ac:dyDescent="0.3">
      <c r="C24" s="165"/>
      <c r="D24" s="165"/>
      <c r="E24" s="165"/>
      <c r="F24" s="165"/>
      <c r="G24" s="165"/>
      <c r="H24" s="165"/>
      <c r="I24" s="165"/>
      <c r="J24" s="165"/>
      <c r="K24" s="65"/>
      <c r="L24" s="65"/>
      <c r="M24" s="165"/>
      <c r="N24" s="165"/>
      <c r="O24" s="65"/>
      <c r="P24" s="65"/>
      <c r="Q24" s="166"/>
      <c r="R24" s="165"/>
      <c r="S24" s="518"/>
      <c r="T24" s="518"/>
      <c r="U24" s="518"/>
      <c r="V24" s="518"/>
      <c r="W24" s="518"/>
      <c r="X24" s="396"/>
      <c r="Y24" s="396"/>
    </row>
    <row r="25" spans="1:25" ht="18" x14ac:dyDescent="0.4">
      <c r="A25" s="695" t="str">
        <f ca="1">'Translation Table'!H2455</f>
        <v>Substance</v>
      </c>
      <c r="B25" s="695" t="str">
        <f ca="1">'Translation Table'!H2456</f>
        <v>Symbol</v>
      </c>
      <c r="C25" s="695" t="str">
        <f ca="1">'Translation Table'!H2457</f>
        <v>Molecular Weight</v>
      </c>
      <c r="E25" s="165"/>
      <c r="F25" s="165"/>
      <c r="G25" s="165"/>
      <c r="H25" s="165"/>
      <c r="I25" s="165"/>
      <c r="J25" s="165"/>
      <c r="K25" s="65"/>
      <c r="L25" s="65"/>
      <c r="M25" s="165"/>
      <c r="N25" s="165"/>
      <c r="O25" s="65"/>
      <c r="P25" s="65"/>
      <c r="Q25" s="166"/>
      <c r="R25" s="165"/>
      <c r="S25" s="518"/>
      <c r="T25" s="518"/>
      <c r="U25" s="518"/>
      <c r="V25" s="518"/>
      <c r="W25" s="518"/>
      <c r="X25" s="396"/>
      <c r="Y25" s="396"/>
    </row>
    <row r="26" spans="1:25" x14ac:dyDescent="0.3">
      <c r="A26" s="569" t="str">
        <f ca="1">'Translation Table'!H2458</f>
        <v>Carbon Monoxide</v>
      </c>
      <c r="B26" s="569" t="str">
        <f ca="1">'Translation Table'!H2462</f>
        <v>CO</v>
      </c>
      <c r="C26" s="570">
        <v>28.01</v>
      </c>
      <c r="D26" s="165"/>
      <c r="E26" s="165"/>
      <c r="F26" s="165"/>
      <c r="G26" s="165"/>
      <c r="H26" s="165"/>
      <c r="I26" s="165"/>
      <c r="J26" s="165"/>
      <c r="K26" s="65"/>
      <c r="L26" s="65"/>
      <c r="M26" s="165"/>
      <c r="N26" s="165"/>
      <c r="O26" s="65"/>
      <c r="P26" s="65"/>
      <c r="Q26" s="166"/>
      <c r="R26" s="165"/>
      <c r="S26" s="518"/>
      <c r="T26" s="518"/>
      <c r="U26" s="518"/>
      <c r="V26" s="518"/>
      <c r="W26" s="518"/>
      <c r="X26" s="396"/>
      <c r="Y26" s="396"/>
    </row>
    <row r="27" spans="1:25" x14ac:dyDescent="0.3">
      <c r="A27" s="569" t="str">
        <f ca="1">'Translation Table'!H2459</f>
        <v>Nitrous Oxide</v>
      </c>
      <c r="B27" s="569" t="str">
        <f ca="1">'Translation Table'!H2463</f>
        <v>N2O</v>
      </c>
      <c r="C27" s="570">
        <v>44.012999999999998</v>
      </c>
      <c r="D27" s="165"/>
      <c r="E27" s="165"/>
      <c r="F27" s="165"/>
      <c r="G27" s="165"/>
      <c r="H27" s="165"/>
      <c r="I27" s="165"/>
      <c r="J27" s="165"/>
      <c r="K27" s="65"/>
      <c r="L27" s="65"/>
      <c r="M27" s="165"/>
      <c r="N27" s="165"/>
      <c r="O27" s="65"/>
      <c r="P27" s="65"/>
      <c r="Q27" s="166"/>
      <c r="R27" s="165"/>
      <c r="S27" s="518"/>
      <c r="T27" s="518"/>
      <c r="U27" s="518"/>
      <c r="V27" s="518"/>
      <c r="W27" s="518"/>
      <c r="X27" s="396"/>
      <c r="Y27" s="396"/>
    </row>
    <row r="28" spans="1:25" x14ac:dyDescent="0.3">
      <c r="A28" s="569" t="str">
        <f ca="1">'Translation Table'!H2460</f>
        <v>Oxides of Nitrogen</v>
      </c>
      <c r="B28" s="569" t="str">
        <f ca="1">'Translation Table'!H2464</f>
        <v>NOx</v>
      </c>
      <c r="C28" s="570">
        <v>46.005499999999998</v>
      </c>
      <c r="D28" s="165"/>
      <c r="E28" s="165"/>
      <c r="F28" s="165"/>
      <c r="G28" s="165"/>
      <c r="H28" s="165"/>
      <c r="I28" s="165"/>
      <c r="J28" s="165"/>
      <c r="K28" s="65"/>
      <c r="L28" s="65"/>
      <c r="M28" s="165"/>
      <c r="N28" s="165"/>
      <c r="O28" s="65"/>
      <c r="P28" s="65"/>
      <c r="Q28" s="166"/>
      <c r="R28" s="165"/>
      <c r="S28" s="518"/>
      <c r="T28" s="518"/>
      <c r="U28" s="518"/>
      <c r="V28" s="518"/>
      <c r="W28" s="518"/>
      <c r="X28" s="396"/>
      <c r="Y28" s="396"/>
    </row>
    <row r="29" spans="1:25" x14ac:dyDescent="0.3">
      <c r="A29" s="569" t="str">
        <f ca="1">'Translation Table'!H2461</f>
        <v>Non-Methane VOC</v>
      </c>
      <c r="B29" s="569" t="str">
        <f ca="1">'Translation Table'!H2465</f>
        <v>NMVOC</v>
      </c>
      <c r="C29" s="571">
        <f>0.643*M_C2+(1-0.643)*M_C3</f>
        <v>35.077638999999998</v>
      </c>
      <c r="D29" s="165"/>
      <c r="E29" s="165"/>
      <c r="F29" s="165"/>
      <c r="G29" s="165"/>
      <c r="H29" s="165"/>
      <c r="I29" s="165"/>
      <c r="J29" s="165"/>
      <c r="K29" s="65"/>
      <c r="L29" s="65"/>
      <c r="M29" s="165"/>
      <c r="N29" s="165"/>
      <c r="O29" s="65"/>
      <c r="P29" s="65"/>
      <c r="Q29" s="166"/>
      <c r="R29" s="165"/>
      <c r="S29" s="518"/>
      <c r="T29" s="518"/>
      <c r="U29" s="518"/>
      <c r="V29" s="518"/>
      <c r="W29" s="518"/>
      <c r="X29" s="396"/>
      <c r="Y29" s="396"/>
    </row>
    <row r="30" spans="1:25" x14ac:dyDescent="0.3">
      <c r="C30" s="131"/>
      <c r="D30" s="131"/>
      <c r="E30" s="131"/>
      <c r="F30" s="131"/>
      <c r="G30" s="131"/>
      <c r="H30" s="131"/>
      <c r="I30" s="131"/>
      <c r="J30" s="131"/>
      <c r="K30" s="132"/>
      <c r="L30" s="132"/>
      <c r="M30" s="131"/>
      <c r="N30" s="131"/>
      <c r="O30" s="132"/>
      <c r="P30" s="132"/>
      <c r="Q30" s="132"/>
      <c r="R30" s="131"/>
      <c r="S30" s="518"/>
      <c r="T30" s="518"/>
      <c r="U30" s="518"/>
      <c r="V30" s="518"/>
      <c r="W30" s="518"/>
      <c r="X30" s="396"/>
      <c r="Y30" s="396"/>
    </row>
    <row r="31" spans="1:25" ht="22.5" x14ac:dyDescent="0.45">
      <c r="A31" s="1118" t="str">
        <f ca="1">'Translation Table'!H2466</f>
        <v>Miscellaneous Constants</v>
      </c>
      <c r="B31" s="1118"/>
      <c r="C31" s="1118"/>
      <c r="D31" s="131"/>
      <c r="E31" s="131"/>
      <c r="F31" s="1118" t="str">
        <f ca="1">'Translation Table'!H2467</f>
        <v>Atomic Data</v>
      </c>
      <c r="G31" s="1118"/>
      <c r="H31" s="1118"/>
      <c r="I31" s="131"/>
      <c r="J31" s="131"/>
      <c r="K31" s="132"/>
      <c r="L31" s="132"/>
      <c r="M31" s="131"/>
      <c r="N31" s="131"/>
      <c r="O31" s="132"/>
      <c r="P31" s="132"/>
      <c r="Q31" s="132"/>
      <c r="R31" s="131"/>
      <c r="S31" s="518"/>
      <c r="T31" s="518"/>
      <c r="U31" s="518"/>
      <c r="V31" s="518"/>
      <c r="W31" s="518"/>
      <c r="X31" s="396"/>
      <c r="Y31" s="396"/>
    </row>
    <row r="32" spans="1:25" x14ac:dyDescent="0.3">
      <c r="F32" s="568" t="str">
        <f ca="1">'Translation Table'!H2468</f>
        <v>Name</v>
      </c>
      <c r="G32" s="568" t="str">
        <f ca="1">'Translation Table'!H2474</f>
        <v>Formula</v>
      </c>
      <c r="H32" s="568" t="str">
        <f ca="1">'Translation Table'!H2475</f>
        <v>Atomic Mass</v>
      </c>
    </row>
    <row r="33" spans="1:8" x14ac:dyDescent="0.3">
      <c r="A33" s="568" t="str">
        <f ca="1">'Translation Table'!H2476</f>
        <v>Standard Temperature</v>
      </c>
      <c r="B33" s="575">
        <v>15</v>
      </c>
      <c r="C33" s="575" t="str">
        <f ca="1">'Translation Table'!H2477</f>
        <v>°C</v>
      </c>
      <c r="F33" s="575" t="str">
        <f ca="1">'Translation Table'!H2469</f>
        <v>Carbon</v>
      </c>
      <c r="G33" s="575" t="str">
        <f ca="1">'Translation Table'!H2415</f>
        <v>C</v>
      </c>
      <c r="H33" s="575">
        <v>12.010999999999999</v>
      </c>
    </row>
    <row r="34" spans="1:8" x14ac:dyDescent="0.3">
      <c r="A34" s="568" t="str">
        <f ca="1">'Translation Table'!H2478</f>
        <v>Standard Pressure</v>
      </c>
      <c r="B34" s="193">
        <v>101.325</v>
      </c>
      <c r="C34" s="193" t="str">
        <f ca="1">'Translation Table'!H2479</f>
        <v>kPa</v>
      </c>
      <c r="F34" s="193" t="str">
        <f ca="1">'Translation Table'!H2470</f>
        <v>Hydrogen</v>
      </c>
      <c r="G34" s="193" t="str">
        <f ca="1">'Translation Table'!H2416</f>
        <v>H</v>
      </c>
      <c r="H34" s="193">
        <v>1.0078400000000001</v>
      </c>
    </row>
    <row r="35" spans="1:8" x14ac:dyDescent="0.3">
      <c r="A35" s="568" t="str">
        <f ca="1">'Translation Table'!H2480</f>
        <v>Standard Volume</v>
      </c>
      <c r="B35" s="582">
        <f>Rg*(Ts+273.15)/Ps</f>
        <v>23.644822021909693</v>
      </c>
      <c r="C35" s="575" t="str">
        <f ca="1">'Translation Table'!H2481</f>
        <v>m3/kmol</v>
      </c>
      <c r="F35" s="575" t="str">
        <f ca="1">'Translation Table'!H2471</f>
        <v>Oxygen</v>
      </c>
      <c r="G35" s="575" t="str">
        <f ca="1">'Translation Table'!H2419</f>
        <v>O</v>
      </c>
      <c r="H35" s="575">
        <v>15.999000000000001</v>
      </c>
    </row>
    <row r="36" spans="1:8" x14ac:dyDescent="0.3">
      <c r="A36" s="568" t="str">
        <f ca="1">'Translation Table'!H2482</f>
        <v>Ambient Pressure</v>
      </c>
      <c r="B36" s="460">
        <v>100</v>
      </c>
      <c r="C36" s="694" t="str">
        <f ca="1">'Translation Table'!H2483</f>
        <v>kPa</v>
      </c>
      <c r="F36" s="193" t="str">
        <f ca="1">'Translation Table'!H2472</f>
        <v>Nitrogen</v>
      </c>
      <c r="G36" s="193" t="str">
        <f ca="1">'Translation Table'!H2418</f>
        <v>N</v>
      </c>
      <c r="H36" s="193">
        <v>140067</v>
      </c>
    </row>
    <row r="37" spans="1:8" x14ac:dyDescent="0.3">
      <c r="A37" s="568" t="str">
        <f ca="1">'Translation Table'!H2484</f>
        <v>Gas Constant</v>
      </c>
      <c r="B37" s="575">
        <v>8.3144597999999998</v>
      </c>
      <c r="C37" s="575" t="str">
        <f ca="1">'Translation Table'!H2503</f>
        <v>m3·kPa·kmol-1·°K-1</v>
      </c>
      <c r="F37" s="575" t="str">
        <f ca="1">'Translation Table'!H2473</f>
        <v>Sulphur</v>
      </c>
      <c r="G37" s="575" t="str">
        <f ca="1">'Translation Table'!H2417</f>
        <v>S</v>
      </c>
      <c r="H37" s="575">
        <v>32.064999999999998</v>
      </c>
    </row>
    <row r="38" spans="1:8" x14ac:dyDescent="0.3">
      <c r="A38" s="568" t="str">
        <f ca="1">'Translation Table'!H2485</f>
        <v>NG Specific Heat Ratio</v>
      </c>
      <c r="B38" s="193">
        <v>1.32</v>
      </c>
      <c r="C38" s="193" t="str">
        <f ca="1">'Translation Table'!H2504</f>
        <v>Dimensionless</v>
      </c>
    </row>
    <row r="39" spans="1:8" x14ac:dyDescent="0.3">
      <c r="A39" s="568" t="str">
        <f ca="1">'Translation Table'!H2486</f>
        <v>NG Molecular Weight</v>
      </c>
      <c r="B39" s="575">
        <f>ProcessGas_CH4*M_CH4+ProcessGas_CO2*M_CO2+ProcessGas_N2*M_N2+ProcessGas_H2S*M_H2S+(1-ProcessGas_CH4-ProcessGas_CO2-ProcessGas_N2-ProcessGas_H2S)*(0.643*M_C2+(1-0.643)*M_C3)</f>
        <v>18.625503899999998</v>
      </c>
      <c r="C39" s="575" t="str">
        <f ca="1">'Translation Table'!H2505</f>
        <v>kg/kmol</v>
      </c>
    </row>
    <row r="40" spans="1:8" x14ac:dyDescent="0.3">
      <c r="A40" s="568" t="str">
        <f ca="1">'Translation Table'!H2487</f>
        <v>NG Density</v>
      </c>
      <c r="B40" s="193">
        <f>M_ProcessGas/Vstp</f>
        <v>0.78772019864396914</v>
      </c>
      <c r="C40" s="193" t="str">
        <f ca="1">'Translation Table'!H2506</f>
        <v>kg/m3</v>
      </c>
    </row>
    <row r="41" spans="1:8" x14ac:dyDescent="0.3">
      <c r="A41" s="568" t="str">
        <f ca="1">'Translation Table'!H2488</f>
        <v>Air Specific Heat Ratio</v>
      </c>
      <c r="B41" s="575">
        <v>1.4</v>
      </c>
      <c r="C41" s="575" t="str">
        <f ca="1">'Translation Table'!H2507</f>
        <v>Dimensionless</v>
      </c>
    </row>
    <row r="42" spans="1:8" x14ac:dyDescent="0.3">
      <c r="A42" s="568" t="str">
        <f ca="1">'Translation Table'!H2489</f>
        <v>Air Molecular Weight</v>
      </c>
      <c r="B42" s="193">
        <v>28.964700000000001</v>
      </c>
      <c r="C42" s="193" t="str">
        <f ca="1">'Translation Table'!H2508</f>
        <v>kg/kmol</v>
      </c>
    </row>
    <row r="43" spans="1:8" x14ac:dyDescent="0.3">
      <c r="A43" s="568" t="str">
        <f ca="1">'Translation Table'!H2490</f>
        <v>Air Cv Specific Heat</v>
      </c>
      <c r="B43" s="575">
        <v>717.5</v>
      </c>
      <c r="C43" s="575" t="str">
        <f ca="1">'Translation Table'!H2509</f>
        <v>J/kg</v>
      </c>
    </row>
    <row r="44" spans="1:8" x14ac:dyDescent="0.3">
      <c r="A44" s="568" t="str">
        <f ca="1">'Translation Table'!H2491</f>
        <v>Air Cp Specific Heat</v>
      </c>
      <c r="B44" s="193">
        <v>1005</v>
      </c>
      <c r="C44" s="193" t="str">
        <f ca="1">'Translation Table'!H2510</f>
        <v>J/kg</v>
      </c>
    </row>
    <row r="45" spans="1:8" x14ac:dyDescent="0.3">
      <c r="A45" s="568" t="str">
        <f ca="1">'Translation Table'!H2492</f>
        <v>Air Density</v>
      </c>
      <c r="B45" s="575">
        <f>M_Air/Vstp</f>
        <v>1.2249912464200754</v>
      </c>
      <c r="C45" s="575" t="str">
        <f ca="1">'Translation Table'!H2511</f>
        <v>kg/m3</v>
      </c>
    </row>
    <row r="46" spans="1:8" x14ac:dyDescent="0.3">
      <c r="A46" s="568" t="str">
        <f ca="1">'Translation Table'!H2493</f>
        <v>Fuel Gas HHV</v>
      </c>
      <c r="B46" s="193">
        <f>FuelGas_CH4*HHV_CH4+FuelGas_H2S*HHV_H2S+(1-FuelGas_CH4-FuelGas_CO2-FuelGas_N2-FuelGas_H2S)*(0.643*HHV_C2+(1-0.643)*HHV_C3)</f>
        <v>38.464308742</v>
      </c>
      <c r="C46" s="193" t="str">
        <f ca="1">'Translation Table'!H2512</f>
        <v>MJ/m3</v>
      </c>
    </row>
    <row r="47" spans="1:8" x14ac:dyDescent="0.3">
      <c r="A47" s="568" t="str">
        <f ca="1">'Translation Table'!H2494</f>
        <v>Fuel Gas LHV</v>
      </c>
      <c r="B47" s="575" cm="1">
        <f t="array" ref="B47">FuelGas_CH4*LHV_CH4+FuelGas_H2S*LHV_H2S+(1-FuelGas_CH4-FuelGas_CO2-FuelGas_N2-FuelGas_H2S)*(0.643*LHV_C2+(1-0.643)*LHV_C3)</f>
        <v>34.673878517299997</v>
      </c>
      <c r="C47" s="575" t="str">
        <f ca="1">'Translation Table'!H2513</f>
        <v>MJ/m3</v>
      </c>
    </row>
    <row r="48" spans="1:8" x14ac:dyDescent="0.3">
      <c r="A48" s="568" t="str">
        <f ca="1">'Translation Table'!H2495</f>
        <v>Fuel Gas Molecular Weight</v>
      </c>
      <c r="B48" s="193">
        <f>FuelGas_CH4*M_CH4+FuelGas_CO2*M_CO2+FuelGas_N2*M_N2+FuelGas_H2S*M_H2S+(1-FuelGas_CH4-FuelGas_CO2-FuelGas_N2-FuelGas_H2S)*(0.643*M_C2+(1-0.643)*M_C3)</f>
        <v>16.968647201099998</v>
      </c>
      <c r="C48" s="193" t="str">
        <f ca="1">'Translation Table'!H2514</f>
        <v>kg/kmol</v>
      </c>
    </row>
    <row r="49" spans="1:3" x14ac:dyDescent="0.3">
      <c r="A49" s="568" t="str">
        <f ca="1">'Translation Table'!H2496</f>
        <v>Fuel Gas Density</v>
      </c>
      <c r="B49" s="575">
        <f>M_FuelGas/Vstp</f>
        <v>0.71764749108183434</v>
      </c>
      <c r="C49" s="575" t="str">
        <f ca="1">'Translation Table'!H2515</f>
        <v>kg/kmol</v>
      </c>
    </row>
    <row r="50" spans="1:3" x14ac:dyDescent="0.3">
      <c r="A50" s="568" t="s">
        <v>3430</v>
      </c>
      <c r="B50" s="575">
        <f>(FuelGas_CH4*CC_CH4+FuelGas_CO2*CC_CO2+(1-FuelGas_CH4-FuelGas_CO2-FuelGas_N2-FuelGas_H2S)*(0.643*CC_C2+(1-0.643)*CC_C3))/FuelGas_HHV</f>
        <v>1.3632111900173735E-2</v>
      </c>
      <c r="C50" s="693" t="s">
        <v>3431</v>
      </c>
    </row>
    <row r="51" spans="1:3" x14ac:dyDescent="0.3">
      <c r="A51" s="568" t="str">
        <f ca="1">'Translation Table'!H2498</f>
        <v>Flare Gas HHV</v>
      </c>
      <c r="B51" s="193">
        <f>FlareGas_CH4*HHV_CH4+FlareGas_H2S*HHV_H2S+(1-FlareGas_CH4-FlareGas_CO2-FlareGas_N2-FlareGas_H2S)*(0.643*HHV_C2+(1-0.643)*HHV_C3)</f>
        <v>40.255408000000003</v>
      </c>
      <c r="C51" s="193" t="str">
        <f ca="1">'Translation Table'!H2502</f>
        <v>MJ/m3</v>
      </c>
    </row>
    <row r="52" spans="1:3" x14ac:dyDescent="0.3">
      <c r="A52" s="568" t="str">
        <f ca="1">'Translation Table'!H2499</f>
        <v>Acid Gas HHV</v>
      </c>
      <c r="B52" s="575">
        <f>FlaredAcidGas_CH4*HHV_CH4+FlaredAcidGas_H2S*HHV_H2S+(1-FlaredAcidGas_CH4-FuelGas_CO2-FlaredAcidGas_N2-FlaredAcidGas_H2S)*(0.643*HHV_C2+(1-0.643)*HHV_C3)</f>
        <v>68.42444429999999</v>
      </c>
      <c r="C52" s="575" t="str">
        <f ca="1">'Translation Table'!H2502</f>
        <v>MJ/m3</v>
      </c>
    </row>
    <row r="53" spans="1:3" x14ac:dyDescent="0.3">
      <c r="A53" s="568" t="str">
        <f ca="1">'Translation Table'!H2500</f>
        <v>NMVOC HHV</v>
      </c>
      <c r="B53" s="193">
        <f>(0.643*HHV_C2+(1-0.643)*HHV_C3)</f>
        <v>76.00658</v>
      </c>
      <c r="C53" s="694" t="str">
        <f ca="1">'Translation Table'!H2502</f>
        <v>MJ/m3</v>
      </c>
    </row>
    <row r="54" spans="1:3" x14ac:dyDescent="0.3">
      <c r="A54" s="568" t="str">
        <f ca="1">'Translation Table'!H2501</f>
        <v>NMVOC LHV</v>
      </c>
      <c r="B54" s="575">
        <f>(0.643*LHV_C2+(1-0.643)*LHV_C3)</f>
        <v>69.698777000000007</v>
      </c>
      <c r="C54" s="693" t="str">
        <f ca="1">'Translation Table'!H2502</f>
        <v>MJ/m3</v>
      </c>
    </row>
  </sheetData>
  <sheetProtection algorithmName="SHA-512" hashValue="zlIbBUk7ggaNLlagWCu8z1WWl1qlhFMgLIJP9+LfrmAxlwwF43V+p1APt/ReEKvBPSyXgPDjPxR/fcoff/kUaQ==" saltValue="FHP4aJ4HGxmVzkhPrklSyw==" spinCount="100000" sheet="1" objects="1" scenarios="1"/>
  <mergeCells count="27">
    <mergeCell ref="F31:H31"/>
    <mergeCell ref="A1:C1"/>
    <mergeCell ref="A31:C31"/>
    <mergeCell ref="O2:R2"/>
    <mergeCell ref="A2:B2"/>
    <mergeCell ref="A3:A4"/>
    <mergeCell ref="B3:B4"/>
    <mergeCell ref="C3:C4"/>
    <mergeCell ref="O3:P3"/>
    <mergeCell ref="Q3:R3"/>
    <mergeCell ref="D2:E2"/>
    <mergeCell ref="K2:N2"/>
    <mergeCell ref="K3:L3"/>
    <mergeCell ref="M3:N3"/>
    <mergeCell ref="F3:G3"/>
    <mergeCell ref="H3:I3"/>
    <mergeCell ref="H2:J2"/>
    <mergeCell ref="F2:G2"/>
    <mergeCell ref="X2:Y2"/>
    <mergeCell ref="X3:X4"/>
    <mergeCell ref="Y3:Y4"/>
    <mergeCell ref="S3:S4"/>
    <mergeCell ref="T3:T4"/>
    <mergeCell ref="U3:U4"/>
    <mergeCell ref="V3:V4"/>
    <mergeCell ref="W3:W4"/>
    <mergeCell ref="S2:W2"/>
  </mergeCells>
  <pageMargins left="0.7" right="0.7" top="0.75" bottom="0.75" header="0.3" footer="0.3"/>
  <pageSetup orientation="portrait"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AB3E58"/>
  </sheetPr>
  <dimension ref="B1:Q367"/>
  <sheetViews>
    <sheetView showGridLines="0" topLeftCell="B335" workbookViewId="0">
      <selection activeCell="B14" sqref="B14"/>
    </sheetView>
  </sheetViews>
  <sheetFormatPr defaultColWidth="9.1796875" defaultRowHeight="18.75" customHeight="1" x14ac:dyDescent="0.35"/>
  <cols>
    <col min="1" max="1" width="0" style="257" hidden="1" customWidth="1"/>
    <col min="2" max="2" width="55.7265625" style="257" customWidth="1"/>
    <col min="3" max="3" width="34.7265625" style="257" customWidth="1"/>
    <col min="4" max="4" width="80" style="257" customWidth="1"/>
    <col min="5" max="5" width="58.54296875" style="257" customWidth="1"/>
    <col min="6" max="6" width="64.7265625" style="257" customWidth="1"/>
    <col min="7" max="7" width="36.7265625" style="257" customWidth="1"/>
    <col min="8" max="8" width="28.54296875" style="257" customWidth="1"/>
    <col min="9" max="10" width="29.54296875" style="257" customWidth="1"/>
    <col min="11" max="16384" width="9.1796875" style="257"/>
  </cols>
  <sheetData>
    <row r="1" spans="2:5" ht="22.5" customHeight="1" x14ac:dyDescent="0.35">
      <c r="B1" s="1123" t="str">
        <f ca="1">'Translation Table'!H2516</f>
        <v>Conversion Factor Look-up Table</v>
      </c>
      <c r="C1" s="1123"/>
    </row>
    <row r="3" spans="2:5" ht="18.75" customHeight="1" x14ac:dyDescent="0.35">
      <c r="B3" s="1117" t="str">
        <f ca="1">'Translation Table'!H2517</f>
        <v>From</v>
      </c>
      <c r="C3" s="1117" t="str">
        <f ca="1">'Translation Table'!H2518</f>
        <v>To</v>
      </c>
      <c r="D3" s="1119" t="str">
        <f ca="1">'Translation Table'!H2519</f>
        <v>Conversion Factor</v>
      </c>
      <c r="E3" s="1120"/>
    </row>
    <row r="4" spans="2:5" ht="18.75" customHeight="1" x14ac:dyDescent="0.35">
      <c r="B4" s="1116"/>
      <c r="C4" s="1116"/>
      <c r="D4" s="564" t="str">
        <f ca="1">'Translation Table'!H2520</f>
        <v>Value</v>
      </c>
      <c r="E4" s="564" t="str">
        <f ca="1">'Translation Table'!H2521</f>
        <v>Descriptor</v>
      </c>
    </row>
    <row r="5" spans="2:5" ht="18.75" customHeight="1" x14ac:dyDescent="0.35">
      <c r="B5" s="237" t="s">
        <v>2292</v>
      </c>
      <c r="C5" s="237" t="s">
        <v>2678</v>
      </c>
      <c r="D5" s="237">
        <f>0.000001/0.003785412</f>
        <v>2.6417203728418466E-4</v>
      </c>
      <c r="E5" s="237" t="s">
        <v>2680</v>
      </c>
    </row>
    <row r="6" spans="2:5" ht="18.75" customHeight="1" x14ac:dyDescent="0.35">
      <c r="B6" s="592" t="s">
        <v>2288</v>
      </c>
      <c r="C6" s="592" t="s">
        <v>2289</v>
      </c>
      <c r="D6" s="592">
        <f>1/1000/1000/0.9071847</f>
        <v>1.1023113595279991E-6</v>
      </c>
      <c r="E6" s="592" t="s">
        <v>2290</v>
      </c>
    </row>
    <row r="7" spans="2:5" ht="18.75" customHeight="1" x14ac:dyDescent="0.35">
      <c r="B7" s="237" t="s">
        <v>2293</v>
      </c>
      <c r="C7" s="237" t="s">
        <v>2317</v>
      </c>
      <c r="D7" s="237">
        <f>1/1000/0.02831685</f>
        <v>3.5314662471284765E-2</v>
      </c>
      <c r="E7" s="237" t="s">
        <v>2318</v>
      </c>
    </row>
    <row r="8" spans="2:5" ht="18.75" customHeight="1" x14ac:dyDescent="0.35">
      <c r="B8" s="592" t="s">
        <v>2737</v>
      </c>
      <c r="C8" s="592" t="s">
        <v>2738</v>
      </c>
      <c r="D8" s="592">
        <f>1/density_CH4</f>
        <v>1.473840430213158</v>
      </c>
      <c r="E8" s="592" t="s">
        <v>2739</v>
      </c>
    </row>
    <row r="9" spans="2:5" ht="18.75" customHeight="1" x14ac:dyDescent="0.35">
      <c r="B9" s="237" t="str">
        <f ca="1">'Translation Table'!H2523</f>
        <v>lb CH4</v>
      </c>
      <c r="C9" s="237" t="str">
        <f ca="1">'Translation Table'!H2590</f>
        <v>m3 CH4</v>
      </c>
      <c r="D9" s="298">
        <f>1*0.453592/density_CH4</f>
        <v>0.66852222842124676</v>
      </c>
      <c r="E9" s="237" t="str">
        <f ca="1">'Translation Table'!H2620</f>
        <v>"lb CH4" to "m3 CH4"</v>
      </c>
    </row>
    <row r="10" spans="2:5" ht="18.75" customHeight="1" x14ac:dyDescent="0.35">
      <c r="B10" s="592" t="s">
        <v>2599</v>
      </c>
      <c r="C10" s="592" t="s">
        <v>2678</v>
      </c>
      <c r="D10" s="592">
        <f>0.0004535924/3.785412</f>
        <v>1.198264284046228E-4</v>
      </c>
      <c r="E10" s="592" t="s">
        <v>2679</v>
      </c>
    </row>
    <row r="11" spans="2:5" ht="18.75" customHeight="1" x14ac:dyDescent="0.35">
      <c r="B11" s="366" t="s">
        <v>2279</v>
      </c>
      <c r="C11" s="366" t="s">
        <v>2286</v>
      </c>
      <c r="D11" s="298">
        <f>453.5924/1.055056/1000/1000</f>
        <v>4.2992258230842723E-4</v>
      </c>
      <c r="E11" s="237" t="s">
        <v>2287</v>
      </c>
    </row>
    <row r="12" spans="2:5" ht="18.75" customHeight="1" x14ac:dyDescent="0.35">
      <c r="B12" s="592" t="s">
        <v>2284</v>
      </c>
      <c r="C12" s="592" t="s">
        <v>2370</v>
      </c>
      <c r="D12" s="592">
        <f>0.4535924/1000/28.31685</f>
        <v>1.6018462505539988E-5</v>
      </c>
      <c r="E12" s="592" t="s">
        <v>2371</v>
      </c>
    </row>
    <row r="13" spans="2:5" ht="18.75" customHeight="1" x14ac:dyDescent="0.35">
      <c r="B13" s="237" t="s">
        <v>2595</v>
      </c>
      <c r="C13" s="237" t="s">
        <v>2289</v>
      </c>
      <c r="D13" s="237">
        <f>0.0004535924/0.9071847</f>
        <v>5.0000005511556794E-4</v>
      </c>
      <c r="E13" s="237" t="s">
        <v>2692</v>
      </c>
    </row>
    <row r="14" spans="2:5" ht="18.75" customHeight="1" x14ac:dyDescent="0.35">
      <c r="B14" s="592" t="str">
        <f ca="1">'Translation Table'!H2528</f>
        <v>mile</v>
      </c>
      <c r="C14" s="592" t="str">
        <f ca="1">'Translation Table'!H2595</f>
        <v>km</v>
      </c>
      <c r="D14" s="592">
        <v>1.6093440000000001</v>
      </c>
      <c r="E14" s="592" t="str">
        <f ca="1">'Translation Table'!H2625</f>
        <v>"mile" to "km"</v>
      </c>
    </row>
    <row r="15" spans="2:5" ht="18.75" customHeight="1" x14ac:dyDescent="0.35">
      <c r="B15" s="237" t="str">
        <f ca="1">'Translation Table'!H2530</f>
        <v>scf/106 scf gas processed</v>
      </c>
      <c r="C15" s="237" t="str">
        <f ca="1">'Translation Table'!H2597</f>
        <v>m3/106 m3 gas processed</v>
      </c>
      <c r="D15" s="237">
        <v>1</v>
      </c>
      <c r="E15" s="237" t="str">
        <f ca="1">'Translation Table'!H2627</f>
        <v>"scf/106 scf gas processed" to "m3/106 m3 gas processed"</v>
      </c>
    </row>
    <row r="16" spans="2:5" ht="18.75" customHeight="1" x14ac:dyDescent="0.35">
      <c r="B16" s="592" t="str">
        <f ca="1">'Translation Table'!H2531</f>
        <v>scf/activity</v>
      </c>
      <c r="C16" s="592" t="str">
        <f ca="1">'Translation Table'!H2598</f>
        <v>m3/activity</v>
      </c>
      <c r="D16" s="594">
        <f>0.02831685</f>
        <v>2.8316850000000001E-2</v>
      </c>
      <c r="E16" s="592" t="str">
        <f ca="1">'Translation Table'!H2628</f>
        <v>"scf/activity" to "m3/activity"</v>
      </c>
    </row>
    <row r="17" spans="2:5" ht="18.75" customHeight="1" x14ac:dyDescent="0.35">
      <c r="B17" s="237" t="str">
        <f ca="1">'Translation Table'!H2533</f>
        <v>scf/h/device</v>
      </c>
      <c r="C17" s="237" t="s">
        <v>1945</v>
      </c>
      <c r="D17" s="237">
        <f>0.02831685*24</f>
        <v>0.6796044</v>
      </c>
      <c r="E17" s="237" t="s">
        <v>2745</v>
      </c>
    </row>
    <row r="18" spans="2:5" ht="18.75" customHeight="1" x14ac:dyDescent="0.35">
      <c r="B18" s="592" t="str">
        <f ca="1">'Translation Table'!H2534</f>
        <v>scf/d/device</v>
      </c>
      <c r="C18" s="592" t="str">
        <f ca="1">'Translation Table'!H2600</f>
        <v>m3/d/device</v>
      </c>
      <c r="D18" s="594">
        <f>0.02831685</f>
        <v>2.8316850000000001E-2</v>
      </c>
      <c r="E18" s="592" t="str">
        <f ca="1">'Translation Table'!H2630</f>
        <v>"scf/d/device" to "m3/d/device"</v>
      </c>
    </row>
    <row r="19" spans="2:5" ht="18.75" customHeight="1" x14ac:dyDescent="0.35">
      <c r="B19" s="237" t="str">
        <f ca="1">'Translation Table'!H2535</f>
        <v>scf/y/pipeline-mile</v>
      </c>
      <c r="C19" s="237" t="str">
        <f ca="1">'Translation Table'!H2601</f>
        <v>m3/y/pipeline-km</v>
      </c>
      <c r="D19" s="237">
        <f>0.02831685/1.609344</f>
        <v>1.7595274844905751E-2</v>
      </c>
      <c r="E19" s="237" t="str">
        <f ca="1">'Translation Table'!H2631</f>
        <v>"scf/y/pipeline-mile" to "m3/y/pipeline-km"</v>
      </c>
    </row>
    <row r="20" spans="2:5" ht="18.75" customHeight="1" x14ac:dyDescent="0.35">
      <c r="B20" s="592" t="str">
        <f ca="1">'Translation Table'!H2536</f>
        <v>scf/y/source</v>
      </c>
      <c r="C20" s="592" t="str">
        <f ca="1">'Translation Table'!H2603</f>
        <v>m3/y/source</v>
      </c>
      <c r="D20" s="594">
        <f>0.02831685</f>
        <v>2.8316850000000001E-2</v>
      </c>
      <c r="E20" s="592" t="str">
        <f ca="1">'Translation Table'!H2632</f>
        <v>"scf/y/source" to "m3/y/source"</v>
      </c>
    </row>
    <row r="21" spans="2:5" ht="18.75" customHeight="1" x14ac:dyDescent="0.35">
      <c r="B21" s="237" t="str">
        <f ca="1">'Translation Table'!H2538</f>
        <v>tonnes CH4</v>
      </c>
      <c r="C21" s="237" t="s">
        <v>1943</v>
      </c>
      <c r="D21" s="237">
        <f>1000/density_CH4</f>
        <v>1473.840430213158</v>
      </c>
      <c r="E21" s="237" t="s">
        <v>2740</v>
      </c>
    </row>
    <row r="22" spans="2:5" ht="18.75" customHeight="1" x14ac:dyDescent="0.35">
      <c r="B22" s="592" t="str">
        <f ca="1">'Translation Table'!H2539</f>
        <v>tonnes CH4/pipeline-mile</v>
      </c>
      <c r="C22" s="592" t="s">
        <v>2742</v>
      </c>
      <c r="D22" s="592">
        <f>1000/density_CH4/mile_to_km</f>
        <v>915.80198528913513</v>
      </c>
      <c r="E22" s="592" t="s">
        <v>2743</v>
      </c>
    </row>
    <row r="23" spans="2:5" ht="18.75" customHeight="1" x14ac:dyDescent="0.35">
      <c r="B23" s="237" t="str">
        <f ca="1">'Translation Table'!H2540</f>
        <v>tonnes CH4/1000 bbl of Liquid</v>
      </c>
      <c r="C23" s="237" t="str">
        <f ca="1">'Translation Table'!H2609</f>
        <v>m3 CH4/m3 of Liquid</v>
      </c>
      <c r="D23" s="407">
        <f>1000/Constants!$E$5/0.1589873/1000</f>
        <v>9.2701771161165585</v>
      </c>
      <c r="E23" s="237" t="str">
        <f ca="1">'Translation Table'!H2634</f>
        <v>"tonnes CH4/1000 bbl of Liquid" to "m3 CH4/m3 of Liquid"</v>
      </c>
    </row>
    <row r="24" spans="2:5" ht="18.75" customHeight="1" x14ac:dyDescent="0.35">
      <c r="B24" s="592" t="str">
        <f ca="1">'Translation Table'!H2542</f>
        <v>tonnes CH4/d/source</v>
      </c>
      <c r="C24" s="592" t="str">
        <f ca="1">'Translation Table'!H2611</f>
        <v>m3 CH4/d/source</v>
      </c>
      <c r="D24" s="595">
        <f>1000/Constants!$E$5</f>
        <v>1473.840430213158</v>
      </c>
      <c r="E24" s="592" t="str">
        <f ca="1">'Translation Table'!H2636</f>
        <v>"tonnes CH4/d/source" to "m3 CH4/d/source"</v>
      </c>
    </row>
    <row r="25" spans="2:5" ht="18.75" customHeight="1" x14ac:dyDescent="0.35">
      <c r="B25" s="237" t="str">
        <f ca="1">'Translation Table'!H2543</f>
        <v>tonnes CH4/m3 of Liquid</v>
      </c>
      <c r="C25" s="237" t="str">
        <f ca="1">'Translation Table'!H2612</f>
        <v>m3 CH4/m3 of Liquid</v>
      </c>
      <c r="D25" s="237">
        <f>1000/Constants!$E$5</f>
        <v>1473.840430213158</v>
      </c>
      <c r="E25" s="237" t="str">
        <f ca="1">'Translation Table'!H2637</f>
        <v>"tonnes CH4/m3 of Liquid" to "m3 CH4/m3 of Liquid"</v>
      </c>
    </row>
    <row r="26" spans="2:5" ht="18.75" customHeight="1" x14ac:dyDescent="0.35">
      <c r="B26" s="593" t="str">
        <f ca="1">'Translation Table'!H2562</f>
        <v>m^3/h</v>
      </c>
      <c r="C26" s="599" t="s">
        <v>2443</v>
      </c>
      <c r="D26" s="600">
        <v>1</v>
      </c>
      <c r="E26" s="598" t="s">
        <v>2479</v>
      </c>
    </row>
    <row r="27" spans="2:5" ht="18.75" customHeight="1" x14ac:dyDescent="0.35">
      <c r="B27" s="237" t="str">
        <f ca="1">'Translation Table'!H2563</f>
        <v>m^3/d</v>
      </c>
      <c r="C27" s="237" t="s">
        <v>2443</v>
      </c>
      <c r="D27" s="237">
        <f>1/24</f>
        <v>4.1666666666666664E-2</v>
      </c>
      <c r="E27" s="237" t="s">
        <v>2480</v>
      </c>
    </row>
    <row r="28" spans="2:5" ht="18.75" customHeight="1" x14ac:dyDescent="0.35">
      <c r="B28" s="592" t="s">
        <v>64</v>
      </c>
      <c r="C28" s="592" t="s">
        <v>2841</v>
      </c>
      <c r="D28" s="592">
        <v>0.14503769999999999</v>
      </c>
      <c r="E28" s="592" t="s">
        <v>2843</v>
      </c>
    </row>
    <row r="29" spans="2:5" ht="18.75" customHeight="1" x14ac:dyDescent="0.35">
      <c r="B29" s="237" t="s">
        <v>2845</v>
      </c>
      <c r="C29" s="237" t="s">
        <v>2847</v>
      </c>
      <c r="D29" s="237">
        <f>1/1000</f>
        <v>1E-3</v>
      </c>
      <c r="E29" s="237" t="s">
        <v>2846</v>
      </c>
    </row>
    <row r="30" spans="2:5" ht="18.75" customHeight="1" x14ac:dyDescent="0.35">
      <c r="B30" s="592" t="s">
        <v>2845</v>
      </c>
      <c r="C30" s="592" t="s">
        <v>2849</v>
      </c>
      <c r="D30" s="592">
        <f>1/0.3048^3/24</f>
        <v>1.4714444467286911</v>
      </c>
      <c r="E30" s="592" t="s">
        <v>2850</v>
      </c>
    </row>
    <row r="31" spans="2:5" ht="18.75" customHeight="1" x14ac:dyDescent="0.35">
      <c r="B31" s="237" t="s">
        <v>2845</v>
      </c>
      <c r="C31" s="237" t="s">
        <v>2458</v>
      </c>
      <c r="D31" s="237">
        <f>1/0.3048^3/1000/1000</f>
        <v>3.5314666721488586E-5</v>
      </c>
      <c r="E31" s="237" t="s">
        <v>2867</v>
      </c>
    </row>
    <row r="32" spans="2:5" ht="18.75" customHeight="1" x14ac:dyDescent="0.35">
      <c r="B32" s="592" t="s">
        <v>2853</v>
      </c>
      <c r="C32" s="592" t="s">
        <v>2855</v>
      </c>
      <c r="D32" s="592">
        <f>1*2.20462/35.31467</f>
        <v>6.2427880538031361E-2</v>
      </c>
      <c r="E32" s="592" t="s">
        <v>2857</v>
      </c>
    </row>
    <row r="33" spans="2:5" ht="18.75" customHeight="1" x14ac:dyDescent="0.35">
      <c r="B33" s="237" t="s">
        <v>2845</v>
      </c>
      <c r="C33" s="237" t="s">
        <v>2858</v>
      </c>
      <c r="D33" s="237">
        <f>1*365/12</f>
        <v>30.416666666666668</v>
      </c>
      <c r="E33" s="237" t="s">
        <v>2848</v>
      </c>
    </row>
    <row r="34" spans="2:5" ht="18.75" customHeight="1" x14ac:dyDescent="0.35">
      <c r="B34" s="592" t="s">
        <v>2845</v>
      </c>
      <c r="C34" s="592" t="s">
        <v>2859</v>
      </c>
      <c r="D34" s="592">
        <f>1*365</f>
        <v>365</v>
      </c>
      <c r="E34" s="592" t="s">
        <v>2848</v>
      </c>
    </row>
    <row r="35" spans="2:5" ht="18.75" customHeight="1" x14ac:dyDescent="0.35">
      <c r="B35" s="237" t="s">
        <v>2845</v>
      </c>
      <c r="C35" s="237" t="s">
        <v>2861</v>
      </c>
      <c r="D35" s="237">
        <f>1/24*264.1721</f>
        <v>11.007170833333333</v>
      </c>
      <c r="E35" s="237" t="s">
        <v>2860</v>
      </c>
    </row>
    <row r="36" spans="2:5" ht="18.75" customHeight="1" x14ac:dyDescent="0.35">
      <c r="B36" s="592" t="s">
        <v>2845</v>
      </c>
      <c r="C36" s="592" t="s">
        <v>2444</v>
      </c>
      <c r="D36" s="592">
        <f>1*6.28981057</f>
        <v>6.2898105700000002</v>
      </c>
      <c r="E36" s="592" t="s">
        <v>2862</v>
      </c>
    </row>
    <row r="37" spans="2:5" ht="18.75" customHeight="1" x14ac:dyDescent="0.35">
      <c r="B37" s="237" t="s">
        <v>2845</v>
      </c>
      <c r="C37" s="237" t="s">
        <v>2445</v>
      </c>
      <c r="D37" s="237">
        <f>1*6.28981057*365/12</f>
        <v>191.31507150416667</v>
      </c>
      <c r="E37" s="237" t="s">
        <v>2863</v>
      </c>
    </row>
    <row r="38" spans="2:5" ht="18.75" customHeight="1" x14ac:dyDescent="0.35">
      <c r="B38" s="592" t="s">
        <v>2845</v>
      </c>
      <c r="C38" s="592" t="s">
        <v>2446</v>
      </c>
      <c r="D38" s="592">
        <f>1*6.28981057*365</f>
        <v>2295.78085805</v>
      </c>
      <c r="E38" s="592" t="s">
        <v>2864</v>
      </c>
    </row>
    <row r="39" spans="2:5" ht="18.75" customHeight="1" x14ac:dyDescent="0.35">
      <c r="B39" s="237" t="s">
        <v>2845</v>
      </c>
      <c r="C39" s="237" t="s">
        <v>2970</v>
      </c>
      <c r="D39" s="237">
        <f>1/1000*365</f>
        <v>0.36499999999999999</v>
      </c>
      <c r="E39" s="237" t="s">
        <v>3024</v>
      </c>
    </row>
    <row r="40" spans="2:5" ht="18.75" customHeight="1" x14ac:dyDescent="0.35">
      <c r="B40" s="592" t="s">
        <v>2874</v>
      </c>
      <c r="C40" s="592" t="s">
        <v>2892</v>
      </c>
      <c r="D40" s="592">
        <v>1.3410219999999999</v>
      </c>
      <c r="E40" s="592" t="s">
        <v>2893</v>
      </c>
    </row>
    <row r="41" spans="2:5" ht="18.75" customHeight="1" x14ac:dyDescent="0.35">
      <c r="B41" s="237" t="s">
        <v>2892</v>
      </c>
      <c r="C41" s="237" t="s">
        <v>2874</v>
      </c>
      <c r="D41" s="237">
        <v>0.74569989999999997</v>
      </c>
      <c r="E41" s="237" t="s">
        <v>2894</v>
      </c>
    </row>
    <row r="42" spans="2:5" ht="18.75" customHeight="1" x14ac:dyDescent="0.35">
      <c r="B42" s="592" t="s">
        <v>2874</v>
      </c>
      <c r="C42" s="592" t="s">
        <v>2448</v>
      </c>
      <c r="D42" s="592">
        <f>1*3600/1000/1000</f>
        <v>3.5999999999999999E-3</v>
      </c>
      <c r="E42" s="592" t="s">
        <v>2895</v>
      </c>
    </row>
    <row r="43" spans="2:5" ht="18.75" customHeight="1" x14ac:dyDescent="0.35">
      <c r="B43" s="237" t="s">
        <v>2896</v>
      </c>
      <c r="C43" s="237" t="s">
        <v>2874</v>
      </c>
      <c r="D43" s="237">
        <v>292.81040000000002</v>
      </c>
      <c r="E43" s="237" t="s">
        <v>2897</v>
      </c>
    </row>
    <row r="44" spans="2:5" ht="18.75" customHeight="1" x14ac:dyDescent="0.35">
      <c r="B44" s="592" t="s">
        <v>2898</v>
      </c>
      <c r="C44" s="592" t="s">
        <v>2874</v>
      </c>
      <c r="D44" s="592">
        <f>1/3600*1000*1000</f>
        <v>277.77777777777777</v>
      </c>
      <c r="E44" s="592" t="s">
        <v>2899</v>
      </c>
    </row>
    <row r="45" spans="2:5" ht="18.75" customHeight="1" x14ac:dyDescent="0.35">
      <c r="B45" s="237" t="s">
        <v>25</v>
      </c>
      <c r="C45" s="237" t="s">
        <v>22</v>
      </c>
      <c r="D45" s="237">
        <v>1000</v>
      </c>
      <c r="E45" s="237" t="s">
        <v>2900</v>
      </c>
    </row>
    <row r="46" spans="2:5" ht="18.75" customHeight="1" x14ac:dyDescent="0.35">
      <c r="B46" s="592" t="s">
        <v>2902</v>
      </c>
      <c r="C46" s="592" t="s">
        <v>643</v>
      </c>
      <c r="D46" s="592">
        <f>365*24</f>
        <v>8760</v>
      </c>
      <c r="E46" s="592" t="s">
        <v>2903</v>
      </c>
    </row>
    <row r="47" spans="2:5" ht="18.75" customHeight="1" x14ac:dyDescent="0.35">
      <c r="B47" s="237" t="s">
        <v>2439</v>
      </c>
      <c r="C47" s="237" t="s">
        <v>2957</v>
      </c>
      <c r="D47" s="237">
        <v>2.2046199999999998</v>
      </c>
      <c r="E47" s="237" t="s">
        <v>2974</v>
      </c>
    </row>
    <row r="48" spans="2:5" ht="18.75" customHeight="1" x14ac:dyDescent="0.35">
      <c r="B48" s="592" t="s">
        <v>2439</v>
      </c>
      <c r="C48" s="592" t="s">
        <v>2958</v>
      </c>
      <c r="D48" s="592">
        <f>1*0.0011023*24</f>
        <v>2.6455200000000002E-2</v>
      </c>
      <c r="E48" s="592" t="s">
        <v>2975</v>
      </c>
    </row>
    <row r="49" spans="2:5" ht="18.75" customHeight="1" x14ac:dyDescent="0.35">
      <c r="B49" s="237" t="s">
        <v>2439</v>
      </c>
      <c r="C49" s="237" t="s">
        <v>2959</v>
      </c>
      <c r="D49" s="237">
        <f>1*0.001*24</f>
        <v>2.4E-2</v>
      </c>
      <c r="E49" s="237" t="s">
        <v>2976</v>
      </c>
    </row>
    <row r="50" spans="2:5" ht="18.75" customHeight="1" x14ac:dyDescent="0.35">
      <c r="B50" s="592" t="s">
        <v>2439</v>
      </c>
      <c r="C50" s="592" t="s">
        <v>2966</v>
      </c>
      <c r="D50" s="592">
        <f>1*0.0011023*24*365/12</f>
        <v>0.80467900000000003</v>
      </c>
      <c r="E50" s="592" t="s">
        <v>2977</v>
      </c>
    </row>
    <row r="51" spans="2:5" ht="18.75" customHeight="1" x14ac:dyDescent="0.35">
      <c r="B51" s="237" t="s">
        <v>2439</v>
      </c>
      <c r="C51" s="237" t="s">
        <v>2965</v>
      </c>
      <c r="D51" s="237">
        <f>1*0.001*24*365/12</f>
        <v>0.73</v>
      </c>
      <c r="E51" s="237" t="s">
        <v>2978</v>
      </c>
    </row>
    <row r="52" spans="2:5" ht="18.75" customHeight="1" x14ac:dyDescent="0.35">
      <c r="B52" s="592" t="s">
        <v>2439</v>
      </c>
      <c r="C52" s="592" t="s">
        <v>2967</v>
      </c>
      <c r="D52" s="592">
        <f>1*0.0011023*24*365</f>
        <v>9.656148</v>
      </c>
      <c r="E52" s="592" t="s">
        <v>2979</v>
      </c>
    </row>
    <row r="53" spans="2:5" ht="18.75" customHeight="1" x14ac:dyDescent="0.35">
      <c r="B53" s="237" t="s">
        <v>2439</v>
      </c>
      <c r="C53" s="237" t="s">
        <v>2455</v>
      </c>
      <c r="D53" s="237">
        <f>1*0.001*24*365</f>
        <v>8.76</v>
      </c>
      <c r="E53" s="237" t="s">
        <v>2478</v>
      </c>
    </row>
    <row r="54" spans="2:5" ht="18.75" customHeight="1" x14ac:dyDescent="0.35">
      <c r="B54" s="592" t="s">
        <v>2443</v>
      </c>
      <c r="C54" s="592" t="s">
        <v>2861</v>
      </c>
      <c r="D54" s="592">
        <v>264.1721</v>
      </c>
      <c r="E54" s="592" t="s">
        <v>2980</v>
      </c>
    </row>
    <row r="55" spans="2:5" ht="18.75" customHeight="1" x14ac:dyDescent="0.35">
      <c r="B55" s="237" t="s">
        <v>2443</v>
      </c>
      <c r="C55" s="237" t="s">
        <v>2960</v>
      </c>
      <c r="D55" s="237">
        <v>1000</v>
      </c>
      <c r="E55" s="237" t="s">
        <v>2981</v>
      </c>
    </row>
    <row r="56" spans="2:5" ht="18.75" customHeight="1" x14ac:dyDescent="0.35">
      <c r="B56" s="592" t="s">
        <v>2443</v>
      </c>
      <c r="C56" s="592" t="s">
        <v>2961</v>
      </c>
      <c r="D56" s="592">
        <f>1*264.1721*24</f>
        <v>6340.1304</v>
      </c>
      <c r="E56" s="592" t="s">
        <v>2982</v>
      </c>
    </row>
    <row r="57" spans="2:5" ht="18.75" customHeight="1" x14ac:dyDescent="0.35">
      <c r="B57" s="237" t="s">
        <v>2443</v>
      </c>
      <c r="C57" s="237" t="s">
        <v>2845</v>
      </c>
      <c r="D57" s="237">
        <v>24</v>
      </c>
      <c r="E57" s="237" t="s">
        <v>2983</v>
      </c>
    </row>
    <row r="58" spans="2:5" ht="18.75" customHeight="1" x14ac:dyDescent="0.35">
      <c r="B58" s="592" t="s">
        <v>2443</v>
      </c>
      <c r="C58" s="592" t="s">
        <v>2968</v>
      </c>
      <c r="D58" s="592">
        <f>1*264.1721*24*365/12</f>
        <v>192845.633</v>
      </c>
      <c r="E58" s="592" t="s">
        <v>2984</v>
      </c>
    </row>
    <row r="59" spans="2:5" ht="18.75" customHeight="1" x14ac:dyDescent="0.35">
      <c r="B59" s="237" t="s">
        <v>2443</v>
      </c>
      <c r="C59" s="237" t="s">
        <v>2858</v>
      </c>
      <c r="D59" s="237">
        <f>1*24*365/12</f>
        <v>730</v>
      </c>
      <c r="E59" s="237" t="s">
        <v>2985</v>
      </c>
    </row>
    <row r="60" spans="2:5" ht="18.75" customHeight="1" x14ac:dyDescent="0.35">
      <c r="B60" s="592" t="s">
        <v>2443</v>
      </c>
      <c r="C60" s="592" t="s">
        <v>2969</v>
      </c>
      <c r="D60" s="592">
        <f>1*264.1721*24*365</f>
        <v>2314147.5959999999</v>
      </c>
      <c r="E60" s="592" t="s">
        <v>2986</v>
      </c>
    </row>
    <row r="61" spans="2:5" ht="18.75" customHeight="1" x14ac:dyDescent="0.35">
      <c r="B61" s="237" t="s">
        <v>2443</v>
      </c>
      <c r="C61" s="237" t="s">
        <v>2859</v>
      </c>
      <c r="D61" s="237">
        <f>1*24*365</f>
        <v>8760</v>
      </c>
      <c r="E61" s="237" t="s">
        <v>2987</v>
      </c>
    </row>
    <row r="62" spans="2:5" ht="18.75" customHeight="1" x14ac:dyDescent="0.35">
      <c r="B62" s="592" t="s">
        <v>2443</v>
      </c>
      <c r="C62" s="592" t="s">
        <v>2849</v>
      </c>
      <c r="D62" s="592">
        <f>1/0.3048^3</f>
        <v>35.314666721488585</v>
      </c>
      <c r="E62" s="592" t="s">
        <v>2988</v>
      </c>
    </row>
    <row r="63" spans="2:5" ht="18.75" customHeight="1" x14ac:dyDescent="0.35">
      <c r="B63" s="237" t="s">
        <v>2443</v>
      </c>
      <c r="C63" s="237" t="s">
        <v>2851</v>
      </c>
      <c r="D63" s="237">
        <f>1/0.3048^3*24/1000</f>
        <v>0.84755200131572606</v>
      </c>
      <c r="E63" s="237" t="s">
        <v>2989</v>
      </c>
    </row>
    <row r="64" spans="2:5" ht="18.75" customHeight="1" x14ac:dyDescent="0.35">
      <c r="B64" s="592" t="s">
        <v>2443</v>
      </c>
      <c r="C64" s="592" t="s">
        <v>2847</v>
      </c>
      <c r="D64" s="592">
        <f>1*24/1000</f>
        <v>2.4E-2</v>
      </c>
      <c r="E64" s="592" t="s">
        <v>2990</v>
      </c>
    </row>
    <row r="65" spans="2:5" ht="18.75" customHeight="1" x14ac:dyDescent="0.35">
      <c r="B65" s="237" t="s">
        <v>2443</v>
      </c>
      <c r="C65" s="237" t="s">
        <v>2962</v>
      </c>
      <c r="D65" s="237">
        <f>1/0.3048^3*24*365/12/1000</f>
        <v>25.779706706686671</v>
      </c>
      <c r="E65" s="237" t="s">
        <v>2991</v>
      </c>
    </row>
    <row r="66" spans="2:5" ht="18.75" customHeight="1" x14ac:dyDescent="0.35">
      <c r="B66" s="592" t="s">
        <v>2443</v>
      </c>
      <c r="C66" s="592" t="s">
        <v>2963</v>
      </c>
      <c r="D66" s="592">
        <f>1*24*365/12/1000</f>
        <v>0.73</v>
      </c>
      <c r="E66" s="592" t="s">
        <v>2992</v>
      </c>
    </row>
    <row r="67" spans="2:5" ht="18.75" customHeight="1" x14ac:dyDescent="0.35">
      <c r="B67" s="237" t="s">
        <v>2443</v>
      </c>
      <c r="C67" s="237" t="s">
        <v>2971</v>
      </c>
      <c r="D67" s="237">
        <f>1/0.3048^3*24*365/1000</f>
        <v>309.35648048024001</v>
      </c>
      <c r="E67" s="237" t="s">
        <v>2993</v>
      </c>
    </row>
    <row r="68" spans="2:5" ht="18.75" customHeight="1" x14ac:dyDescent="0.35">
      <c r="B68" s="592" t="s">
        <v>2443</v>
      </c>
      <c r="C68" s="592" t="s">
        <v>2970</v>
      </c>
      <c r="D68" s="592">
        <f>1*24*365/1000</f>
        <v>8.76</v>
      </c>
      <c r="E68" s="592" t="s">
        <v>2994</v>
      </c>
    </row>
    <row r="69" spans="2:5" ht="18.75" customHeight="1" x14ac:dyDescent="0.35">
      <c r="B69" s="237" t="s">
        <v>2845</v>
      </c>
      <c r="C69" s="237" t="s">
        <v>2845</v>
      </c>
      <c r="D69" s="237">
        <v>1</v>
      </c>
      <c r="E69" s="237" t="s">
        <v>3200</v>
      </c>
    </row>
    <row r="70" spans="2:5" ht="18.75" customHeight="1" x14ac:dyDescent="0.35">
      <c r="B70" s="592" t="s">
        <v>2847</v>
      </c>
      <c r="C70" s="592" t="s">
        <v>2849</v>
      </c>
      <c r="D70" s="592">
        <f>1*1000/0.3048^3/24</f>
        <v>1471.444446728691</v>
      </c>
      <c r="E70" s="592" t="s">
        <v>3010</v>
      </c>
    </row>
    <row r="71" spans="2:5" ht="18.75" customHeight="1" x14ac:dyDescent="0.35">
      <c r="B71" s="237" t="s">
        <v>2847</v>
      </c>
      <c r="C71" s="237" t="s">
        <v>2443</v>
      </c>
      <c r="D71" s="237">
        <f>1*1000/24</f>
        <v>41.666666666666664</v>
      </c>
      <c r="E71" s="237" t="s">
        <v>3011</v>
      </c>
    </row>
    <row r="72" spans="2:5" ht="18.75" customHeight="1" x14ac:dyDescent="0.35">
      <c r="B72" s="592" t="s">
        <v>2847</v>
      </c>
      <c r="C72" s="592" t="s">
        <v>2851</v>
      </c>
      <c r="D72" s="592">
        <f>1*1000/0.3048^3/1000</f>
        <v>35.314666721488585</v>
      </c>
      <c r="E72" s="592" t="s">
        <v>3012</v>
      </c>
    </row>
    <row r="73" spans="2:5" ht="18.75" customHeight="1" x14ac:dyDescent="0.35">
      <c r="B73" s="237" t="s">
        <v>2847</v>
      </c>
      <c r="C73" s="237" t="s">
        <v>2458</v>
      </c>
      <c r="D73" s="237">
        <f>1*1000/0.3048^3/1000/1000</f>
        <v>3.5314666721488586E-2</v>
      </c>
      <c r="E73" s="237" t="s">
        <v>3013</v>
      </c>
    </row>
    <row r="74" spans="2:5" ht="18.75" customHeight="1" x14ac:dyDescent="0.35">
      <c r="B74" s="592" t="s">
        <v>2847</v>
      </c>
      <c r="C74" s="592" t="s">
        <v>2847</v>
      </c>
      <c r="D74" s="592">
        <v>1</v>
      </c>
      <c r="E74" s="592" t="s">
        <v>3014</v>
      </c>
    </row>
    <row r="75" spans="2:5" ht="18.75" customHeight="1" x14ac:dyDescent="0.35">
      <c r="B75" s="237" t="s">
        <v>2847</v>
      </c>
      <c r="C75" s="237" t="s">
        <v>3004</v>
      </c>
      <c r="D75" s="237">
        <f>1/1000</f>
        <v>1E-3</v>
      </c>
      <c r="E75" s="237" t="s">
        <v>3015</v>
      </c>
    </row>
    <row r="76" spans="2:5" ht="18.75" customHeight="1" x14ac:dyDescent="0.35">
      <c r="B76" s="592" t="s">
        <v>2847</v>
      </c>
      <c r="C76" s="592" t="s">
        <v>2962</v>
      </c>
      <c r="D76" s="592">
        <f>1*1000/0.3048^3/1000*365/12</f>
        <v>1074.1544461119445</v>
      </c>
      <c r="E76" s="592" t="s">
        <v>3016</v>
      </c>
    </row>
    <row r="77" spans="2:5" ht="18.75" customHeight="1" x14ac:dyDescent="0.35">
      <c r="B77" s="237" t="s">
        <v>2847</v>
      </c>
      <c r="C77" s="237" t="s">
        <v>2459</v>
      </c>
      <c r="D77" s="237">
        <f>1*1000/0.3048^3/1000/1000*365/12</f>
        <v>1.0741544461119445</v>
      </c>
      <c r="E77" s="237" t="s">
        <v>3017</v>
      </c>
    </row>
    <row r="78" spans="2:5" ht="18.75" customHeight="1" x14ac:dyDescent="0.35">
      <c r="B78" s="592" t="s">
        <v>2847</v>
      </c>
      <c r="C78" s="592" t="s">
        <v>3005</v>
      </c>
      <c r="D78" s="592">
        <f>1*365/12/1000</f>
        <v>3.0416666666666668E-2</v>
      </c>
      <c r="E78" s="592" t="s">
        <v>3018</v>
      </c>
    </row>
    <row r="79" spans="2:5" ht="18.75" customHeight="1" x14ac:dyDescent="0.35">
      <c r="B79" s="237" t="s">
        <v>2847</v>
      </c>
      <c r="C79" s="237" t="s">
        <v>2460</v>
      </c>
      <c r="D79" s="237">
        <f>1*1000/0.3048^3/1000/1000*365</f>
        <v>12.889853353343334</v>
      </c>
      <c r="E79" s="237" t="s">
        <v>3019</v>
      </c>
    </row>
    <row r="80" spans="2:5" ht="18.75" customHeight="1" x14ac:dyDescent="0.35">
      <c r="B80" s="592" t="s">
        <v>2847</v>
      </c>
      <c r="C80" s="592" t="s">
        <v>3007</v>
      </c>
      <c r="D80" s="592">
        <f>1*1000/0.3048^3*365/1000/1000/1000</f>
        <v>1.2889853353343333E-2</v>
      </c>
      <c r="E80" s="592" t="s">
        <v>3020</v>
      </c>
    </row>
    <row r="81" spans="2:5" ht="18.75" customHeight="1" x14ac:dyDescent="0.35">
      <c r="B81" s="237" t="s">
        <v>2847</v>
      </c>
      <c r="C81" s="237" t="s">
        <v>3006</v>
      </c>
      <c r="D81" s="237">
        <f>1/1000*365</f>
        <v>0.36499999999999999</v>
      </c>
      <c r="E81" s="237" t="s">
        <v>3021</v>
      </c>
    </row>
    <row r="82" spans="2:5" ht="18.75" customHeight="1" x14ac:dyDescent="0.35">
      <c r="B82" s="592" t="s">
        <v>2847</v>
      </c>
      <c r="C82" s="592" t="s">
        <v>3023</v>
      </c>
      <c r="D82" s="592">
        <f>365</f>
        <v>365</v>
      </c>
      <c r="E82" s="592" t="s">
        <v>3021</v>
      </c>
    </row>
    <row r="83" spans="2:5" ht="18.75" customHeight="1" x14ac:dyDescent="0.35">
      <c r="B83" s="237" t="s">
        <v>2847</v>
      </c>
      <c r="C83" s="237" t="s">
        <v>2845</v>
      </c>
      <c r="D83" s="237">
        <f>1*1000</f>
        <v>1000</v>
      </c>
      <c r="E83" s="237" t="s">
        <v>3025</v>
      </c>
    </row>
    <row r="84" spans="2:5" ht="18.75" customHeight="1" x14ac:dyDescent="0.35">
      <c r="B84" s="592" t="s">
        <v>2847</v>
      </c>
      <c r="C84" s="592" t="s">
        <v>2963</v>
      </c>
      <c r="D84" s="592">
        <f>1*365/12</f>
        <v>30.416666666666668</v>
      </c>
      <c r="E84" s="592" t="s">
        <v>3026</v>
      </c>
    </row>
    <row r="85" spans="2:5" ht="18.75" customHeight="1" x14ac:dyDescent="0.35">
      <c r="B85" s="237" t="s">
        <v>2840</v>
      </c>
      <c r="C85" s="237" t="s">
        <v>3282</v>
      </c>
      <c r="D85" s="237">
        <v>0.14503769999999999</v>
      </c>
      <c r="E85" s="237" t="s">
        <v>3283</v>
      </c>
    </row>
    <row r="86" spans="2:5" ht="18.75" customHeight="1" x14ac:dyDescent="0.35">
      <c r="B86" s="592" t="s">
        <v>2840</v>
      </c>
      <c r="C86" s="592" t="s">
        <v>3278</v>
      </c>
      <c r="D86" s="592">
        <v>1</v>
      </c>
      <c r="E86" s="592" t="s">
        <v>3284</v>
      </c>
    </row>
    <row r="87" spans="2:5" ht="18.75" customHeight="1" x14ac:dyDescent="0.35">
      <c r="B87" s="237" t="s">
        <v>2840</v>
      </c>
      <c r="C87" s="237" t="s">
        <v>3280</v>
      </c>
      <c r="D87" s="237">
        <v>1.019716E-2</v>
      </c>
      <c r="E87" s="237" t="s">
        <v>3287</v>
      </c>
    </row>
    <row r="88" spans="2:5" ht="18.75" customHeight="1" x14ac:dyDescent="0.35">
      <c r="B88" s="592" t="s">
        <v>2840</v>
      </c>
      <c r="C88" s="592" t="s">
        <v>3279</v>
      </c>
      <c r="D88" s="592">
        <v>0.01</v>
      </c>
      <c r="E88" s="592" t="s">
        <v>3285</v>
      </c>
    </row>
    <row r="89" spans="2:5" ht="18.75" customHeight="1" x14ac:dyDescent="0.35">
      <c r="B89" s="237" t="s">
        <v>64</v>
      </c>
      <c r="C89" s="237" t="s">
        <v>3001</v>
      </c>
      <c r="D89" s="237">
        <f>0.1450377/16</f>
        <v>9.0648562499999995E-3</v>
      </c>
      <c r="E89" s="237" t="s">
        <v>3027</v>
      </c>
    </row>
    <row r="90" spans="2:5" ht="18.75" customHeight="1" x14ac:dyDescent="0.35">
      <c r="B90" s="592" t="s">
        <v>64</v>
      </c>
      <c r="C90" s="592" t="s">
        <v>3002</v>
      </c>
      <c r="D90" s="592">
        <f>1/1000</f>
        <v>1E-3</v>
      </c>
      <c r="E90" s="592" t="s">
        <v>3028</v>
      </c>
    </row>
    <row r="91" spans="2:5" ht="18.75" customHeight="1" x14ac:dyDescent="0.35">
      <c r="B91" s="237" t="s">
        <v>64</v>
      </c>
      <c r="C91" s="237" t="s">
        <v>64</v>
      </c>
      <c r="D91" s="237">
        <v>1</v>
      </c>
      <c r="E91" s="237" t="s">
        <v>3029</v>
      </c>
    </row>
    <row r="92" spans="2:5" ht="18.75" customHeight="1" x14ac:dyDescent="0.35">
      <c r="B92" s="592" t="s">
        <v>64</v>
      </c>
      <c r="C92" s="592" t="s">
        <v>2842</v>
      </c>
      <c r="D92" s="592">
        <v>0.01</v>
      </c>
      <c r="E92" s="592" t="s">
        <v>3030</v>
      </c>
    </row>
    <row r="93" spans="2:5" ht="18.75" customHeight="1" x14ac:dyDescent="0.35">
      <c r="B93" s="237" t="s">
        <v>64</v>
      </c>
      <c r="C93" s="237" t="s">
        <v>3281</v>
      </c>
      <c r="D93" s="237">
        <v>1.0197162100000001E-2</v>
      </c>
      <c r="E93" s="237" t="s">
        <v>3286</v>
      </c>
    </row>
    <row r="94" spans="2:5" ht="18.75" customHeight="1" x14ac:dyDescent="0.35">
      <c r="B94" s="592" t="s">
        <v>2874</v>
      </c>
      <c r="C94" s="592" t="s">
        <v>2874</v>
      </c>
      <c r="D94" s="592">
        <v>1</v>
      </c>
      <c r="E94" s="592" t="s">
        <v>3033</v>
      </c>
    </row>
    <row r="95" spans="2:5" ht="18.75" customHeight="1" x14ac:dyDescent="0.35">
      <c r="B95" s="237" t="s">
        <v>2874</v>
      </c>
      <c r="C95" s="237" t="s">
        <v>3031</v>
      </c>
      <c r="D95" s="237">
        <f>1*24</f>
        <v>24</v>
      </c>
      <c r="E95" s="237" t="s">
        <v>3034</v>
      </c>
    </row>
    <row r="96" spans="2:5" ht="18.75" customHeight="1" x14ac:dyDescent="0.35">
      <c r="B96" s="592" t="s">
        <v>2874</v>
      </c>
      <c r="C96" s="592" t="s">
        <v>3032</v>
      </c>
      <c r="D96" s="592">
        <f>1*24*365/12</f>
        <v>730</v>
      </c>
      <c r="E96" s="592" t="s">
        <v>3035</v>
      </c>
    </row>
    <row r="97" spans="2:5" ht="18.75" customHeight="1" x14ac:dyDescent="0.35">
      <c r="B97" s="237" t="s">
        <v>2874</v>
      </c>
      <c r="C97" s="237" t="s">
        <v>2300</v>
      </c>
      <c r="D97" s="237">
        <f>1*24*365/1000</f>
        <v>8.76</v>
      </c>
      <c r="E97" s="237" t="s">
        <v>3036</v>
      </c>
    </row>
    <row r="98" spans="2:5" ht="18.75" customHeight="1" x14ac:dyDescent="0.35">
      <c r="B98" s="592" t="s">
        <v>2874</v>
      </c>
      <c r="C98" s="592" t="s">
        <v>3042</v>
      </c>
      <c r="D98" s="592">
        <f>1*3415.179/1000</f>
        <v>3.4151790000000002</v>
      </c>
      <c r="E98" s="592" t="s">
        <v>3043</v>
      </c>
    </row>
    <row r="99" spans="2:5" ht="18.75" customHeight="1" x14ac:dyDescent="0.35">
      <c r="B99" s="237" t="s">
        <v>2874</v>
      </c>
      <c r="C99" s="237" t="s">
        <v>2896</v>
      </c>
      <c r="D99" s="237">
        <f>1*3415.179/1000/1000</f>
        <v>3.4151790000000004E-3</v>
      </c>
      <c r="E99" s="237" t="s">
        <v>3044</v>
      </c>
    </row>
    <row r="100" spans="2:5" ht="18.75" customHeight="1" x14ac:dyDescent="0.35">
      <c r="B100" s="592" t="s">
        <v>2874</v>
      </c>
      <c r="C100" s="592" t="s">
        <v>3041</v>
      </c>
      <c r="D100" s="592">
        <f>1/1000</f>
        <v>1E-3</v>
      </c>
      <c r="E100" s="592" t="s">
        <v>3045</v>
      </c>
    </row>
    <row r="101" spans="2:5" ht="18.75" customHeight="1" x14ac:dyDescent="0.35">
      <c r="B101" s="237" t="s">
        <v>2853</v>
      </c>
      <c r="C101" s="237" t="s">
        <v>2854</v>
      </c>
      <c r="D101" s="237">
        <f>1*2.20462/264.1721</f>
        <v>8.3453930222003002E-3</v>
      </c>
      <c r="E101" s="237" t="s">
        <v>2856</v>
      </c>
    </row>
    <row r="102" spans="2:5" ht="18.75" customHeight="1" x14ac:dyDescent="0.35">
      <c r="B102" s="592" t="s">
        <v>3077</v>
      </c>
      <c r="C102" s="596" t="s">
        <v>3078</v>
      </c>
      <c r="D102" s="592">
        <f>1*35.31467*0.1589873</f>
        <v>5.614584033691</v>
      </c>
      <c r="E102" s="592" t="s">
        <v>3081</v>
      </c>
    </row>
    <row r="103" spans="2:5" ht="18.75" customHeight="1" x14ac:dyDescent="0.35">
      <c r="B103" s="237" t="s">
        <v>3079</v>
      </c>
      <c r="C103" s="279" t="s">
        <v>3080</v>
      </c>
      <c r="D103" s="237">
        <f>1*35.31467*0.1589873</f>
        <v>5.614584033691</v>
      </c>
      <c r="E103" s="237" t="s">
        <v>3082</v>
      </c>
    </row>
    <row r="104" spans="2:5" ht="18.75" customHeight="1" x14ac:dyDescent="0.35">
      <c r="B104" s="592" t="s">
        <v>2302</v>
      </c>
      <c r="C104" s="592" t="s">
        <v>3042</v>
      </c>
      <c r="D104" s="592">
        <f>1/365/24*947817.1/1000</f>
        <v>0.10819829908675799</v>
      </c>
      <c r="E104" s="592" t="s">
        <v>3096</v>
      </c>
    </row>
    <row r="105" spans="2:5" ht="18.75" customHeight="1" x14ac:dyDescent="0.35">
      <c r="B105" s="237" t="s">
        <v>2302</v>
      </c>
      <c r="C105" s="237" t="s">
        <v>3094</v>
      </c>
      <c r="D105" s="237">
        <f>1/365*947817.1/1000/1000</f>
        <v>2.5967591780821915E-3</v>
      </c>
      <c r="E105" s="237" t="s">
        <v>3097</v>
      </c>
    </row>
    <row r="106" spans="2:5" ht="18.75" customHeight="1" x14ac:dyDescent="0.35">
      <c r="B106" s="592" t="s">
        <v>2302</v>
      </c>
      <c r="C106" s="592" t="s">
        <v>3092</v>
      </c>
      <c r="D106" s="592">
        <f>1/12*947817.1/1000/1000</f>
        <v>7.8984758333333335E-2</v>
      </c>
      <c r="E106" s="592" t="s">
        <v>3098</v>
      </c>
    </row>
    <row r="107" spans="2:5" ht="18.75" customHeight="1" x14ac:dyDescent="0.35">
      <c r="B107" s="237" t="s">
        <v>2302</v>
      </c>
      <c r="C107" s="237" t="s">
        <v>3093</v>
      </c>
      <c r="D107" s="237">
        <f>1*947817.1/1000/1000</f>
        <v>0.94781709999999997</v>
      </c>
      <c r="E107" s="237" t="s">
        <v>3099</v>
      </c>
    </row>
    <row r="108" spans="2:5" ht="18.75" customHeight="1" x14ac:dyDescent="0.35">
      <c r="B108" s="592" t="s">
        <v>2302</v>
      </c>
      <c r="C108" s="592" t="s">
        <v>3095</v>
      </c>
      <c r="D108" s="592">
        <f>1*1000/365/24</f>
        <v>0.11415525114155251</v>
      </c>
      <c r="E108" s="592" t="s">
        <v>3100</v>
      </c>
    </row>
    <row r="109" spans="2:5" ht="18.75" customHeight="1" x14ac:dyDescent="0.35">
      <c r="B109" s="237" t="s">
        <v>2302</v>
      </c>
      <c r="C109" s="237" t="s">
        <v>2449</v>
      </c>
      <c r="D109" s="237">
        <f>1/365</f>
        <v>2.7397260273972603E-3</v>
      </c>
      <c r="E109" s="237" t="s">
        <v>3101</v>
      </c>
    </row>
    <row r="110" spans="2:5" ht="18.75" customHeight="1" x14ac:dyDescent="0.35">
      <c r="B110" s="592" t="s">
        <v>2302</v>
      </c>
      <c r="C110" s="592" t="s">
        <v>2450</v>
      </c>
      <c r="D110" s="592">
        <f>1/12</f>
        <v>8.3333333333333329E-2</v>
      </c>
      <c r="E110" s="592" t="s">
        <v>3102</v>
      </c>
    </row>
    <row r="111" spans="2:5" ht="18.75" customHeight="1" x14ac:dyDescent="0.35">
      <c r="B111" s="237" t="s">
        <v>2847</v>
      </c>
      <c r="C111" s="279" t="s">
        <v>3004</v>
      </c>
      <c r="D111" s="237">
        <f>1/1000</f>
        <v>1E-3</v>
      </c>
      <c r="E111" s="237" t="s">
        <v>3015</v>
      </c>
    </row>
    <row r="112" spans="2:5" ht="18.75" customHeight="1" x14ac:dyDescent="0.35">
      <c r="C112" s="278"/>
    </row>
    <row r="113" spans="2:5" ht="18.75" customHeight="1" x14ac:dyDescent="0.35">
      <c r="C113" s="278"/>
    </row>
    <row r="114" spans="2:5" ht="18.75" customHeight="1" x14ac:dyDescent="0.35">
      <c r="C114" s="278"/>
    </row>
    <row r="115" spans="2:5" ht="18.75" customHeight="1" x14ac:dyDescent="0.35">
      <c r="C115" s="278"/>
    </row>
    <row r="116" spans="2:5" ht="18.75" customHeight="1" x14ac:dyDescent="0.35">
      <c r="C116" s="278"/>
    </row>
    <row r="117" spans="2:5" ht="18.75" customHeight="1" x14ac:dyDescent="0.35">
      <c r="C117" s="278"/>
    </row>
    <row r="119" spans="2:5" ht="18.75" customHeight="1" x14ac:dyDescent="0.35">
      <c r="B119" s="136"/>
    </row>
    <row r="120" spans="2:5" ht="24" customHeight="1" x14ac:dyDescent="0.35">
      <c r="B120" s="1124" t="str">
        <f ca="1">'Translation Table'!H2639</f>
        <v>Leak Control Factor Look-up Table</v>
      </c>
      <c r="C120" s="1124"/>
    </row>
    <row r="122" spans="2:5" ht="18.75" customHeight="1" x14ac:dyDescent="0.35">
      <c r="B122" s="1117" t="str">
        <f ca="1">'Translation Table'!H2640</f>
        <v>Equipment Type</v>
      </c>
      <c r="C122" s="1117" t="str">
        <f ca="1">'Translation Table'!H2641</f>
        <v>Modification</v>
      </c>
      <c r="D122" s="564" t="str">
        <f ca="1">'Translation Table'!H2642</f>
        <v>Control Efficiency</v>
      </c>
    </row>
    <row r="123" spans="2:5" ht="18.75" customHeight="1" x14ac:dyDescent="0.35">
      <c r="B123" s="1116"/>
      <c r="C123" s="1116"/>
      <c r="D123" s="564" t="s">
        <v>146</v>
      </c>
    </row>
    <row r="124" spans="2:5" ht="18.75" customHeight="1" x14ac:dyDescent="0.35">
      <c r="B124" s="592" t="str">
        <f ca="1">'Translation Table'!H2643</f>
        <v>Compressor Crankcase Vent</v>
      </c>
      <c r="C124" s="596" t="str">
        <f ca="1">'Translation Table'!H2667</f>
        <v>Closed-vent System</v>
      </c>
      <c r="D124" s="592">
        <v>90</v>
      </c>
      <c r="E124" s="274"/>
    </row>
    <row r="125" spans="2:5" ht="18.75" customHeight="1" x14ac:dyDescent="0.35">
      <c r="B125" s="237" t="str">
        <f ca="1">'Translation Table'!H2644</f>
        <v>Compressor Crankcase Vent</v>
      </c>
      <c r="C125" s="279" t="str">
        <f ca="1">'Translation Table'!H2668</f>
        <v>None</v>
      </c>
      <c r="D125" s="237">
        <v>0</v>
      </c>
      <c r="E125" s="274"/>
    </row>
    <row r="126" spans="2:5" ht="18.75" customHeight="1" x14ac:dyDescent="0.35">
      <c r="B126" s="592" t="str">
        <f ca="1">'Translation Table'!H2645</f>
        <v>Compressor Seals</v>
      </c>
      <c r="C126" s="596" t="str">
        <f ca="1">'Translation Table'!H2669</f>
        <v>Closed-vent System</v>
      </c>
      <c r="D126" s="592">
        <v>90</v>
      </c>
      <c r="E126" s="274"/>
    </row>
    <row r="127" spans="2:5" ht="18.75" customHeight="1" x14ac:dyDescent="0.35">
      <c r="B127" s="237" t="str">
        <f ca="1">'Translation Table'!H2646</f>
        <v>Compressor Seals</v>
      </c>
      <c r="C127" s="279" t="str">
        <f ca="1">'Translation Table'!H2670</f>
        <v>Dual Mechanical Seals With Barrier Fluid System</v>
      </c>
      <c r="D127" s="237">
        <v>100</v>
      </c>
      <c r="E127" s="274"/>
    </row>
    <row r="128" spans="2:5" ht="18.75" customHeight="1" x14ac:dyDescent="0.35">
      <c r="B128" s="592" t="str">
        <f ca="1">'Translation Table'!H2647</f>
        <v>Compressor Seals</v>
      </c>
      <c r="C128" s="596" t="str">
        <f ca="1">'Translation Table'!H2671</f>
        <v>None</v>
      </c>
      <c r="D128" s="592">
        <v>0</v>
      </c>
      <c r="E128" s="274"/>
    </row>
    <row r="129" spans="2:5" ht="18.75" customHeight="1" x14ac:dyDescent="0.35">
      <c r="B129" s="237" t="str">
        <f ca="1">'Translation Table'!H2648</f>
        <v>Connectors</v>
      </c>
      <c r="C129" s="279" t="str">
        <f ca="1">'Translation Table'!H2672</f>
        <v>None</v>
      </c>
      <c r="D129" s="237">
        <v>0</v>
      </c>
      <c r="E129" s="274"/>
    </row>
    <row r="130" spans="2:5" ht="18.75" customHeight="1" x14ac:dyDescent="0.35">
      <c r="B130" s="592" t="str">
        <f ca="1">'Translation Table'!H2649</f>
        <v>Connectors</v>
      </c>
      <c r="C130" s="596" t="str">
        <f ca="1">'Translation Table'!H2673</f>
        <v>Welded Together</v>
      </c>
      <c r="D130" s="592">
        <v>100</v>
      </c>
      <c r="E130" s="274"/>
    </row>
    <row r="131" spans="2:5" ht="18.75" customHeight="1" x14ac:dyDescent="0.35">
      <c r="B131" s="237" t="str">
        <f ca="1">'Translation Table'!H2650</f>
        <v>Drains</v>
      </c>
      <c r="C131" s="279" t="str">
        <f ca="1">'Translation Table'!H2674</f>
        <v>Closed-vent System</v>
      </c>
      <c r="D131" s="237">
        <v>90</v>
      </c>
      <c r="E131" s="274"/>
    </row>
    <row r="132" spans="2:5" ht="18.75" customHeight="1" x14ac:dyDescent="0.35">
      <c r="B132" s="592" t="str">
        <f ca="1">'Translation Table'!H2651</f>
        <v>Drains</v>
      </c>
      <c r="C132" s="596" t="str">
        <f ca="1">'Translation Table'!H2675</f>
        <v>None</v>
      </c>
      <c r="D132" s="592">
        <v>0</v>
      </c>
      <c r="E132" s="274"/>
    </row>
    <row r="133" spans="2:5" ht="18.75" customHeight="1" x14ac:dyDescent="0.35">
      <c r="B133" s="237" t="str">
        <f ca="1">'Translation Table'!H2652</f>
        <v>Open-Ended Lines</v>
      </c>
      <c r="C133" s="279" t="str">
        <f ca="1">'Translation Table'!H2676</f>
        <v>Blind, Cap, Plug or Second Valve</v>
      </c>
      <c r="D133" s="237">
        <v>100</v>
      </c>
      <c r="E133" s="274"/>
    </row>
    <row r="134" spans="2:5" ht="18.75" customHeight="1" x14ac:dyDescent="0.35">
      <c r="B134" s="592" t="str">
        <f ca="1">'Translation Table'!H2653</f>
        <v>Open-Ended Lines</v>
      </c>
      <c r="C134" s="596" t="str">
        <f ca="1">'Translation Table'!H2677</f>
        <v>None</v>
      </c>
      <c r="D134" s="592">
        <v>0</v>
      </c>
      <c r="E134" s="274"/>
    </row>
    <row r="135" spans="2:5" ht="18.75" customHeight="1" x14ac:dyDescent="0.35">
      <c r="B135" s="237" t="str">
        <f ca="1">'Translation Table'!H2654</f>
        <v>Others</v>
      </c>
      <c r="C135" s="279" t="str">
        <f ca="1">'Translation Table'!H2678</f>
        <v>None</v>
      </c>
      <c r="D135" s="237">
        <v>0</v>
      </c>
      <c r="E135" s="274"/>
    </row>
    <row r="136" spans="2:5" ht="18.75" customHeight="1" x14ac:dyDescent="0.35">
      <c r="B136" s="592" t="str">
        <f ca="1">'Translation Table'!H2655</f>
        <v>Pressure Relief Devices</v>
      </c>
      <c r="C136" s="596" t="str">
        <f ca="1">'Translation Table'!H2679</f>
        <v>Closed-Vent System</v>
      </c>
      <c r="D136" s="592">
        <v>90</v>
      </c>
      <c r="E136" s="274"/>
    </row>
    <row r="137" spans="2:5" ht="18.75" customHeight="1" x14ac:dyDescent="0.35">
      <c r="B137" s="237" t="str">
        <f ca="1">'Translation Table'!H2656</f>
        <v>Pressure Relief Devices</v>
      </c>
      <c r="C137" s="279" t="str">
        <f ca="1">'Translation Table'!H2680</f>
        <v>None</v>
      </c>
      <c r="D137" s="237">
        <v>0</v>
      </c>
      <c r="E137" s="274"/>
    </row>
    <row r="138" spans="2:5" ht="18.75" customHeight="1" x14ac:dyDescent="0.35">
      <c r="B138" s="592" t="str">
        <f ca="1">'Translation Table'!H2657</f>
        <v>Pressure Relief Devices</v>
      </c>
      <c r="C138" s="596" t="str">
        <f ca="1">'Translation Table'!H2681</f>
        <v>Rupture Disk Assembly</v>
      </c>
      <c r="D138" s="592">
        <v>100</v>
      </c>
    </row>
    <row r="139" spans="2:5" ht="18.75" customHeight="1" x14ac:dyDescent="0.35">
      <c r="B139" s="237" t="str">
        <f ca="1">'Translation Table'!H2658</f>
        <v>Pumps</v>
      </c>
      <c r="C139" s="279" t="str">
        <f ca="1">'Translation Table'!H2682</f>
        <v>Closed-Vent System</v>
      </c>
      <c r="D139" s="237">
        <v>90</v>
      </c>
      <c r="E139" s="274"/>
    </row>
    <row r="140" spans="2:5" ht="18.75" customHeight="1" x14ac:dyDescent="0.35">
      <c r="B140" s="592" t="str">
        <f ca="1">'Translation Table'!H2659</f>
        <v>Pumps</v>
      </c>
      <c r="C140" s="596" t="str">
        <f ca="1">'Translation Table'!H2683</f>
        <v>Dual Mechanical Seals With Barrier Fluid System</v>
      </c>
      <c r="D140" s="592">
        <v>100</v>
      </c>
      <c r="E140" s="274"/>
    </row>
    <row r="141" spans="2:5" ht="18.75" customHeight="1" x14ac:dyDescent="0.35">
      <c r="B141" s="237" t="str">
        <f ca="1">'Translation Table'!H2660</f>
        <v>Pumps</v>
      </c>
      <c r="C141" s="279" t="str">
        <f ca="1">'Translation Table'!H2684</f>
        <v>None</v>
      </c>
      <c r="D141" s="237">
        <v>0</v>
      </c>
      <c r="E141" s="274"/>
    </row>
    <row r="142" spans="2:5" ht="18.75" customHeight="1" x14ac:dyDescent="0.35">
      <c r="B142" s="592" t="str">
        <f ca="1">'Translation Table'!H2661</f>
        <v>Pumps</v>
      </c>
      <c r="C142" s="596" t="str">
        <f ca="1">'Translation Table'!H2685</f>
        <v>Sealless Design</v>
      </c>
      <c r="D142" s="592">
        <v>100</v>
      </c>
      <c r="E142" s="274"/>
    </row>
    <row r="143" spans="2:5" ht="18.75" customHeight="1" x14ac:dyDescent="0.35">
      <c r="B143" s="237" t="str">
        <f ca="1">'Translation Table'!H2662</f>
        <v>Regulators</v>
      </c>
      <c r="C143" s="279" t="str">
        <f ca="1">'Translation Table'!H2686</f>
        <v>None</v>
      </c>
      <c r="D143" s="237">
        <v>0</v>
      </c>
      <c r="E143" s="274"/>
    </row>
    <row r="144" spans="2:5" ht="18.75" customHeight="1" x14ac:dyDescent="0.35">
      <c r="B144" s="592" t="str">
        <f ca="1">'Translation Table'!H2663</f>
        <v>Sampling Connections</v>
      </c>
      <c r="C144" s="596" t="str">
        <f ca="1">'Translation Table'!H2687</f>
        <v>Blind, Cap, Plug or Second Valve</v>
      </c>
      <c r="D144" s="592">
        <v>100</v>
      </c>
      <c r="E144" s="274"/>
    </row>
    <row r="145" spans="2:12" ht="18.75" customHeight="1" x14ac:dyDescent="0.35">
      <c r="B145" s="237" t="str">
        <f ca="1">'Translation Table'!H2664</f>
        <v>Sampling Connections</v>
      </c>
      <c r="C145" s="279" t="str">
        <f ca="1">'Translation Table'!H2688</f>
        <v>None</v>
      </c>
      <c r="D145" s="237">
        <v>0</v>
      </c>
      <c r="E145" s="274"/>
    </row>
    <row r="146" spans="2:12" ht="18.75" customHeight="1" x14ac:dyDescent="0.35">
      <c r="B146" s="592" t="str">
        <f ca="1">'Translation Table'!H2665</f>
        <v>Valves</v>
      </c>
      <c r="C146" s="596" t="str">
        <f ca="1">'Translation Table'!H2689</f>
        <v>None</v>
      </c>
      <c r="D146" s="592">
        <v>0</v>
      </c>
      <c r="E146" s="274"/>
    </row>
    <row r="147" spans="2:12" ht="18.75" customHeight="1" x14ac:dyDescent="0.35">
      <c r="B147" s="237" t="str">
        <f ca="1">'Translation Table'!H2666</f>
        <v>Valves</v>
      </c>
      <c r="C147" s="279" t="str">
        <f ca="1">'Translation Table'!H2690</f>
        <v>Sealless Design</v>
      </c>
      <c r="D147" s="237">
        <v>100</v>
      </c>
      <c r="E147" s="274"/>
    </row>
    <row r="148" spans="2:12" ht="18.75" customHeight="1" x14ac:dyDescent="0.35">
      <c r="C148" s="278"/>
      <c r="E148" s="274"/>
    </row>
    <row r="151" spans="2:12" ht="25.5" customHeight="1" x14ac:dyDescent="0.35">
      <c r="B151" s="586" t="str">
        <f ca="1">'Translation Table'!H2691</f>
        <v>Facility Type  Look-up Table</v>
      </c>
    </row>
    <row r="153" spans="2:12" ht="18.75" customHeight="1" x14ac:dyDescent="0.35">
      <c r="B153" s="583" t="str">
        <f ca="1">'Translation Table'!H2836</f>
        <v>Offshore Oil Production</v>
      </c>
      <c r="C153" s="583" t="str">
        <f ca="1">'Translation Table'!H2837</f>
        <v>Offshore Gas Production</v>
      </c>
      <c r="D153" s="583" t="str">
        <f ca="1">'Translation Table'!H2838</f>
        <v>Onshore Oil Production</v>
      </c>
      <c r="E153" s="583" t="str">
        <f ca="1">'Translation Table'!H2839</f>
        <v>Onshore Gas Production</v>
      </c>
      <c r="F153" s="583" t="str">
        <f ca="1">'Translation Table'!H2840</f>
        <v>Gas Processing</v>
      </c>
      <c r="G153" s="583" t="str">
        <f ca="1">'Translation Table'!H2841</f>
        <v>Gas Transmission</v>
      </c>
      <c r="H153" s="583" t="str">
        <f ca="1">'Translation Table'!H2842</f>
        <v>Gas Storage</v>
      </c>
      <c r="I153" s="584" t="str">
        <f ca="1">'Translation Table'!H2843</f>
        <v>Gas Distribution</v>
      </c>
      <c r="J153" s="663" t="str">
        <f ca="1">'Translation Table'!H2844</f>
        <v>Petroleum Refining</v>
      </c>
      <c r="K153" s="672"/>
    </row>
    <row r="154" spans="2:12" ht="18.75" customHeight="1" x14ac:dyDescent="0.35">
      <c r="B154" s="673" t="str">
        <f ca="1">'Translation Table'!H2693</f>
        <v>Processing Platform</v>
      </c>
      <c r="C154" s="673" t="str">
        <f ca="1">'Translation Table'!H2696</f>
        <v>Processing Platform</v>
      </c>
      <c r="D154" s="673" t="str">
        <f ca="1">'Translation Table'!H2699</f>
        <v xml:space="preserve">Abandoned wells </v>
      </c>
      <c r="E154" s="673" t="str">
        <f ca="1">'Translation Table'!H2714</f>
        <v xml:space="preserve">Abandoned wells </v>
      </c>
      <c r="F154" s="673" t="str">
        <f ca="1">'Translation Table'!H2722</f>
        <v>LNG Plant (Liquefaction)</v>
      </c>
      <c r="G154" s="673" t="str">
        <f ca="1">'Translation Table'!H2725</f>
        <v>Compressor Station</v>
      </c>
      <c r="H154" s="673" t="str">
        <f ca="1">'Translation Table'!H2733</f>
        <v>Storage Facility</v>
      </c>
      <c r="I154" s="674" t="str">
        <f ca="1">'Translation Table'!H2735</f>
        <v>Compressor Station</v>
      </c>
      <c r="J154" s="674" t="str">
        <f ca="1">'Translation Table'!H2745</f>
        <v>Conventional and Synthetic Crude Oil</v>
      </c>
      <c r="K154" s="681" t="str">
        <f ca="1">IF('Setup - Facility Details'!$A$11=2,'Lookup Tables'!B154,IF('Setup - Facility Details'!$A$11=3,'Lookup Tables'!C154,IF('Setup - Facility Details'!$A$11=4,'Lookup Tables'!D154,IF('Setup - Facility Details'!$A$11=5,'Lookup Tables'!E154,IF('Setup - Facility Details'!$A$11=6,'Lookup Tables'!F154,IF('Setup - Facility Details'!$A$11=7,'Lookup Tables'!G154,IF('Setup - Facility Details'!$A$11=8,'Lookup Tables'!H154,IF('Setup - Facility Details'!$A$11=9,'Lookup Tables'!I154,IF('Setup - Facility Details'!$A$11=10,'Lookup Tables'!J154,""))))))))&amp;"")</f>
        <v>LNG Plant (Liquefaction)</v>
      </c>
      <c r="L154" s="680"/>
    </row>
    <row r="155" spans="2:12" ht="18.75" customHeight="1" x14ac:dyDescent="0.35">
      <c r="B155" s="675" t="str">
        <f ca="1">'Translation Table'!H2694</f>
        <v>Production Platform (c/w Compression)</v>
      </c>
      <c r="C155" s="675" t="str">
        <f ca="1">'Translation Table'!H2697</f>
        <v>Production Platform (c/w Compression)</v>
      </c>
      <c r="D155" s="675" t="str">
        <f ca="1">'Translation Table'!H2700</f>
        <v>Group Battery - Extra Heavy Oil</v>
      </c>
      <c r="E155" s="675" t="str">
        <f ca="1">'Translation Table'!H2715</f>
        <v>Compressor Station - Gas Gathering</v>
      </c>
      <c r="F155" s="675" t="str">
        <f ca="1">'Translation Table'!H2723</f>
        <v>Sour Gas Plant</v>
      </c>
      <c r="G155" s="675" t="str">
        <f ca="1">'Translation Table'!H2726</f>
        <v>LNG Peak Shaving</v>
      </c>
      <c r="H155" s="675" t="str">
        <f ca="1">'Translation Table'!H2734</f>
        <v>Storage Well</v>
      </c>
      <c r="I155" s="676" t="str">
        <f ca="1">'Translation Table'!H2736</f>
        <v>Distribution LNG Satellite</v>
      </c>
      <c r="J155" s="676" t="str">
        <f ca="1">'Translation Table'!H2746</f>
        <v>Heavy Oil</v>
      </c>
      <c r="K155" s="681" t="str">
        <f ca="1">IF('Setup - Facility Details'!$A$11=2,'Lookup Tables'!B155,IF('Setup - Facility Details'!$A$11=3,'Lookup Tables'!C155,IF('Setup - Facility Details'!$A$11=4,'Lookup Tables'!D155,IF('Setup - Facility Details'!$A$11=5,'Lookup Tables'!E155,IF('Setup - Facility Details'!$A$11=6,'Lookup Tables'!F155,IF('Setup - Facility Details'!$A$11=7,'Lookup Tables'!G155,IF('Setup - Facility Details'!$A$11=8,'Lookup Tables'!H155,IF('Setup - Facility Details'!$A$11=9,'Lookup Tables'!I155,IF('Setup - Facility Details'!$A$11=10,'Lookup Tables'!J155,""))))))))&amp;"")</f>
        <v>Sour Gas Plant</v>
      </c>
      <c r="L155" s="680"/>
    </row>
    <row r="156" spans="2:12" ht="18.75" customHeight="1" x14ac:dyDescent="0.35">
      <c r="B156" s="673" t="str">
        <f ca="1">'Translation Table'!H2695</f>
        <v>Production Platform (wells only)</v>
      </c>
      <c r="C156" s="673" t="str">
        <f ca="1">'Translation Table'!H2698</f>
        <v>Production Platform (wells only)</v>
      </c>
      <c r="D156" s="673" t="str">
        <f ca="1">'Translation Table'!H2701</f>
        <v>Group Battery - Heavy Oil</v>
      </c>
      <c r="E156" s="673" t="str">
        <f ca="1">'Translation Table'!H2716</f>
        <v>Field Dehydrator</v>
      </c>
      <c r="F156" s="673" t="str">
        <f ca="1">'Translation Table'!H2724</f>
        <v>Sweet Gas Plant</v>
      </c>
      <c r="G156" s="673" t="str">
        <f ca="1">'Translation Table'!H2727</f>
        <v>LNG Regasification</v>
      </c>
      <c r="H156" s="673"/>
      <c r="I156" s="674" t="str">
        <f ca="1">'Translation Table'!H2737</f>
        <v>Main Lines</v>
      </c>
      <c r="J156" s="674"/>
      <c r="K156" s="681" t="str">
        <f ca="1">IF('Setup - Facility Details'!$A$11=2,'Lookup Tables'!B156,IF('Setup - Facility Details'!$A$11=3,'Lookup Tables'!C156,IF('Setup - Facility Details'!$A$11=4,'Lookup Tables'!D156,IF('Setup - Facility Details'!$A$11=5,'Lookup Tables'!E156,IF('Setup - Facility Details'!$A$11=6,'Lookup Tables'!F156,IF('Setup - Facility Details'!$A$11=7,'Lookup Tables'!G156,IF('Setup - Facility Details'!$A$11=8,'Lookup Tables'!H156,IF('Setup - Facility Details'!$A$11=9,'Lookup Tables'!I156,IF('Setup - Facility Details'!$A$11=10,'Lookup Tables'!J156,""))))))))&amp;"")</f>
        <v>Sweet Gas Plant</v>
      </c>
      <c r="L156" s="680"/>
    </row>
    <row r="157" spans="2:12" ht="18.75" customHeight="1" x14ac:dyDescent="0.35">
      <c r="B157" s="675"/>
      <c r="C157" s="675"/>
      <c r="D157" s="675" t="str">
        <f ca="1">'Translation Table'!H2702</f>
        <v>Group Battery - Oil</v>
      </c>
      <c r="E157" s="675" t="str">
        <f ca="1">'Translation Table'!H2717</f>
        <v>Gas Exploration</v>
      </c>
      <c r="F157" s="675"/>
      <c r="G157" s="675" t="str">
        <f ca="1">'Translation Table'!H2728</f>
        <v>LNG Shipping</v>
      </c>
      <c r="H157" s="675"/>
      <c r="I157" s="676" t="str">
        <f ca="1">'Translation Table'!H2738</f>
        <v>Post-Meter</v>
      </c>
      <c r="J157" s="676"/>
      <c r="K157" s="681" t="str">
        <f>IF('Setup - Facility Details'!$A$11=2,'Lookup Tables'!B157,IF('Setup - Facility Details'!$A$11=3,'Lookup Tables'!C157,IF('Setup - Facility Details'!$A$11=4,'Lookup Tables'!D157,IF('Setup - Facility Details'!$A$11=5,'Lookup Tables'!E157,IF('Setup - Facility Details'!$A$11=6,'Lookup Tables'!F157,IF('Setup - Facility Details'!$A$11=7,'Lookup Tables'!G157,IF('Setup - Facility Details'!$A$11=8,'Lookup Tables'!H157,IF('Setup - Facility Details'!$A$11=9,'Lookup Tables'!I157,IF('Setup - Facility Details'!$A$11=10,'Lookup Tables'!J157,""))))))))&amp;"")</f>
        <v/>
      </c>
      <c r="L157" s="680"/>
    </row>
    <row r="158" spans="2:12" ht="18.75" customHeight="1" x14ac:dyDescent="0.35">
      <c r="B158" s="673"/>
      <c r="C158" s="673"/>
      <c r="D158" s="673" t="str">
        <f ca="1">'Translation Table'!H2703</f>
        <v>Oil Exploration</v>
      </c>
      <c r="E158" s="673" t="str">
        <f ca="1">'Translation Table'!H2718</f>
        <v>Group Battery - Gas</v>
      </c>
      <c r="F158" s="673"/>
      <c r="G158" s="673" t="str">
        <f ca="1">'Translation Table'!H2729</f>
        <v>LNG Transport (Truck or Rail)</v>
      </c>
      <c r="H158" s="673"/>
      <c r="I158" s="674" t="str">
        <f ca="1">'Translation Table'!H2739</f>
        <v>Pressure Regulator Station</v>
      </c>
      <c r="J158" s="674"/>
      <c r="K158" s="681" t="str">
        <f>IF('Setup - Facility Details'!$A$11=2,'Lookup Tables'!B158,IF('Setup - Facility Details'!$A$11=3,'Lookup Tables'!C158,IF('Setup - Facility Details'!$A$11=4,'Lookup Tables'!D158,IF('Setup - Facility Details'!$A$11=5,'Lookup Tables'!E158,IF('Setup - Facility Details'!$A$11=6,'Lookup Tables'!F158,IF('Setup - Facility Details'!$A$11=7,'Lookup Tables'!G158,IF('Setup - Facility Details'!$A$11=8,'Lookup Tables'!H158,IF('Setup - Facility Details'!$A$11=9,'Lookup Tables'!I158,IF('Setup - Facility Details'!$A$11=10,'Lookup Tables'!J158,""))))))))&amp;"")</f>
        <v/>
      </c>
      <c r="L158" s="680"/>
    </row>
    <row r="159" spans="2:12" ht="18.75" customHeight="1" x14ac:dyDescent="0.35">
      <c r="B159" s="675"/>
      <c r="C159" s="675"/>
      <c r="D159" s="675" t="str">
        <f ca="1">'Translation Table'!H2704</f>
        <v>Oil Sands Mine and Ore Processing</v>
      </c>
      <c r="E159" s="675" t="str">
        <f ca="1">'Translation Table'!H2719</f>
        <v>Other (Conventional)</v>
      </c>
      <c r="F159" s="675"/>
      <c r="G159" s="675" t="str">
        <f ca="1">'Translation Table'!H2730</f>
        <v>Pipeline</v>
      </c>
      <c r="H159" s="675"/>
      <c r="I159" s="676" t="str">
        <f ca="1">'Translation Table'!H2740</f>
        <v>Receipt Meter Station</v>
      </c>
      <c r="J159" s="676"/>
      <c r="K159" s="681" t="str">
        <f>IF('Setup - Facility Details'!$A$11=2,'Lookup Tables'!B159,IF('Setup - Facility Details'!$A$11=3,'Lookup Tables'!C159,IF('Setup - Facility Details'!$A$11=4,'Lookup Tables'!D159,IF('Setup - Facility Details'!$A$11=5,'Lookup Tables'!E159,IF('Setup - Facility Details'!$A$11=6,'Lookup Tables'!F159,IF('Setup - Facility Details'!$A$11=7,'Lookup Tables'!G159,IF('Setup - Facility Details'!$A$11=8,'Lookup Tables'!H159,IF('Setup - Facility Details'!$A$11=9,'Lookup Tables'!I159,IF('Setup - Facility Details'!$A$11=10,'Lookup Tables'!J159,""))))))))&amp;"")</f>
        <v/>
      </c>
      <c r="L159" s="680"/>
    </row>
    <row r="160" spans="2:12" ht="18.75" customHeight="1" x14ac:dyDescent="0.35">
      <c r="B160" s="673"/>
      <c r="C160" s="673"/>
      <c r="D160" s="673" t="str">
        <f ca="1">'Translation Table'!H2705</f>
        <v>Oil Sands Upgrading</v>
      </c>
      <c r="E160" s="673" t="str">
        <f ca="1">'Translation Table'!H2720</f>
        <v>Other (Unconventional)</v>
      </c>
      <c r="F160" s="673"/>
      <c r="G160" s="673" t="str">
        <f ca="1">'Translation Table'!H2731</f>
        <v>Receipt Meter Station</v>
      </c>
      <c r="H160" s="673"/>
      <c r="I160" s="674" t="str">
        <f ca="1">'Translation Table'!H2741</f>
        <v>Sales Meter Station - Commercial</v>
      </c>
      <c r="J160" s="674"/>
      <c r="K160" s="681" t="str">
        <f>IF('Setup - Facility Details'!$A$11=2,'Lookup Tables'!B160,IF('Setup - Facility Details'!$A$11=3,'Lookup Tables'!C160,IF('Setup - Facility Details'!$A$11=4,'Lookup Tables'!D160,IF('Setup - Facility Details'!$A$11=5,'Lookup Tables'!E160,IF('Setup - Facility Details'!$A$11=6,'Lookup Tables'!F160,IF('Setup - Facility Details'!$A$11=7,'Lookup Tables'!G160,IF('Setup - Facility Details'!$A$11=8,'Lookup Tables'!H160,IF('Setup - Facility Details'!$A$11=9,'Lookup Tables'!I160,IF('Setup - Facility Details'!$A$11=10,'Lookup Tables'!J160,""))))))))&amp;"")</f>
        <v/>
      </c>
      <c r="L160" s="680"/>
    </row>
    <row r="161" spans="2:12" ht="18.75" customHeight="1" x14ac:dyDescent="0.35">
      <c r="B161" s="675"/>
      <c r="C161" s="675"/>
      <c r="D161" s="675" t="str">
        <f ca="1">'Translation Table'!H2706</f>
        <v>Oil Terminal (Marine)</v>
      </c>
      <c r="E161" s="675" t="str">
        <f ca="1">'Translation Table'!H2721</f>
        <v>Single-Well Battery - Gas</v>
      </c>
      <c r="F161" s="675"/>
      <c r="G161" s="675" t="str">
        <f ca="1">'Translation Table'!H2732</f>
        <v>Sales Meter Station</v>
      </c>
      <c r="H161" s="675"/>
      <c r="I161" s="676" t="str">
        <f ca="1">'Translation Table'!H2742</f>
        <v>Sales Meter Station - Industrial</v>
      </c>
      <c r="J161" s="676"/>
      <c r="K161" s="681" t="str">
        <f>IF('Setup - Facility Details'!$A$11=2,'Lookup Tables'!B161,IF('Setup - Facility Details'!$A$11=3,'Lookup Tables'!C161,IF('Setup - Facility Details'!$A$11=4,'Lookup Tables'!D161,IF('Setup - Facility Details'!$A$11=5,'Lookup Tables'!E161,IF('Setup - Facility Details'!$A$11=6,'Lookup Tables'!F161,IF('Setup - Facility Details'!$A$11=7,'Lookup Tables'!G161,IF('Setup - Facility Details'!$A$11=8,'Lookup Tables'!H161,IF('Setup - Facility Details'!$A$11=9,'Lookup Tables'!I161,IF('Setup - Facility Details'!$A$11=10,'Lookup Tables'!J161,""))))))))&amp;"")</f>
        <v/>
      </c>
      <c r="L161" s="680"/>
    </row>
    <row r="162" spans="2:12" ht="18.75" customHeight="1" x14ac:dyDescent="0.35">
      <c r="B162" s="673"/>
      <c r="C162" s="673"/>
      <c r="D162" s="673" t="str">
        <f ca="1">'Translation Table'!H2707</f>
        <v>Oil Terminal (Pipeline)</v>
      </c>
      <c r="E162" s="673"/>
      <c r="F162" s="673"/>
      <c r="G162" s="673"/>
      <c r="H162" s="673"/>
      <c r="I162" s="674" t="str">
        <f ca="1">'Translation Table'!H2743</f>
        <v>Sales Meter Station - Residential</v>
      </c>
      <c r="J162" s="674"/>
      <c r="K162" s="681" t="str">
        <f>IF('Setup - Facility Details'!$A$11=2,'Lookup Tables'!B162,IF('Setup - Facility Details'!$A$11=3,'Lookup Tables'!C162,IF('Setup - Facility Details'!$A$11=4,'Lookup Tables'!D162,IF('Setup - Facility Details'!$A$11=5,'Lookup Tables'!E162,IF('Setup - Facility Details'!$A$11=6,'Lookup Tables'!F162,IF('Setup - Facility Details'!$A$11=7,'Lookup Tables'!G162,IF('Setup - Facility Details'!$A$11=8,'Lookup Tables'!H162,IF('Setup - Facility Details'!$A$11=9,'Lookup Tables'!I162,IF('Setup - Facility Details'!$A$11=10,'Lookup Tables'!J162,""))))))))&amp;"")</f>
        <v/>
      </c>
      <c r="L162" s="680"/>
    </row>
    <row r="163" spans="2:12" ht="18.75" customHeight="1" x14ac:dyDescent="0.35">
      <c r="B163" s="675"/>
      <c r="C163" s="675"/>
      <c r="D163" s="675" t="str">
        <f ca="1">'Translation Table'!H2708</f>
        <v>Oil Terminal (Truck &amp; Rail)</v>
      </c>
      <c r="E163" s="675"/>
      <c r="F163" s="675"/>
      <c r="G163" s="675"/>
      <c r="H163" s="675"/>
      <c r="I163" s="676" t="str">
        <f ca="1">'Translation Table'!H2744</f>
        <v>Service Lines</v>
      </c>
      <c r="J163" s="676"/>
      <c r="K163" s="681" t="str">
        <f>IF('Setup - Facility Details'!$A$11=2,'Lookup Tables'!B163,IF('Setup - Facility Details'!$A$11=3,'Lookup Tables'!C163,IF('Setup - Facility Details'!$A$11=4,'Lookup Tables'!D163,IF('Setup - Facility Details'!$A$11=5,'Lookup Tables'!E163,IF('Setup - Facility Details'!$A$11=6,'Lookup Tables'!F163,IF('Setup - Facility Details'!$A$11=7,'Lookup Tables'!G163,IF('Setup - Facility Details'!$A$11=8,'Lookup Tables'!H163,IF('Setup - Facility Details'!$A$11=9,'Lookup Tables'!I163,IF('Setup - Facility Details'!$A$11=10,'Lookup Tables'!J163,""))))))))&amp;"")</f>
        <v/>
      </c>
      <c r="L163" s="680"/>
    </row>
    <row r="164" spans="2:12" ht="18.75" customHeight="1" x14ac:dyDescent="0.35">
      <c r="B164" s="673"/>
      <c r="C164" s="673"/>
      <c r="D164" s="673" t="str">
        <f ca="1">'Translation Table'!H2709</f>
        <v>Other (Conventional)</v>
      </c>
      <c r="E164" s="673"/>
      <c r="F164" s="673"/>
      <c r="G164" s="673"/>
      <c r="H164" s="673"/>
      <c r="I164" s="674"/>
      <c r="J164" s="674"/>
      <c r="K164" s="681" t="str">
        <f>IF('Setup - Facility Details'!$A$11=2,'Lookup Tables'!B164,IF('Setup - Facility Details'!$A$11=3,'Lookup Tables'!C164,IF('Setup - Facility Details'!$A$11=4,'Lookup Tables'!D164,IF('Setup - Facility Details'!$A$11=5,'Lookup Tables'!E164,IF('Setup - Facility Details'!$A$11=6,'Lookup Tables'!F164,IF('Setup - Facility Details'!$A$11=7,'Lookup Tables'!G164,IF('Setup - Facility Details'!$A$11=8,'Lookup Tables'!H164,IF('Setup - Facility Details'!$A$11=9,'Lookup Tables'!I164,IF('Setup - Facility Details'!$A$11=10,'Lookup Tables'!J164,""))))))))&amp;"")</f>
        <v/>
      </c>
      <c r="L164" s="680"/>
    </row>
    <row r="165" spans="2:12" ht="18.75" customHeight="1" x14ac:dyDescent="0.35">
      <c r="B165" s="675"/>
      <c r="C165" s="675"/>
      <c r="D165" s="675" t="str">
        <f ca="1">'Translation Table'!H2710</f>
        <v>Other (Unconventional)</v>
      </c>
      <c r="E165" s="675"/>
      <c r="F165" s="675"/>
      <c r="G165" s="675"/>
      <c r="H165" s="675"/>
      <c r="I165" s="676"/>
      <c r="J165" s="676"/>
      <c r="K165" s="681" t="str">
        <f>IF('Setup - Facility Details'!$A$11=2,'Lookup Tables'!B165,IF('Setup - Facility Details'!$A$11=3,'Lookup Tables'!C165,IF('Setup - Facility Details'!$A$11=4,'Lookup Tables'!D165,IF('Setup - Facility Details'!$A$11=5,'Lookup Tables'!E165,IF('Setup - Facility Details'!$A$11=6,'Lookup Tables'!F165,IF('Setup - Facility Details'!$A$11=7,'Lookup Tables'!G165,IF('Setup - Facility Details'!$A$11=8,'Lookup Tables'!H165,IF('Setup - Facility Details'!$A$11=9,'Lookup Tables'!I165,IF('Setup - Facility Details'!$A$11=10,'Lookup Tables'!J165,""))))))))&amp;"")</f>
        <v/>
      </c>
      <c r="L165" s="680"/>
    </row>
    <row r="166" spans="2:12" ht="18.75" customHeight="1" x14ac:dyDescent="0.35">
      <c r="B166" s="673"/>
      <c r="C166" s="673"/>
      <c r="D166" s="673" t="str">
        <f ca="1">'Translation Table'!H2711</f>
        <v>Single-Well Battery - Extra Heavy Oil</v>
      </c>
      <c r="E166" s="673"/>
      <c r="F166" s="673"/>
      <c r="G166" s="673"/>
      <c r="H166" s="673"/>
      <c r="I166" s="674"/>
      <c r="J166" s="674"/>
      <c r="K166" s="681" t="str">
        <f>IF('Setup - Facility Details'!$A$11=2,'Lookup Tables'!B166,IF('Setup - Facility Details'!$A$11=3,'Lookup Tables'!C166,IF('Setup - Facility Details'!$A$11=4,'Lookup Tables'!D166,IF('Setup - Facility Details'!$A$11=5,'Lookup Tables'!E166,IF('Setup - Facility Details'!$A$11=6,'Lookup Tables'!F166,IF('Setup - Facility Details'!$A$11=7,'Lookup Tables'!G166,IF('Setup - Facility Details'!$A$11=8,'Lookup Tables'!H166,IF('Setup - Facility Details'!$A$11=9,'Lookup Tables'!I166,IF('Setup - Facility Details'!$A$11=10,'Lookup Tables'!J166,""))))))))&amp;"")</f>
        <v/>
      </c>
      <c r="L166" s="680"/>
    </row>
    <row r="167" spans="2:12" ht="18.75" customHeight="1" x14ac:dyDescent="0.35">
      <c r="B167" s="677"/>
      <c r="C167" s="677"/>
      <c r="D167" s="675" t="str">
        <f ca="1">'Translation Table'!H2712</f>
        <v>Single-Well Battery - Heavy Oil</v>
      </c>
      <c r="E167" s="677"/>
      <c r="F167" s="677"/>
      <c r="G167" s="677"/>
      <c r="H167" s="677"/>
      <c r="I167" s="678"/>
      <c r="J167" s="678"/>
      <c r="K167" s="681" t="str">
        <f>IF('Setup - Facility Details'!$A$11=2,'Lookup Tables'!B167,IF('Setup - Facility Details'!$A$11=3,'Lookup Tables'!C167,IF('Setup - Facility Details'!$A$11=4,'Lookup Tables'!D167,IF('Setup - Facility Details'!$A$11=5,'Lookup Tables'!E167,IF('Setup - Facility Details'!$A$11=6,'Lookup Tables'!F167,IF('Setup - Facility Details'!$A$11=7,'Lookup Tables'!G167,IF('Setup - Facility Details'!$A$11=8,'Lookup Tables'!H167,IF('Setup - Facility Details'!$A$11=9,'Lookup Tables'!I167,IF('Setup - Facility Details'!$A$11=10,'Lookup Tables'!J167,""))))))))&amp;"")</f>
        <v/>
      </c>
      <c r="L167" s="680"/>
    </row>
    <row r="168" spans="2:12" ht="18.75" customHeight="1" x14ac:dyDescent="0.35">
      <c r="B168" s="679"/>
      <c r="C168" s="679"/>
      <c r="D168" s="679" t="str">
        <f ca="1">'Translation Table'!H2713</f>
        <v>Single-Well Battery - Oil</v>
      </c>
      <c r="E168" s="679"/>
      <c r="F168" s="679"/>
      <c r="G168" s="679"/>
      <c r="H168" s="679"/>
      <c r="I168" s="679"/>
      <c r="J168" s="679"/>
      <c r="K168" s="681" t="str">
        <f>IF('Setup - Facility Details'!$A$11=2,'Lookup Tables'!B168,IF('Setup - Facility Details'!$A$11=3,'Lookup Tables'!C168,IF('Setup - Facility Details'!$A$11=4,'Lookup Tables'!D168,IF('Setup - Facility Details'!$A$11=5,'Lookup Tables'!E168,IF('Setup - Facility Details'!$A$11=6,'Lookup Tables'!F168,IF('Setup - Facility Details'!$A$11=7,'Lookup Tables'!G168,IF('Setup - Facility Details'!$A$11=8,'Lookup Tables'!H168,IF('Setup - Facility Details'!$A$11=9,'Lookup Tables'!I168,IF('Setup - Facility Details'!$A$11=10,'Lookup Tables'!J168,""))))))))&amp;"")</f>
        <v/>
      </c>
      <c r="L168" s="680"/>
    </row>
    <row r="169" spans="2:12" ht="18.75" customHeight="1" x14ac:dyDescent="0.35">
      <c r="H169" s="245"/>
    </row>
    <row r="170" spans="2:12" ht="23.25" customHeight="1" x14ac:dyDescent="0.35">
      <c r="B170" s="1125" t="str">
        <f ca="1">'Translation Table'!H2747</f>
        <v>Units of Measure Lookup Table for Fuels</v>
      </c>
      <c r="C170" s="1126"/>
      <c r="F170" s="1127" t="str">
        <f ca="1">'Translation Table'!H2751</f>
        <v>Multiplication Factors For Conversion to Internal Calculation Units of Measure</v>
      </c>
      <c r="G170" s="1126"/>
      <c r="H170" s="1126"/>
    </row>
    <row r="171" spans="2:12" ht="18.75" customHeight="1" x14ac:dyDescent="0.35">
      <c r="H171" s="245"/>
    </row>
    <row r="172" spans="2:12" ht="18.75" customHeight="1" x14ac:dyDescent="0.35">
      <c r="B172" s="585" t="str">
        <f ca="1">'Translation Table'!H2748</f>
        <v>Solid (Input Unit of Measure)</v>
      </c>
      <c r="C172" s="585" t="str">
        <f ca="1">'Translation Table'!H2749</f>
        <v>Liquid  (Input Unit of Measure)</v>
      </c>
      <c r="D172" s="585" t="str">
        <f ca="1">'Translation Table'!H2750</f>
        <v>Gaseous  (Input Unit of Measure)</v>
      </c>
      <c r="F172" s="585" t="str">
        <f ca="1">'Translation Table'!H2752</f>
        <v>Solid (Conversion Factors)</v>
      </c>
      <c r="G172" s="585" t="str">
        <f ca="1">'Translation Table'!H2753</f>
        <v>Liquid (Conversion Factors)</v>
      </c>
      <c r="H172" s="585" t="str">
        <f ca="1">'Translation Table'!H2754</f>
        <v>Gaseous (Conversion Factors)</v>
      </c>
    </row>
    <row r="173" spans="2:12" ht="18.75" customHeight="1" x14ac:dyDescent="0.35">
      <c r="B173" s="597" t="s">
        <v>2957</v>
      </c>
      <c r="C173" s="597" t="s">
        <v>2861</v>
      </c>
      <c r="D173" s="597" t="s">
        <v>2849</v>
      </c>
      <c r="F173" s="597">
        <f>1/kg_per_h_to_lb_per_h</f>
        <v>0.45359290943563974</v>
      </c>
      <c r="G173" s="597">
        <f>1/m3_per_h_to_gal_per_h</f>
        <v>3.7854111013237205E-3</v>
      </c>
      <c r="H173" s="598">
        <f>1/m3_per_h_to_scf_per_h</f>
        <v>2.8316846592000004E-2</v>
      </c>
    </row>
    <row r="174" spans="2:12" ht="18.75" customHeight="1" x14ac:dyDescent="0.35">
      <c r="B174" s="237" t="s">
        <v>2439</v>
      </c>
      <c r="C174" s="237" t="s">
        <v>2960</v>
      </c>
      <c r="D174" s="237" t="s">
        <v>2443</v>
      </c>
      <c r="F174" s="237">
        <v>1</v>
      </c>
      <c r="G174" s="237">
        <f>1/m3_per_h_to_L_per_h</f>
        <v>1E-3</v>
      </c>
      <c r="H174" s="109">
        <f>1/m3_per_h_to_m3_per_h</f>
        <v>1</v>
      </c>
    </row>
    <row r="175" spans="2:12" ht="18.75" customHeight="1" x14ac:dyDescent="0.35">
      <c r="B175" s="597" t="s">
        <v>2958</v>
      </c>
      <c r="C175" s="597" t="s">
        <v>2961</v>
      </c>
      <c r="D175" s="597" t="s">
        <v>2851</v>
      </c>
      <c r="F175" s="597">
        <f>1/kg_per_h_to_ton_per_d</f>
        <v>37.79975203362666</v>
      </c>
      <c r="G175" s="597">
        <f>1/m3_per_h_to_gal_per_d</f>
        <v>1.5772546255515501E-4</v>
      </c>
      <c r="H175" s="598">
        <f>1/m3_per_h_to_mscf_per_d</f>
        <v>1.1798686080000003</v>
      </c>
    </row>
    <row r="176" spans="2:12" ht="18.75" customHeight="1" x14ac:dyDescent="0.35">
      <c r="B176" s="237" t="s">
        <v>2959</v>
      </c>
      <c r="C176" s="237" t="s">
        <v>2845</v>
      </c>
      <c r="D176" s="237" t="s">
        <v>2847</v>
      </c>
      <c r="F176" s="237" cm="1">
        <f t="array" ref="F176">1/kg_per_h_to_tonne_per_d</f>
        <v>41.666666666666664</v>
      </c>
      <c r="G176" s="237">
        <f>1/m3_per_h_to_m3_per_d</f>
        <v>4.1666666666666664E-2</v>
      </c>
      <c r="H176" s="109">
        <f>1/m3_per_h_to_E3m3_per_d</f>
        <v>41.666666666666664</v>
      </c>
    </row>
    <row r="177" spans="2:8" ht="18.75" customHeight="1" x14ac:dyDescent="0.35">
      <c r="B177" s="597" t="s">
        <v>2966</v>
      </c>
      <c r="C177" s="597" t="s">
        <v>2968</v>
      </c>
      <c r="D177" s="597" t="s">
        <v>2962</v>
      </c>
      <c r="F177" s="597">
        <f>1/kg_per_h_to_ton_per_mo</f>
        <v>1.2427315737082736</v>
      </c>
      <c r="G177" s="597">
        <f>1/m3_per_h_to_gal_per_mo</f>
        <v>5.1854946593475621E-6</v>
      </c>
      <c r="H177" s="598">
        <f>1/m3_per_h_to_mscf_per_mo</f>
        <v>3.8790200810958901E-2</v>
      </c>
    </row>
    <row r="178" spans="2:8" ht="18.75" customHeight="1" x14ac:dyDescent="0.35">
      <c r="B178" s="237" t="s">
        <v>2965</v>
      </c>
      <c r="C178" s="237" t="s">
        <v>2858</v>
      </c>
      <c r="D178" s="237" t="s">
        <v>2963</v>
      </c>
      <c r="F178" s="237">
        <f>1/kg_per_h_to_tonne_per_mo</f>
        <v>1.3698630136986301</v>
      </c>
      <c r="G178" s="237">
        <f>1/m3_per_h_to_m3_per_mo</f>
        <v>1.3698630136986301E-3</v>
      </c>
      <c r="H178" s="109">
        <f>1/m3_per_h_to_E3m3_per_mo</f>
        <v>1.3698630136986301</v>
      </c>
    </row>
    <row r="179" spans="2:8" ht="18.75" customHeight="1" x14ac:dyDescent="0.35">
      <c r="B179" s="597" t="s">
        <v>2967</v>
      </c>
      <c r="C179" s="597" t="s">
        <v>2969</v>
      </c>
      <c r="D179" s="597" t="s">
        <v>2971</v>
      </c>
      <c r="F179" s="597">
        <f>1/kg_per_h_to_ton_per_y</f>
        <v>0.10356096447568948</v>
      </c>
      <c r="G179" s="597">
        <f>1/m3_per_h_to_gal_per_y</f>
        <v>4.3212455494563021E-7</v>
      </c>
      <c r="H179" s="598">
        <f>1/m3_per_h_to_mscf_per_y</f>
        <v>3.2325167342465758E-3</v>
      </c>
    </row>
    <row r="180" spans="2:8" ht="18.75" customHeight="1" x14ac:dyDescent="0.35">
      <c r="B180" s="237" t="s">
        <v>2455</v>
      </c>
      <c r="C180" s="237" t="s">
        <v>2859</v>
      </c>
      <c r="D180" s="237" t="s">
        <v>2970</v>
      </c>
      <c r="F180" s="237">
        <f>1/kg_per_h_to_tonne_per_y</f>
        <v>0.11415525114155252</v>
      </c>
      <c r="G180" s="237">
        <f>1/m3_per_h_to_m3_per_y</f>
        <v>1.1415525114155251E-4</v>
      </c>
      <c r="H180" s="109">
        <f>1/m3_per_h_to_E3m3_per_y</f>
        <v>0.11415525114155252</v>
      </c>
    </row>
    <row r="181" spans="2:8" ht="18.75" customHeight="1" x14ac:dyDescent="0.35">
      <c r="H181" s="245"/>
    </row>
    <row r="182" spans="2:8" ht="18.75" customHeight="1" x14ac:dyDescent="0.35">
      <c r="B182" s="102" t="str">
        <f ca="1">'Translation Table'!H2755</f>
        <v>Internal Calculation Units of Measure:</v>
      </c>
      <c r="H182" s="245"/>
    </row>
    <row r="183" spans="2:8" ht="18.75" customHeight="1" x14ac:dyDescent="0.35">
      <c r="B183" s="297" t="str">
        <f ca="1">'Translation Table'!H2756</f>
        <v>- Solid Fuels</v>
      </c>
      <c r="C183" s="257" t="s">
        <v>2439</v>
      </c>
      <c r="H183" s="245"/>
    </row>
    <row r="184" spans="2:8" ht="18.75" customHeight="1" x14ac:dyDescent="0.35">
      <c r="B184" s="297" t="str">
        <f ca="1">'Translation Table'!H2757</f>
        <v>- Liquid Fuels</v>
      </c>
      <c r="C184" s="257" t="s">
        <v>2443</v>
      </c>
      <c r="H184" s="245"/>
    </row>
    <row r="185" spans="2:8" ht="18.75" customHeight="1" x14ac:dyDescent="0.35">
      <c r="B185" s="297" t="str">
        <f ca="1">'Translation Table'!H2758</f>
        <v>- Gas</v>
      </c>
      <c r="C185" s="257" t="s">
        <v>2443</v>
      </c>
      <c r="H185" s="245"/>
    </row>
    <row r="186" spans="2:8" ht="18.75" customHeight="1" x14ac:dyDescent="0.35">
      <c r="H186" s="245"/>
    </row>
    <row r="187" spans="2:8" ht="26.25" customHeight="1" x14ac:dyDescent="0.35">
      <c r="B187" s="1125" t="str">
        <f ca="1">'Translation Table'!H2759</f>
        <v>Units of Measure Lookup Table for Oil &amp; Water Receipts</v>
      </c>
      <c r="C187" s="1126"/>
      <c r="F187" s="1127" t="str">
        <f ca="1">'Translation Table'!H2751</f>
        <v>Multiplication Factors For Conversion to Internal Calculation Units of Measure</v>
      </c>
      <c r="G187" s="1126"/>
      <c r="H187" s="1126"/>
    </row>
    <row r="188" spans="2:8" ht="18.75" customHeight="1" x14ac:dyDescent="0.35">
      <c r="H188" s="245"/>
    </row>
    <row r="189" spans="2:8" ht="18.75" customHeight="1" x14ac:dyDescent="0.35">
      <c r="B189" s="585" t="str">
        <f ca="1">'Translation Table'!H2760</f>
        <v>Oil  (Input Unit of Measure)</v>
      </c>
      <c r="C189" s="585" t="str">
        <f ca="1">'Translation Table'!H2761</f>
        <v>Water  (Input Unit of Measure)</v>
      </c>
      <c r="F189" s="585" t="str">
        <f ca="1">'Translation Table'!H2762</f>
        <v>Oil (Conversion Factors)</v>
      </c>
      <c r="G189" s="585" t="str">
        <f ca="1">'Translation Table'!H2763</f>
        <v>Water (Conversion Factors)</v>
      </c>
      <c r="H189" s="245"/>
    </row>
    <row r="190" spans="2:8" ht="18.75" customHeight="1" x14ac:dyDescent="0.35">
      <c r="B190" s="597" t="s">
        <v>2861</v>
      </c>
      <c r="C190" s="597" t="str">
        <f t="shared" ref="C190:C197" si="0">B190</f>
        <v>gal/h</v>
      </c>
      <c r="F190" s="597">
        <f>1/m3_per_d_to_gal_per_h</f>
        <v>9.0849866431769288E-2</v>
      </c>
      <c r="G190" s="597">
        <f>F190</f>
        <v>9.0849866431769288E-2</v>
      </c>
      <c r="H190" s="245"/>
    </row>
    <row r="191" spans="2:8" ht="18.75" customHeight="1" x14ac:dyDescent="0.35">
      <c r="B191" s="237" t="s">
        <v>2443</v>
      </c>
      <c r="C191" s="237" t="str">
        <f t="shared" si="0"/>
        <v>m3/h</v>
      </c>
      <c r="F191" s="237">
        <f>1/m3_per_d_to_m3_per_h</f>
        <v>24</v>
      </c>
      <c r="G191" s="237">
        <f t="shared" ref="G191:G197" si="1">F191</f>
        <v>24</v>
      </c>
      <c r="H191" s="245"/>
    </row>
    <row r="192" spans="2:8" ht="18.75" customHeight="1" x14ac:dyDescent="0.35">
      <c r="B192" s="597" t="s">
        <v>2444</v>
      </c>
      <c r="C192" s="597" t="str">
        <f t="shared" si="0"/>
        <v>bbl/d</v>
      </c>
      <c r="F192" s="597">
        <f>1/m3_per_d_to_bbl_per_d</f>
        <v>0.15898729999431446</v>
      </c>
      <c r="G192" s="597">
        <f t="shared" si="1"/>
        <v>0.15898729999431446</v>
      </c>
      <c r="H192" s="245"/>
    </row>
    <row r="193" spans="2:8" ht="18.75" customHeight="1" x14ac:dyDescent="0.35">
      <c r="B193" s="237" t="s">
        <v>2845</v>
      </c>
      <c r="C193" s="237" t="str">
        <f t="shared" si="0"/>
        <v>m3/d</v>
      </c>
      <c r="F193" s="237">
        <v>1</v>
      </c>
      <c r="G193" s="237">
        <f t="shared" si="1"/>
        <v>1</v>
      </c>
      <c r="H193" s="245"/>
    </row>
    <row r="194" spans="2:8" ht="18.75" customHeight="1" x14ac:dyDescent="0.35">
      <c r="B194" s="597" t="s">
        <v>2445</v>
      </c>
      <c r="C194" s="597" t="str">
        <f t="shared" si="0"/>
        <v>bbl/mo</v>
      </c>
      <c r="F194" s="597">
        <f>1/m3_per_d_to_bbl_per_mo</f>
        <v>5.2269797258404751E-3</v>
      </c>
      <c r="G194" s="597">
        <f t="shared" si="1"/>
        <v>5.2269797258404751E-3</v>
      </c>
      <c r="H194" s="245"/>
    </row>
    <row r="195" spans="2:8" ht="18.75" customHeight="1" x14ac:dyDescent="0.35">
      <c r="B195" s="237" t="s">
        <v>2858</v>
      </c>
      <c r="C195" s="237" t="str">
        <f t="shared" si="0"/>
        <v>m3/mo</v>
      </c>
      <c r="F195" s="237">
        <f>1/m3_per_d_to_m3_per_mo</f>
        <v>3.287671232876712E-2</v>
      </c>
      <c r="G195" s="237">
        <f t="shared" si="1"/>
        <v>3.287671232876712E-2</v>
      </c>
      <c r="H195" s="245"/>
    </row>
    <row r="196" spans="2:8" ht="18.75" customHeight="1" x14ac:dyDescent="0.35">
      <c r="B196" s="597" t="s">
        <v>2446</v>
      </c>
      <c r="C196" s="597" t="str">
        <f t="shared" si="0"/>
        <v>bbl/y</v>
      </c>
      <c r="F196" s="597">
        <f>1/m3_per_d_to_bbl_per_y</f>
        <v>4.3558164382003959E-4</v>
      </c>
      <c r="G196" s="597">
        <f t="shared" si="1"/>
        <v>4.3558164382003959E-4</v>
      </c>
      <c r="H196" s="245"/>
    </row>
    <row r="197" spans="2:8" ht="18.75" customHeight="1" x14ac:dyDescent="0.35">
      <c r="B197" s="237" t="s">
        <v>3023</v>
      </c>
      <c r="C197" s="237" t="str">
        <f t="shared" si="0"/>
        <v>E3m3/y</v>
      </c>
      <c r="F197" s="237" cm="1">
        <f t="array" ref="F197">1/m3_per_d_to_E3m3_per_y</f>
        <v>2.7397260273972601</v>
      </c>
      <c r="G197" s="237">
        <f t="shared" si="1"/>
        <v>2.7397260273972601</v>
      </c>
      <c r="H197" s="245"/>
    </row>
    <row r="198" spans="2:8" ht="18.75" customHeight="1" x14ac:dyDescent="0.35">
      <c r="H198" s="245"/>
    </row>
    <row r="199" spans="2:8" ht="18.75" customHeight="1" x14ac:dyDescent="0.35">
      <c r="B199" s="102" t="str">
        <f ca="1">'Translation Table'!H2755</f>
        <v>Internal Calculation Units of Measure:</v>
      </c>
      <c r="H199" s="245"/>
    </row>
    <row r="200" spans="2:8" ht="18.75" customHeight="1" x14ac:dyDescent="0.35">
      <c r="B200" s="297" t="str">
        <f ca="1">'Translation Table'!H2764</f>
        <v>- Oil Receipts: m3/d</v>
      </c>
      <c r="H200" s="245"/>
    </row>
    <row r="201" spans="2:8" ht="18.75" customHeight="1" x14ac:dyDescent="0.35">
      <c r="B201" s="297" t="str">
        <f ca="1">'Translation Table'!H2765</f>
        <v>- Produced Water Receipts: m3/d</v>
      </c>
      <c r="H201" s="245"/>
    </row>
    <row r="202" spans="2:8" ht="18.75" customHeight="1" x14ac:dyDescent="0.35">
      <c r="B202" s="297"/>
      <c r="H202" s="245"/>
    </row>
    <row r="203" spans="2:8" ht="27.75" customHeight="1" x14ac:dyDescent="0.35">
      <c r="B203" s="1125" t="str">
        <f ca="1">'Translation Table'!H2766</f>
        <v>Units of Measure Lookup Table for Natural Gas Receipts</v>
      </c>
      <c r="C203" s="1126"/>
      <c r="D203" s="1126"/>
      <c r="F203" s="1127" t="str">
        <f ca="1">'Translation Table'!H2751</f>
        <v>Multiplication Factors For Conversion to Internal Calculation Units of Measure</v>
      </c>
      <c r="G203" s="1126"/>
      <c r="H203" s="1126"/>
    </row>
    <row r="204" spans="2:8" ht="18.75" customHeight="1" x14ac:dyDescent="0.35">
      <c r="H204" s="245"/>
    </row>
    <row r="205" spans="2:8" ht="18.75" customHeight="1" x14ac:dyDescent="0.35">
      <c r="B205" s="585" t="str">
        <f ca="1">'Translation Table'!H2767</f>
        <v>Natural Gas Receipts (input Units of Measure)</v>
      </c>
      <c r="F205" s="585" t="str">
        <f ca="1">'Translation Table'!H2768</f>
        <v>Natural Gas Production/Receipts (Conversion Factors)</v>
      </c>
    </row>
    <row r="206" spans="2:8" ht="18.75" customHeight="1" x14ac:dyDescent="0.35">
      <c r="B206" s="597" t="s">
        <v>2849</v>
      </c>
      <c r="F206" s="597">
        <f>1/E3m3_per_d_to_scf_per_h</f>
        <v>6.7960431820800009E-4</v>
      </c>
    </row>
    <row r="207" spans="2:8" ht="18.75" customHeight="1" x14ac:dyDescent="0.35">
      <c r="B207" s="237" t="s">
        <v>2443</v>
      </c>
      <c r="F207" s="237">
        <f>1/E3m3_per_d_to_m3_per_h</f>
        <v>2.4E-2</v>
      </c>
    </row>
    <row r="208" spans="2:8" ht="18.75" customHeight="1" x14ac:dyDescent="0.35">
      <c r="B208" s="597" t="s">
        <v>2851</v>
      </c>
      <c r="F208" s="597">
        <f>1/E3m3_per_d_to_mscf_per_d</f>
        <v>2.8316846592000004E-2</v>
      </c>
    </row>
    <row r="209" spans="2:8" ht="18.75" customHeight="1" x14ac:dyDescent="0.35">
      <c r="B209" s="237" t="s">
        <v>2458</v>
      </c>
      <c r="F209" s="237">
        <f>1/E3m3_per_d_to_mmscf_per_d</f>
        <v>28.316846592000005</v>
      </c>
    </row>
    <row r="210" spans="2:8" ht="18.75" customHeight="1" x14ac:dyDescent="0.35">
      <c r="B210" s="597" t="s">
        <v>2847</v>
      </c>
      <c r="F210" s="597">
        <f>1/E3m3_per_d_to_E3m3_per_d</f>
        <v>1</v>
      </c>
    </row>
    <row r="211" spans="2:8" ht="18.75" customHeight="1" x14ac:dyDescent="0.35">
      <c r="B211" s="237" t="s">
        <v>3004</v>
      </c>
      <c r="F211" s="237">
        <f>1/E3m3_per_d_to_E6m3_per_d</f>
        <v>1000</v>
      </c>
    </row>
    <row r="212" spans="2:8" ht="18.75" customHeight="1" x14ac:dyDescent="0.35">
      <c r="B212" s="597" t="s">
        <v>2962</v>
      </c>
      <c r="F212" s="597">
        <f>1/E3m3_per_d_to_mscf_per_mo</f>
        <v>9.3096481946301378E-4</v>
      </c>
    </row>
    <row r="213" spans="2:8" ht="18.75" customHeight="1" x14ac:dyDescent="0.35">
      <c r="B213" s="237" t="s">
        <v>2459</v>
      </c>
      <c r="F213" s="237">
        <f>1/E3m3_per_d_to_mmscf_per_mo</f>
        <v>0.93096481946301379</v>
      </c>
    </row>
    <row r="214" spans="2:8" ht="18.75" customHeight="1" x14ac:dyDescent="0.35">
      <c r="B214" s="597" t="s">
        <v>3005</v>
      </c>
      <c r="F214" s="597">
        <f>1/E3m3_per_d_to_E6m3_per_mo</f>
        <v>32.87671232876712</v>
      </c>
    </row>
    <row r="215" spans="2:8" ht="18.75" customHeight="1" x14ac:dyDescent="0.35">
      <c r="B215" s="237" t="s">
        <v>2460</v>
      </c>
      <c r="F215" s="237">
        <f>1/E3m3_per_d_to_mmscf_per_y</f>
        <v>7.7580401621917816E-2</v>
      </c>
    </row>
    <row r="216" spans="2:8" ht="18.75" customHeight="1" x14ac:dyDescent="0.35">
      <c r="B216" s="597" t="s">
        <v>3007</v>
      </c>
      <c r="F216" s="597">
        <f>1/E3m3_per_d_to_bscf_per_y</f>
        <v>77.580401621917815</v>
      </c>
    </row>
    <row r="217" spans="2:8" ht="18.75" customHeight="1" x14ac:dyDescent="0.35">
      <c r="B217" s="237" t="s">
        <v>3006</v>
      </c>
      <c r="F217" s="237">
        <f>1/E3m3_per_d_to_E6m3_per_y</f>
        <v>2.7397260273972601</v>
      </c>
    </row>
    <row r="219" spans="2:8" ht="18.75" customHeight="1" x14ac:dyDescent="0.35">
      <c r="B219" s="102" t="str">
        <f ca="1">'Translation Table'!H2755</f>
        <v>Internal Calculation Units of Measure:</v>
      </c>
      <c r="H219" s="245"/>
    </row>
    <row r="220" spans="2:8" ht="18.75" customHeight="1" x14ac:dyDescent="0.35">
      <c r="B220" s="297" t="str">
        <f ca="1">'Translation Table'!H2769</f>
        <v>'- Natural gas receipts of throughput Volumes: E3 m3/d</v>
      </c>
      <c r="H220" s="245"/>
    </row>
    <row r="221" spans="2:8" ht="18.75" customHeight="1" x14ac:dyDescent="0.35">
      <c r="B221" s="297"/>
      <c r="H221" s="245"/>
    </row>
    <row r="222" spans="2:8" ht="18.75" customHeight="1" x14ac:dyDescent="0.35">
      <c r="B222" s="297"/>
      <c r="H222" s="245"/>
    </row>
    <row r="223" spans="2:8" ht="18.75" customHeight="1" x14ac:dyDescent="0.35">
      <c r="H223" s="245"/>
    </row>
    <row r="224" spans="2:8" ht="23.25" customHeight="1" x14ac:dyDescent="0.35">
      <c r="B224" s="1125" t="str">
        <f ca="1">'Translation Table'!H2770</f>
        <v>Units of Measure Lookup Table for Vented and Flared Volumes</v>
      </c>
      <c r="C224" s="1126"/>
      <c r="D224" s="1126"/>
      <c r="F224" s="1127" t="str">
        <f ca="1">'Translation Table'!H2751</f>
        <v>Multiplication Factors For Conversion to Internal Calculation Units of Measure</v>
      </c>
      <c r="G224" s="1126"/>
      <c r="H224" s="1126"/>
    </row>
    <row r="225" spans="2:8" ht="18.75" customHeight="1" x14ac:dyDescent="0.35">
      <c r="H225" s="245"/>
    </row>
    <row r="226" spans="2:8" ht="18.75" customHeight="1" x14ac:dyDescent="0.35">
      <c r="B226" s="585" t="str">
        <f ca="1">'Translation Table'!H2771</f>
        <v>Vented Natural Gas  (Input Unit of Measure)</v>
      </c>
      <c r="C226" s="585" t="str">
        <f ca="1">'Translation Table'!H2772</f>
        <v>Flared  (Input Unit of Measure)</v>
      </c>
      <c r="F226" s="585" t="str">
        <f ca="1">'Translation Table'!H2773</f>
        <v>Vented Natural Gas (Conversion Factors)</v>
      </c>
      <c r="G226" s="585" t="str">
        <f ca="1">'Translation Table'!H2774</f>
        <v>Flared (Conversion Factors)</v>
      </c>
    </row>
    <row r="227" spans="2:8" ht="18.75" customHeight="1" x14ac:dyDescent="0.35">
      <c r="B227" s="597" t="s">
        <v>2849</v>
      </c>
      <c r="C227" s="597" t="s">
        <v>2849</v>
      </c>
      <c r="F227" s="597">
        <f>1/E3m3_per_d_to_scf_per_h</f>
        <v>6.7960431820800009E-4</v>
      </c>
      <c r="G227" s="597">
        <f>1/E3m3_per_d_to_scf_per_h</f>
        <v>6.7960431820800009E-4</v>
      </c>
    </row>
    <row r="228" spans="2:8" ht="18.75" customHeight="1" x14ac:dyDescent="0.35">
      <c r="B228" s="237" t="s">
        <v>2443</v>
      </c>
      <c r="C228" s="237" t="s">
        <v>2443</v>
      </c>
      <c r="F228" s="237">
        <f>1/E3m3_per_d_to_m3_per_h</f>
        <v>2.4E-2</v>
      </c>
      <c r="G228" s="237">
        <f>1/E3m3_per_d_to_m3_per_h</f>
        <v>2.4E-2</v>
      </c>
    </row>
    <row r="229" spans="2:8" ht="18.75" customHeight="1" x14ac:dyDescent="0.35">
      <c r="B229" s="597" t="s">
        <v>2851</v>
      </c>
      <c r="C229" s="597" t="s">
        <v>2851</v>
      </c>
      <c r="F229" s="597">
        <f>1/E3m3_per_d_to_mscf_per_d</f>
        <v>2.8316846592000004E-2</v>
      </c>
      <c r="G229" s="597">
        <f>1/E3m3_per_d_to_mscf_per_d</f>
        <v>2.8316846592000004E-2</v>
      </c>
    </row>
    <row r="230" spans="2:8" ht="18.75" customHeight="1" x14ac:dyDescent="0.35">
      <c r="B230" s="237" t="s">
        <v>2845</v>
      </c>
      <c r="C230" s="237" t="s">
        <v>2845</v>
      </c>
      <c r="F230" s="237" cm="1">
        <f t="array" ref="F230">1/E3m3_per_d_to_m3_per_d</f>
        <v>1E-3</v>
      </c>
      <c r="G230" s="237" cm="1">
        <f t="array" ref="G230">1/E3m3_per_d_to_m3_per_d</f>
        <v>1E-3</v>
      </c>
    </row>
    <row r="231" spans="2:8" ht="18.75" customHeight="1" x14ac:dyDescent="0.35">
      <c r="B231" s="597" t="s">
        <v>2847</v>
      </c>
      <c r="C231" s="597" t="s">
        <v>2847</v>
      </c>
      <c r="F231" s="597">
        <v>1</v>
      </c>
      <c r="G231" s="597">
        <v>1</v>
      </c>
    </row>
    <row r="232" spans="2:8" ht="18.75" customHeight="1" x14ac:dyDescent="0.35">
      <c r="B232" s="237" t="s">
        <v>2963</v>
      </c>
      <c r="C232" s="237" t="s">
        <v>2963</v>
      </c>
      <c r="F232" s="237" cm="1">
        <f t="array" ref="F232">1/E3m3_per_d_to_E3m3_per_mo</f>
        <v>3.287671232876712E-2</v>
      </c>
      <c r="G232" s="237" cm="1">
        <f t="array" ref="G232">1/E3m3_per_d_to_E3m3_per_mo</f>
        <v>3.287671232876712E-2</v>
      </c>
    </row>
    <row r="233" spans="2:8" ht="18.75" customHeight="1" x14ac:dyDescent="0.35">
      <c r="B233" s="597" t="s">
        <v>2962</v>
      </c>
      <c r="C233" s="597" t="s">
        <v>2962</v>
      </c>
      <c r="F233" s="597">
        <f>1/E3m3_per_d_to_mscf_per_mo</f>
        <v>9.3096481946301378E-4</v>
      </c>
      <c r="G233" s="597">
        <f>1/E3m3_per_d_to_mscf_per_mo</f>
        <v>9.3096481946301378E-4</v>
      </c>
    </row>
    <row r="234" spans="2:8" ht="18.75" customHeight="1" x14ac:dyDescent="0.35">
      <c r="B234" s="237" t="s">
        <v>2460</v>
      </c>
      <c r="C234" s="237" t="s">
        <v>2460</v>
      </c>
      <c r="F234" s="237">
        <f>1/E3m3_per_d_to_mmscf_per_y</f>
        <v>7.7580401621917816E-2</v>
      </c>
      <c r="G234" s="237">
        <f>1/E3m3_per_d_to_mmscf_per_y</f>
        <v>7.7580401621917816E-2</v>
      </c>
    </row>
    <row r="235" spans="2:8" ht="18.75" customHeight="1" x14ac:dyDescent="0.35">
      <c r="B235" s="597" t="s">
        <v>3006</v>
      </c>
      <c r="C235" s="597" t="s">
        <v>3006</v>
      </c>
      <c r="F235" s="597">
        <f>1/E3m3_per_d_to_E6m3_per_y</f>
        <v>2.7397260273972601</v>
      </c>
      <c r="G235" s="597">
        <f>1/E3m3_per_d_to_E6m3_per_y</f>
        <v>2.7397260273972601</v>
      </c>
    </row>
    <row r="236" spans="2:8" ht="18.75" customHeight="1" x14ac:dyDescent="0.35">
      <c r="H236" s="245"/>
    </row>
    <row r="237" spans="2:8" ht="18.75" customHeight="1" x14ac:dyDescent="0.35">
      <c r="B237" s="102" t="str">
        <f ca="1">'Translation Table'!H2755</f>
        <v>Internal Calculation Units of Measure:</v>
      </c>
      <c r="H237" s="245"/>
    </row>
    <row r="238" spans="2:8" ht="18.75" customHeight="1" x14ac:dyDescent="0.35">
      <c r="B238" s="297" t="str">
        <f ca="1">'Translation Table'!H2775</f>
        <v>- Vented Volumes: E3 m3/d</v>
      </c>
      <c r="H238" s="245"/>
    </row>
    <row r="239" spans="2:8" ht="18.75" customHeight="1" x14ac:dyDescent="0.35">
      <c r="B239" s="297" t="str">
        <f>'Translation Table'!I2776</f>
        <v>- Flared Volumes: E3 m3/d</v>
      </c>
      <c r="H239" s="245"/>
    </row>
    <row r="240" spans="2:8" ht="18.75" customHeight="1" x14ac:dyDescent="0.35">
      <c r="B240" s="297"/>
      <c r="H240" s="245"/>
    </row>
    <row r="241" spans="2:8" ht="23.25" customHeight="1" x14ac:dyDescent="0.35">
      <c r="B241" s="1125" t="str">
        <f>'Translation Table'!I2777</f>
        <v>Units of Measure Lookup Table for Heat Purchased</v>
      </c>
      <c r="C241" s="1126"/>
      <c r="D241" s="1126"/>
      <c r="F241" s="1127" t="str">
        <f ca="1">'Translation Table'!H2751</f>
        <v>Multiplication Factors For Conversion to Internal Calculation Units of Measure</v>
      </c>
      <c r="G241" s="1126"/>
      <c r="H241" s="1126"/>
    </row>
    <row r="242" spans="2:8" ht="18.75" customHeight="1" x14ac:dyDescent="0.35">
      <c r="H242" s="245"/>
    </row>
    <row r="243" spans="2:8" ht="18.75" customHeight="1" x14ac:dyDescent="0.35">
      <c r="B243" s="585" t="str">
        <f>'Translation Table'!I2778</f>
        <v>Heat Purchased  (Input Unit of Measure)</v>
      </c>
      <c r="F243" s="585" t="str">
        <f>'Translation Table'!I2779</f>
        <v>Heat Purchased (Conversion Factors)</v>
      </c>
    </row>
    <row r="244" spans="2:8" ht="18.75" customHeight="1" x14ac:dyDescent="0.35">
      <c r="B244" s="597" t="s">
        <v>3042</v>
      </c>
      <c r="F244" s="597">
        <f>1/GJ_per_y_to_mBTU_per_h</f>
        <v>9.2422894670290301</v>
      </c>
    </row>
    <row r="245" spans="2:8" ht="18.75" customHeight="1" x14ac:dyDescent="0.35">
      <c r="B245" s="237" t="s">
        <v>3094</v>
      </c>
      <c r="F245" s="237">
        <f>1/GJ_per_y_to_mmBTU_per_d</f>
        <v>385.09539445954294</v>
      </c>
    </row>
    <row r="246" spans="2:8" ht="18.75" customHeight="1" x14ac:dyDescent="0.35">
      <c r="B246" s="597" t="s">
        <v>3092</v>
      </c>
      <c r="F246" s="597">
        <f>1/GJ_per_y_to_mmBTU_per_mo</f>
        <v>12.660670502779492</v>
      </c>
    </row>
    <row r="247" spans="2:8" ht="18.75" customHeight="1" x14ac:dyDescent="0.35">
      <c r="B247" s="237" t="s">
        <v>3093</v>
      </c>
      <c r="F247" s="237">
        <f>1/GJ_per_y_to_mmBTU_per_y</f>
        <v>1.0550558752316244</v>
      </c>
    </row>
    <row r="248" spans="2:8" ht="18.75" customHeight="1" x14ac:dyDescent="0.35">
      <c r="B248" s="597" t="s">
        <v>3095</v>
      </c>
      <c r="F248" s="597">
        <f>GJ_per_y_to_MJ_per_h</f>
        <v>0.11415525114155251</v>
      </c>
    </row>
    <row r="249" spans="2:8" ht="18.75" customHeight="1" x14ac:dyDescent="0.35">
      <c r="B249" s="237" t="s">
        <v>2449</v>
      </c>
      <c r="F249" s="237">
        <f>1/GJ_per_y_to_GJ_per_d</f>
        <v>365</v>
      </c>
    </row>
    <row r="250" spans="2:8" ht="18.75" customHeight="1" x14ac:dyDescent="0.35">
      <c r="B250" s="597" t="s">
        <v>2450</v>
      </c>
      <c r="F250" s="597">
        <f>1/GJ_per_y_to_GJ_per_mo</f>
        <v>12</v>
      </c>
    </row>
    <row r="251" spans="2:8" ht="18.75" customHeight="1" x14ac:dyDescent="0.35">
      <c r="B251" s="237" t="s">
        <v>2302</v>
      </c>
      <c r="F251" s="237">
        <v>1</v>
      </c>
    </row>
    <row r="252" spans="2:8" ht="18.75" customHeight="1" x14ac:dyDescent="0.35">
      <c r="H252" s="245"/>
    </row>
    <row r="253" spans="2:8" ht="18.75" customHeight="1" x14ac:dyDescent="0.35">
      <c r="B253" s="102" t="str">
        <f ca="1">'Translation Table'!H2755</f>
        <v>Internal Calculation Units of Measure:</v>
      </c>
      <c r="H253" s="245"/>
    </row>
    <row r="254" spans="2:8" ht="18.75" customHeight="1" x14ac:dyDescent="0.35">
      <c r="B254" s="297" t="str">
        <f>'Translation Table'!I2780</f>
        <v>'- Heat Purchased: GJ/y</v>
      </c>
      <c r="H254" s="245"/>
    </row>
    <row r="255" spans="2:8" ht="18.75" customHeight="1" x14ac:dyDescent="0.35">
      <c r="B255" s="297"/>
      <c r="H255" s="245"/>
    </row>
    <row r="256" spans="2:8" ht="22.5" customHeight="1" x14ac:dyDescent="0.35">
      <c r="B256" s="1125" t="str">
        <f>'Translation Table'!I2781</f>
        <v>Units of Measure Lookup Table for Gauge Pressure and Absolute Pressure</v>
      </c>
      <c r="C256" s="1128"/>
      <c r="D256" s="1128"/>
      <c r="F256" s="1127" t="str">
        <f ca="1">'Translation Table'!H2751</f>
        <v>Multiplication Factors For Conversion to Internal Calculation Units of Measure</v>
      </c>
      <c r="G256" s="1126"/>
      <c r="H256" s="1126"/>
    </row>
    <row r="257" spans="2:8" ht="18.75" customHeight="1" x14ac:dyDescent="0.35">
      <c r="H257" s="245"/>
    </row>
    <row r="258" spans="2:8" ht="18.75" customHeight="1" x14ac:dyDescent="0.35">
      <c r="B258" s="588" t="str">
        <f>'Translation Table'!I2782</f>
        <v>Gauge Pressure  (Input Unit of Measure)</v>
      </c>
      <c r="C258" s="588" t="str">
        <f>'Translation Table'!I2783</f>
        <v>Absolute Pressure  (Input Unit of Measure)</v>
      </c>
      <c r="F258" s="588" t="str">
        <f>'Translation Table'!I2784</f>
        <v>Gage Pressure (Conversion Factors)</v>
      </c>
      <c r="G258" s="588" t="str">
        <f>'Translation Table'!I2785</f>
        <v>Absolute Pressure (Conversion Factors)</v>
      </c>
      <c r="H258" s="245"/>
    </row>
    <row r="259" spans="2:8" ht="18.75" customHeight="1" x14ac:dyDescent="0.35">
      <c r="B259" s="237" t="s">
        <v>3282</v>
      </c>
      <c r="C259" s="237" t="s">
        <v>3001</v>
      </c>
      <c r="F259" s="237">
        <f>1/kPag_to_psig</f>
        <v>6.8947590867753696</v>
      </c>
      <c r="G259" s="237" cm="1">
        <f t="array" ref="G259">1/kPa_to_oz_per_in2</f>
        <v>110.31614538840591</v>
      </c>
      <c r="H259" s="245"/>
    </row>
    <row r="260" spans="2:8" ht="18.75" customHeight="1" x14ac:dyDescent="0.35">
      <c r="B260" s="597" t="s">
        <v>3278</v>
      </c>
      <c r="C260" s="597" t="s">
        <v>3002</v>
      </c>
      <c r="F260" s="597">
        <f>1/kPag_to_kPag</f>
        <v>1</v>
      </c>
      <c r="G260" s="597">
        <f>1/kPa_to_Pa</f>
        <v>1000</v>
      </c>
      <c r="H260" s="245"/>
    </row>
    <row r="261" spans="2:8" ht="18.75" customHeight="1" x14ac:dyDescent="0.35">
      <c r="B261" s="237" t="s">
        <v>3280</v>
      </c>
      <c r="C261" s="237" t="s">
        <v>2841</v>
      </c>
      <c r="F261" s="237">
        <f>1/kPag_to_kg_per_cm2g</f>
        <v>98.066520482173459</v>
      </c>
      <c r="G261" s="237">
        <f>1/kPa_to_psi</f>
        <v>6.8947590867753696</v>
      </c>
      <c r="H261" s="245"/>
    </row>
    <row r="262" spans="2:8" ht="18.75" customHeight="1" x14ac:dyDescent="0.35">
      <c r="B262" s="597" t="s">
        <v>3279</v>
      </c>
      <c r="C262" s="597" t="s">
        <v>64</v>
      </c>
      <c r="F262" s="597">
        <f>1/kPag_to_barg</f>
        <v>100</v>
      </c>
      <c r="G262" s="597">
        <f>1/kPa_to_kPa</f>
        <v>1</v>
      </c>
      <c r="H262" s="245"/>
    </row>
    <row r="263" spans="2:8" ht="18.75" customHeight="1" x14ac:dyDescent="0.35">
      <c r="B263" s="237"/>
      <c r="C263" s="237" t="s">
        <v>3281</v>
      </c>
      <c r="F263" s="237"/>
      <c r="G263" s="237">
        <f>1/kPa_to_kg_per_cm2</f>
        <v>98.066500286388504</v>
      </c>
      <c r="H263" s="245"/>
    </row>
    <row r="264" spans="2:8" ht="18.75" customHeight="1" x14ac:dyDescent="0.35">
      <c r="B264" s="592"/>
      <c r="C264" s="592" t="s">
        <v>2842</v>
      </c>
      <c r="F264" s="592"/>
      <c r="G264" s="592">
        <f>1/kPa_to_bar</f>
        <v>100</v>
      </c>
      <c r="H264" s="245"/>
    </row>
    <row r="265" spans="2:8" ht="18.75" customHeight="1" x14ac:dyDescent="0.35">
      <c r="H265" s="245"/>
    </row>
    <row r="266" spans="2:8" ht="18.75" customHeight="1" x14ac:dyDescent="0.35">
      <c r="B266" s="102" t="str">
        <f ca="1">'Translation Table'!H2755</f>
        <v>Internal Calculation Units of Measure:</v>
      </c>
      <c r="H266" s="245"/>
    </row>
    <row r="267" spans="2:8" ht="18.75" customHeight="1" x14ac:dyDescent="0.35">
      <c r="B267" s="297" t="str">
        <f>'Translation Table'!I2786</f>
        <v>- Gage Pressure: kPag</v>
      </c>
      <c r="H267" s="245"/>
    </row>
    <row r="268" spans="2:8" ht="18.75" customHeight="1" x14ac:dyDescent="0.35">
      <c r="B268" s="297" t="str">
        <f>'Translation Table'!I2787</f>
        <v>- Absolute Pressure: kPa</v>
      </c>
      <c r="H268" s="245"/>
    </row>
    <row r="269" spans="2:8" ht="18.75" customHeight="1" x14ac:dyDescent="0.35">
      <c r="B269" s="297"/>
      <c r="H269" s="245"/>
    </row>
    <row r="270" spans="2:8" ht="24" customHeight="1" x14ac:dyDescent="0.35">
      <c r="B270" s="1125" t="str">
        <f>'Translation Table'!I2788</f>
        <v xml:space="preserve">Units of Measure for Oil Density </v>
      </c>
      <c r="C270" s="1126"/>
      <c r="D270" s="1126"/>
      <c r="F270" s="1127" t="str">
        <f ca="1">'Translation Table'!H2751</f>
        <v>Multiplication Factors For Conversion to Internal Calculation Units of Measure</v>
      </c>
      <c r="G270" s="1126"/>
      <c r="H270" s="1126"/>
    </row>
    <row r="271" spans="2:8" ht="18.75" customHeight="1" x14ac:dyDescent="0.35">
      <c r="H271" s="245"/>
    </row>
    <row r="272" spans="2:8" ht="18.75" customHeight="1" x14ac:dyDescent="0.35">
      <c r="B272" s="588" t="str">
        <f>'Translation Table'!I2789</f>
        <v>Oil Density  (Input Unit of Measure)</v>
      </c>
      <c r="F272" s="588" t="str">
        <f>'Translation Table'!I2790</f>
        <v>Oil Density (Conversion Factors)</v>
      </c>
      <c r="H272" s="245"/>
    </row>
    <row r="273" spans="2:8" ht="18.75" customHeight="1" x14ac:dyDescent="0.35">
      <c r="B273" s="597" t="s">
        <v>2853</v>
      </c>
      <c r="F273" s="597">
        <v>1</v>
      </c>
      <c r="H273" s="245"/>
    </row>
    <row r="274" spans="2:8" ht="18.75" customHeight="1" x14ac:dyDescent="0.35">
      <c r="B274" s="237" t="s">
        <v>2854</v>
      </c>
      <c r="F274" s="237" cm="1">
        <f t="array" ref="F274">1/kg_per_m3_to_lb_per_gal</f>
        <v>119.82659143072276</v>
      </c>
      <c r="H274" s="245"/>
    </row>
    <row r="275" spans="2:8" ht="18.75" customHeight="1" x14ac:dyDescent="0.35">
      <c r="B275" s="597" t="s">
        <v>2855</v>
      </c>
      <c r="F275" s="597">
        <f>1/kg_per_m3_to_lb_per_ft3</f>
        <v>16.018483911059501</v>
      </c>
      <c r="H275" s="245"/>
    </row>
    <row r="276" spans="2:8" ht="18.75" customHeight="1" x14ac:dyDescent="0.35">
      <c r="B276" s="237" t="s">
        <v>2833</v>
      </c>
      <c r="F276" s="321" t="str">
        <f>'Translation Table'!I2791</f>
        <v>Must Be Calculated</v>
      </c>
      <c r="H276" s="245"/>
    </row>
    <row r="277" spans="2:8" ht="18.75" customHeight="1" x14ac:dyDescent="0.35">
      <c r="B277" s="297"/>
      <c r="H277" s="245"/>
    </row>
    <row r="278" spans="2:8" ht="18.75" customHeight="1" x14ac:dyDescent="0.35">
      <c r="B278" s="102" t="str">
        <f ca="1">'Translation Table'!H2755</f>
        <v>Internal Calculation Units of Measure:</v>
      </c>
      <c r="H278" s="245"/>
    </row>
    <row r="279" spans="2:8" ht="18.75" customHeight="1" x14ac:dyDescent="0.35">
      <c r="B279" s="297" t="str">
        <f>'Translation Table'!I2792</f>
        <v>- Oil Density: kg/m3</v>
      </c>
      <c r="H279" s="245"/>
    </row>
    <row r="280" spans="2:8" ht="18.75" customHeight="1" x14ac:dyDescent="0.35">
      <c r="B280" s="297"/>
      <c r="H280" s="245"/>
    </row>
    <row r="281" spans="2:8" ht="25.5" customHeight="1" x14ac:dyDescent="0.35">
      <c r="B281" s="1125" t="str">
        <f>'Translation Table'!I2793</f>
        <v>Units of Measure for Flash Gas Factors</v>
      </c>
      <c r="C281" s="1126"/>
      <c r="D281" s="1126"/>
      <c r="F281" s="1127" t="str">
        <f ca="1">'Translation Table'!H2751</f>
        <v>Multiplication Factors For Conversion to Internal Calculation Units of Measure</v>
      </c>
      <c r="G281" s="1126"/>
      <c r="H281" s="1126"/>
    </row>
    <row r="282" spans="2:8" ht="18.75" customHeight="1" x14ac:dyDescent="0.35">
      <c r="H282" s="245"/>
    </row>
    <row r="283" spans="2:8" ht="18.75" customHeight="1" x14ac:dyDescent="0.35">
      <c r="B283" s="588" t="str">
        <f>'Translation Table'!I2794</f>
        <v>Flash Gas Factor for Oil  (Input Unit of Measure)</v>
      </c>
      <c r="C283" s="588" t="str">
        <f>'Translation Table'!I2795</f>
        <v>Flash Gas Factor for Produced Water  (Input Unit of Measure)</v>
      </c>
      <c r="F283" s="588" t="str">
        <f>'Translation Table'!I2796</f>
        <v>Flash Gas Factor Oil (Conversion Factors)</v>
      </c>
      <c r="G283" s="588" t="str">
        <f>'Translation Table'!I2797</f>
        <v>Flash Gas Factor Produced Water (Conversion Factors)</v>
      </c>
      <c r="H283" s="245"/>
    </row>
    <row r="284" spans="2:8" ht="18.75" customHeight="1" x14ac:dyDescent="0.35">
      <c r="B284" s="597" t="s">
        <v>3073</v>
      </c>
      <c r="C284" s="597" t="s">
        <v>3075</v>
      </c>
      <c r="F284" s="597" cm="1">
        <f t="array" ref="F284">1/m3_per_m3Oil_to_scf_per_bblOil</f>
        <v>0.17810758446206831</v>
      </c>
      <c r="G284" s="597">
        <f>1/m3_per_m3Water_to_scf_per_bblWater</f>
        <v>0.17810758446206831</v>
      </c>
      <c r="H284" s="245"/>
    </row>
    <row r="285" spans="2:8" ht="18.75" customHeight="1" x14ac:dyDescent="0.35">
      <c r="B285" s="237" t="s">
        <v>3074</v>
      </c>
      <c r="C285" s="237" t="s">
        <v>3076</v>
      </c>
      <c r="F285" s="237">
        <v>1</v>
      </c>
      <c r="G285" s="237">
        <v>1</v>
      </c>
      <c r="H285" s="245"/>
    </row>
    <row r="286" spans="2:8" ht="18.75" customHeight="1" x14ac:dyDescent="0.35">
      <c r="B286" s="597"/>
      <c r="C286" s="597"/>
      <c r="F286" s="597"/>
      <c r="G286" s="597"/>
      <c r="H286" s="245"/>
    </row>
    <row r="287" spans="2:8" ht="18.75" customHeight="1" x14ac:dyDescent="0.35">
      <c r="B287" s="237"/>
      <c r="C287" s="237"/>
      <c r="F287" s="321"/>
      <c r="G287" s="321"/>
      <c r="H287" s="245"/>
    </row>
    <row r="288" spans="2:8" ht="18.75" customHeight="1" x14ac:dyDescent="0.35">
      <c r="B288" s="297"/>
      <c r="H288" s="245"/>
    </row>
    <row r="289" spans="2:8" ht="18.75" customHeight="1" x14ac:dyDescent="0.35">
      <c r="B289" s="102" t="str">
        <f ca="1">'Translation Table'!H2755</f>
        <v>Internal Calculation Units of Measure:</v>
      </c>
      <c r="H289" s="245"/>
    </row>
    <row r="290" spans="2:8" ht="18.75" customHeight="1" x14ac:dyDescent="0.35">
      <c r="B290" s="297" t="str">
        <f>'Translation Table'!I2798</f>
        <v>- Flash Gas Factor: m3/m3 oil</v>
      </c>
      <c r="H290" s="245"/>
    </row>
    <row r="291" spans="2:8" ht="18.75" customHeight="1" x14ac:dyDescent="0.35">
      <c r="B291" s="297"/>
      <c r="H291" s="245"/>
    </row>
    <row r="292" spans="2:8" ht="25.5" customHeight="1" x14ac:dyDescent="0.35">
      <c r="B292" s="1125" t="str">
        <f>'Translation Table'!I2799</f>
        <v>Units of Measure Lookup Table for Electricity Consumption or Generation</v>
      </c>
      <c r="C292" s="1126"/>
      <c r="D292" s="1126"/>
      <c r="F292" s="1127" t="str">
        <f ca="1">'Translation Table'!H2751</f>
        <v>Multiplication Factors For Conversion to Internal Calculation Units of Measure</v>
      </c>
      <c r="G292" s="1126"/>
      <c r="H292" s="1126"/>
    </row>
    <row r="293" spans="2:8" ht="18.75" customHeight="1" x14ac:dyDescent="0.35">
      <c r="H293" s="245"/>
    </row>
    <row r="294" spans="2:8" ht="18.75" customHeight="1" x14ac:dyDescent="0.35">
      <c r="B294" s="588" t="str">
        <f>'Translation Table'!I2800</f>
        <v>Electricity Consumption or Generation  (Input Unit of Measure)</v>
      </c>
      <c r="F294" s="588" t="str">
        <f>'Translation Table'!I2801</f>
        <v>Electricity Consumption or Generation (Conversion Factors)</v>
      </c>
      <c r="H294" s="245"/>
    </row>
    <row r="295" spans="2:8" ht="18.75" customHeight="1" x14ac:dyDescent="0.35">
      <c r="B295" s="597" t="s">
        <v>2874</v>
      </c>
      <c r="F295" s="597">
        <f>1/kW_to_kW</f>
        <v>1</v>
      </c>
      <c r="H295" s="245"/>
    </row>
    <row r="296" spans="2:8" ht="18.75" customHeight="1" x14ac:dyDescent="0.35">
      <c r="B296" s="237" t="s">
        <v>3031</v>
      </c>
      <c r="F296" s="237">
        <f>1/kW_to_kWh_per_d</f>
        <v>4.1666666666666664E-2</v>
      </c>
      <c r="H296" s="245"/>
    </row>
    <row r="297" spans="2:8" ht="18.75" customHeight="1" x14ac:dyDescent="0.35">
      <c r="B297" s="597" t="s">
        <v>3032</v>
      </c>
      <c r="F297" s="597">
        <f>1/kW_to_kWh_per_mo</f>
        <v>1.3698630136986301E-3</v>
      </c>
      <c r="H297" s="245"/>
    </row>
    <row r="298" spans="2:8" ht="18.75" customHeight="1" x14ac:dyDescent="0.35">
      <c r="B298" s="237" t="s">
        <v>2300</v>
      </c>
      <c r="F298" s="237">
        <f>1/kW_to_MWh_per_y</f>
        <v>0.11415525114155252</v>
      </c>
      <c r="H298" s="245"/>
    </row>
    <row r="299" spans="2:8" ht="18.75" customHeight="1" x14ac:dyDescent="0.35">
      <c r="H299" s="245"/>
    </row>
    <row r="300" spans="2:8" ht="18.75" customHeight="1" x14ac:dyDescent="0.35">
      <c r="B300" s="102" t="str">
        <f ca="1">'Translation Table'!H2755</f>
        <v>Internal Calculation Units of Measure:</v>
      </c>
      <c r="H300" s="245"/>
    </row>
    <row r="301" spans="2:8" ht="18.75" customHeight="1" x14ac:dyDescent="0.35">
      <c r="B301" s="297" t="str">
        <f>'Translation Table'!I2802</f>
        <v>- Electricity Consumption or Generation: kW</v>
      </c>
      <c r="H301" s="245"/>
    </row>
    <row r="302" spans="2:8" ht="18.75" customHeight="1" x14ac:dyDescent="0.35">
      <c r="B302" s="297"/>
      <c r="H302" s="245"/>
    </row>
    <row r="303" spans="2:8" ht="22.5" customHeight="1" x14ac:dyDescent="0.35">
      <c r="B303" s="1125" t="str">
        <f>'Translation Table'!I2803</f>
        <v>Units of Measure Lookup Table for Heater &amp; Boiler Output Power Rating</v>
      </c>
      <c r="C303" s="1126"/>
      <c r="D303" s="1126"/>
      <c r="F303" s="1127" t="str">
        <f ca="1">'Translation Table'!H2751</f>
        <v>Multiplication Factors For Conversion to Internal Calculation Units of Measure</v>
      </c>
      <c r="G303" s="1126"/>
      <c r="H303" s="1126"/>
    </row>
    <row r="304" spans="2:8" ht="18.75" customHeight="1" x14ac:dyDescent="0.35">
      <c r="B304" s="297"/>
      <c r="H304" s="245"/>
    </row>
    <row r="305" spans="2:8" ht="18.75" customHeight="1" x14ac:dyDescent="0.35">
      <c r="B305" s="588" t="str">
        <f>'Translation Table'!I2804</f>
        <v>Heater &amp; Boiler Output Power Rating  (Input Unit of Measure)</v>
      </c>
      <c r="F305" s="588" t="str">
        <f>'Translation Table'!I2805</f>
        <v>Heater &amp; Boiler Output Power Rating (Conversion Factors)</v>
      </c>
      <c r="H305" s="245"/>
    </row>
    <row r="306" spans="2:8" ht="18.75" customHeight="1" x14ac:dyDescent="0.35">
      <c r="B306" s="597" t="s">
        <v>3042</v>
      </c>
      <c r="F306" s="597">
        <f>1/kW_to_mBTU_per_h</f>
        <v>0.29281042077150271</v>
      </c>
      <c r="H306" s="245"/>
    </row>
    <row r="307" spans="2:8" ht="18.75" customHeight="1" x14ac:dyDescent="0.35">
      <c r="B307" s="237" t="s">
        <v>2896</v>
      </c>
      <c r="F307" s="237">
        <f>1/kW_to_mmBTU_per_h</f>
        <v>292.81042077150272</v>
      </c>
      <c r="H307" s="245"/>
    </row>
    <row r="308" spans="2:8" ht="18.75" customHeight="1" x14ac:dyDescent="0.35">
      <c r="B308" s="597" t="s">
        <v>2448</v>
      </c>
      <c r="F308" s="597">
        <f>1/kW_to_GJ_per_h</f>
        <v>277.77777777777777</v>
      </c>
      <c r="H308" s="245"/>
    </row>
    <row r="309" spans="2:8" ht="18.75" customHeight="1" x14ac:dyDescent="0.35">
      <c r="B309" s="237" t="s">
        <v>2874</v>
      </c>
      <c r="F309" s="237">
        <f>1/kW_to_kW</f>
        <v>1</v>
      </c>
      <c r="H309" s="245"/>
    </row>
    <row r="310" spans="2:8" ht="18.75" customHeight="1" x14ac:dyDescent="0.35">
      <c r="B310" s="597" t="s">
        <v>3041</v>
      </c>
      <c r="F310" s="597" cm="1">
        <f t="array" ref="F310">1/kW_to_MW</f>
        <v>1000</v>
      </c>
      <c r="H310" s="245"/>
    </row>
    <row r="311" spans="2:8" ht="18.75" customHeight="1" x14ac:dyDescent="0.35">
      <c r="H311" s="245"/>
    </row>
    <row r="312" spans="2:8" ht="18.75" customHeight="1" x14ac:dyDescent="0.35">
      <c r="B312" s="102" t="str">
        <f ca="1">'Translation Table'!H2755</f>
        <v>Internal Calculation Units of Measure:</v>
      </c>
      <c r="H312" s="245"/>
    </row>
    <row r="313" spans="2:8" ht="18.75" customHeight="1" x14ac:dyDescent="0.35">
      <c r="B313" s="297" t="str">
        <f>'Translation Table'!I2806</f>
        <v>- Heater or Boiler Output Power Rating: kW</v>
      </c>
      <c r="H313" s="245"/>
    </row>
    <row r="314" spans="2:8" ht="18.75" customHeight="1" x14ac:dyDescent="0.35">
      <c r="B314" s="297"/>
      <c r="H314" s="245"/>
    </row>
    <row r="315" spans="2:8" ht="18.75" customHeight="1" x14ac:dyDescent="0.35">
      <c r="B315" s="297"/>
      <c r="H315" s="245"/>
    </row>
    <row r="316" spans="2:8" ht="24.75" customHeight="1" x14ac:dyDescent="0.35">
      <c r="B316" s="1125" t="str">
        <f>'Translation Table'!I2807</f>
        <v>Units of Measure Lookup Table for Engine Output Power Rating</v>
      </c>
      <c r="C316" s="1126"/>
      <c r="D316" s="1126"/>
      <c r="F316" s="1127" t="str">
        <f>'Translation Table'!I2809</f>
        <v>Heater &amp; Boiler Output Power Rating (Conversion Factors)</v>
      </c>
      <c r="G316" s="1126"/>
      <c r="H316" s="1126"/>
    </row>
    <row r="317" spans="2:8" ht="18.75" customHeight="1" x14ac:dyDescent="0.35">
      <c r="B317" s="297"/>
      <c r="H317" s="245"/>
    </row>
    <row r="318" spans="2:8" ht="18.75" customHeight="1" x14ac:dyDescent="0.35">
      <c r="B318" s="588" t="str">
        <f>'Translation Table'!I2808</f>
        <v>Engine Output Power Rating  (Input Unit of Measure)</v>
      </c>
      <c r="F318" s="588" t="s">
        <v>3186</v>
      </c>
      <c r="H318" s="245"/>
    </row>
    <row r="319" spans="2:8" ht="18.75" customHeight="1" x14ac:dyDescent="0.35">
      <c r="B319" s="592" t="s">
        <v>2892</v>
      </c>
      <c r="F319" s="592">
        <f>1/kW_to_HP</f>
        <v>0.74569992140322827</v>
      </c>
      <c r="H319" s="245"/>
    </row>
    <row r="320" spans="2:8" ht="18.75" customHeight="1" x14ac:dyDescent="0.35">
      <c r="B320" s="237" t="s">
        <v>2874</v>
      </c>
      <c r="F320" s="237">
        <f>1/kW_to_kW</f>
        <v>1</v>
      </c>
      <c r="H320" s="245"/>
    </row>
    <row r="321" spans="2:8" ht="18.75" customHeight="1" x14ac:dyDescent="0.35">
      <c r="B321" s="592" t="s">
        <v>3041</v>
      </c>
      <c r="F321" s="592" cm="1">
        <f t="array" ref="F321">1/kW_to_MW</f>
        <v>1000</v>
      </c>
      <c r="H321" s="245"/>
    </row>
    <row r="322" spans="2:8" ht="18.75" customHeight="1" x14ac:dyDescent="0.35">
      <c r="H322" s="245"/>
    </row>
    <row r="323" spans="2:8" ht="18.75" customHeight="1" x14ac:dyDescent="0.35">
      <c r="B323" s="102" t="str">
        <f ca="1">'Translation Table'!H2755</f>
        <v>Internal Calculation Units of Measure:</v>
      </c>
      <c r="H323" s="245"/>
    </row>
    <row r="324" spans="2:8" ht="18.75" customHeight="1" x14ac:dyDescent="0.35">
      <c r="B324" s="297" t="str">
        <f>'Translation Table'!I2810</f>
        <v>- Engine Output Power Rating: kW</v>
      </c>
      <c r="H324" s="245"/>
    </row>
    <row r="325" spans="2:8" ht="18.75" customHeight="1" x14ac:dyDescent="0.35">
      <c r="B325" s="297"/>
      <c r="H325" s="245"/>
    </row>
    <row r="326" spans="2:8" ht="28.5" customHeight="1" x14ac:dyDescent="0.35">
      <c r="B326" s="1125" t="str">
        <f>'Translation Table'!I2811</f>
        <v>Emitted Substance Types</v>
      </c>
      <c r="C326" s="1126"/>
      <c r="D326" s="1126"/>
      <c r="H326" s="245"/>
    </row>
    <row r="327" spans="2:8" ht="18.75" customHeight="1" x14ac:dyDescent="0.35">
      <c r="B327" s="297"/>
      <c r="H327" s="245"/>
    </row>
    <row r="328" spans="2:8" ht="18.75" customHeight="1" x14ac:dyDescent="0.35">
      <c r="B328" s="588" t="str">
        <f>'Translation Table'!I2812</f>
        <v>Emitted Substance</v>
      </c>
      <c r="H328" s="245"/>
    </row>
    <row r="329" spans="2:8" ht="18.75" customHeight="1" x14ac:dyDescent="0.35">
      <c r="B329" s="592" t="s">
        <v>260</v>
      </c>
      <c r="H329" s="245"/>
    </row>
    <row r="330" spans="2:8" ht="18.75" customHeight="1" x14ac:dyDescent="0.35">
      <c r="B330" s="237" t="s">
        <v>59</v>
      </c>
      <c r="H330" s="245"/>
    </row>
    <row r="331" spans="2:8" ht="18.75" customHeight="1" x14ac:dyDescent="0.35">
      <c r="B331" s="592"/>
      <c r="H331" s="245"/>
    </row>
    <row r="332" spans="2:8" ht="18.75" customHeight="1" x14ac:dyDescent="0.35">
      <c r="H332" s="245"/>
    </row>
    <row r="333" spans="2:8" ht="18.75" customHeight="1" x14ac:dyDescent="0.35">
      <c r="B333" s="102" t="str">
        <f ca="1">'Translation Table'!H2755</f>
        <v>Internal Calculation Units of Measure:</v>
      </c>
      <c r="H333" s="245"/>
    </row>
    <row r="334" spans="2:8" ht="18.75" customHeight="1" x14ac:dyDescent="0.35">
      <c r="B334" s="297" t="str">
        <f>'Translation Table'!I2810</f>
        <v>- Engine Output Power Rating: kW</v>
      </c>
      <c r="H334" s="245"/>
    </row>
    <row r="335" spans="2:8" ht="18.75" customHeight="1" x14ac:dyDescent="0.35">
      <c r="B335" s="297"/>
      <c r="H335" s="245"/>
    </row>
    <row r="336" spans="2:8" ht="18.75" customHeight="1" x14ac:dyDescent="0.35">
      <c r="B336" s="297"/>
      <c r="H336" s="245"/>
    </row>
    <row r="337" spans="2:17" ht="18.75" customHeight="1" x14ac:dyDescent="0.35">
      <c r="B337" s="297"/>
      <c r="H337" s="245"/>
    </row>
    <row r="338" spans="2:17" ht="24" customHeight="1" x14ac:dyDescent="0.35">
      <c r="B338" s="589" t="str">
        <f ca="1">'Translation Table'!H2814</f>
        <v>Error Messages</v>
      </c>
    </row>
    <row r="340" spans="2:17" ht="18.75" customHeight="1" x14ac:dyDescent="0.35">
      <c r="B340" s="585" t="str">
        <f ca="1">'Translation Table'!H2815</f>
        <v>Error Code</v>
      </c>
      <c r="C340" s="585" t="str">
        <f ca="1">'Translation Table'!H2816</f>
        <v>Error Message (Active)</v>
      </c>
      <c r="D340" s="275" t="str">
        <f>'Translation Table'!I2817 &amp; ""</f>
        <v>Error Message</v>
      </c>
      <c r="E340" s="275" t="str">
        <f>'Translation Table'!J2817 &amp; ""</f>
        <v>错误信息</v>
      </c>
      <c r="F340" s="276" t="str">
        <f>'Translation Table'!K2817 &amp; ""</f>
        <v>Mensaje de Error</v>
      </c>
      <c r="G340" s="257" t="str">
        <f>'Translation Table'!L2817 &amp; ""</f>
        <v/>
      </c>
      <c r="H340" s="257" t="str">
        <f>'Translation Table'!M2817 &amp; ""</f>
        <v/>
      </c>
      <c r="I340" s="257" t="str">
        <f>'Translation Table'!N2817 &amp; ""</f>
        <v/>
      </c>
      <c r="K340" s="257" t="str">
        <f>'Translation Table'!O2817 &amp; ""</f>
        <v/>
      </c>
      <c r="L340" s="257" t="str">
        <f>'Translation Table'!P2817 &amp; ""</f>
        <v/>
      </c>
      <c r="M340" s="257" t="str">
        <f>'Translation Table'!Q2817 &amp; ""</f>
        <v/>
      </c>
      <c r="N340" s="257" t="str">
        <f>'Translation Table'!R2817 &amp; ""</f>
        <v/>
      </c>
      <c r="O340" s="257" t="str">
        <f>'Translation Table'!S2817 &amp; ""</f>
        <v/>
      </c>
      <c r="P340" s="257" t="str">
        <f>'Translation Table'!T2817 &amp; ""</f>
        <v/>
      </c>
      <c r="Q340" s="257" t="str">
        <f>'Translation Table'!U2817 &amp; ""</f>
        <v/>
      </c>
    </row>
    <row r="341" spans="2:17" ht="18.75" customHeight="1" x14ac:dyDescent="0.35">
      <c r="B341" s="592" t="s">
        <v>657</v>
      </c>
      <c r="C341" s="596" t="str">
        <f ca="1">INDIRECT(CHAR(64+'Translation Table'!$D$1-5)&amp;ROW())</f>
        <v>Error: This field must be completed.</v>
      </c>
      <c r="D341" s="596" t="str">
        <f>'Translation Table'!I2818</f>
        <v>Error: This field must be completed.</v>
      </c>
      <c r="E341" s="596" t="str">
        <f>IF(ISBLANK($D341),"",'Translation Table'!J2818 &amp; "")</f>
        <v>错误：必须填写此字段.</v>
      </c>
      <c r="F341" s="596" t="str">
        <f>IF(ISBLANK($D341),"",'Translation Table'!K2818 &amp; "")</f>
        <v>Error: Este campo debe ser completado.</v>
      </c>
      <c r="G341" s="278" t="str">
        <f>IF(ISBLANK($D341),"",'Translation Table'!L2818 &amp; "")</f>
        <v/>
      </c>
      <c r="H341" s="278" t="str">
        <f>IF(ISBLANK($D341),"",'Translation Table'!M2818 &amp; "")</f>
        <v/>
      </c>
      <c r="I341" s="278" t="str">
        <f>IF(ISBLANK($D341),"",'Translation Table'!N2818 &amp; "")</f>
        <v/>
      </c>
      <c r="J341" s="278"/>
      <c r="K341" s="278" t="str">
        <f>IF(ISBLANK($D341),"",'Translation Table'!O2818 &amp; "")</f>
        <v/>
      </c>
      <c r="L341" s="278" t="str">
        <f>IF(ISBLANK($D341),"",'Translation Table'!P2818 &amp; "")</f>
        <v/>
      </c>
      <c r="M341" s="278" t="str">
        <f>IF(ISBLANK($D341),"",'Translation Table'!Q2818 &amp; "")</f>
        <v/>
      </c>
      <c r="N341" s="278" t="str">
        <f>IF(ISBLANK($D341),"",'Translation Table'!R2818 &amp; "")</f>
        <v/>
      </c>
      <c r="O341" s="278" t="str">
        <f>IF(ISBLANK($D341),"",'Translation Table'!S2818 &amp; "")</f>
        <v/>
      </c>
      <c r="P341" s="278" t="str">
        <f>IF(ISBLANK($D341),"",'Translation Table'!T2818 &amp; "")</f>
        <v/>
      </c>
      <c r="Q341" s="278" t="str">
        <f>IF(ISBLANK($D341),"",'Translation Table'!U2818 &amp; "")</f>
        <v/>
      </c>
    </row>
    <row r="342" spans="2:17" ht="18.75" customHeight="1" x14ac:dyDescent="0.35">
      <c r="B342" s="237" t="s">
        <v>658</v>
      </c>
      <c r="C342" s="279" t="str">
        <f ca="1">INDIRECT(CHAR(64+'Translation Table'!$D$1-5)&amp;ROW())</f>
        <v>Error: The source of the input value needs to be set in Column G.</v>
      </c>
      <c r="D342" s="279" t="str">
        <f>'Translation Table'!I2819</f>
        <v>Error: The source of the input value needs to be set in Column G.</v>
      </c>
      <c r="E342" s="279" t="str">
        <f>IF(ISBLANK($D342),"",'Translation Table'!J2819 &amp; "")</f>
        <v>错误：需要在 G 列设置输入值的来源.</v>
      </c>
      <c r="F342" s="279" t="str">
        <f>IF(ISBLANK($D342),"",'Translation Table'!K2819 &amp; "")</f>
        <v>Error: la fuente del valor de entrada debe establecerse en la columna G.</v>
      </c>
      <c r="G342" s="278" t="str">
        <f>IF(ISBLANK($D342),"",'Translation Table'!L2819 &amp; "")</f>
        <v/>
      </c>
      <c r="H342" s="278" t="str">
        <f>IF(ISBLANK($D342),"",'Translation Table'!M2819 &amp; "")</f>
        <v/>
      </c>
      <c r="I342" s="278" t="str">
        <f>IF(ISBLANK($D342),"",'Translation Table'!N2819 &amp; "")</f>
        <v/>
      </c>
      <c r="J342" s="278"/>
      <c r="K342" s="278" t="str">
        <f>IF(ISBLANK($D342),"",'Translation Table'!O2819 &amp; "")</f>
        <v/>
      </c>
      <c r="L342" s="278" t="str">
        <f>IF(ISBLANK($D342),"",'Translation Table'!P2819 &amp; "")</f>
        <v/>
      </c>
      <c r="M342" s="278" t="str">
        <f>IF(ISBLANK($D342),"",'Translation Table'!Q2819 &amp; "")</f>
        <v/>
      </c>
      <c r="N342" s="278" t="str">
        <f>IF(ISBLANK($D342),"",'Translation Table'!R2819 &amp; "")</f>
        <v/>
      </c>
      <c r="O342" s="278" t="str">
        <f>IF(ISBLANK($D342),"",'Translation Table'!S2819 &amp; "")</f>
        <v/>
      </c>
      <c r="P342" s="278" t="str">
        <f>IF(ISBLANK($D342),"",'Translation Table'!T2819 &amp; "")</f>
        <v/>
      </c>
      <c r="Q342" s="278" t="str">
        <f>IF(ISBLANK($D342),"",'Translation Table'!U2819 &amp; "")</f>
        <v/>
      </c>
    </row>
    <row r="343" spans="2:17" ht="18.75" customHeight="1" x14ac:dyDescent="0.35">
      <c r="B343" s="592" t="s">
        <v>659</v>
      </c>
      <c r="C343" s="596" t="str">
        <f ca="1">INDIRECT(CHAR(64+'Translation Table'!$D$1-5)&amp;ROW())</f>
        <v>Error: Either the Type or Source-of-Value field needs to be completed.</v>
      </c>
      <c r="D343" s="596" t="str">
        <f>'Translation Table'!I2820</f>
        <v>Error: Either the Type or Source-of-Value field needs to be completed.</v>
      </c>
      <c r="E343" s="596" t="str">
        <f>IF(ISBLANK($D343),"",'Translation Table'!J2820 &amp; "")</f>
        <v>错误：需要填写类型或值源字段.</v>
      </c>
      <c r="F343" s="596" t="str">
        <f>IF(ISBLANK($D343),"",'Translation Table'!K2820 &amp; "")</f>
        <v>Error: se debe completar el campo Tipo o Fuente de valor.</v>
      </c>
      <c r="G343" s="278" t="str">
        <f>IF(ISBLANK($D343),"",'Translation Table'!L2820 &amp; "")</f>
        <v/>
      </c>
      <c r="H343" s="278" t="str">
        <f>IF(ISBLANK($D343),"",'Translation Table'!M2820 &amp; "")</f>
        <v/>
      </c>
      <c r="I343" s="278" t="str">
        <f>IF(ISBLANK($D343),"",'Translation Table'!N2820 &amp; "")</f>
        <v/>
      </c>
      <c r="J343" s="278"/>
      <c r="K343" s="278" t="str">
        <f>IF(ISBLANK($D343),"",'Translation Table'!O2820 &amp; "")</f>
        <v/>
      </c>
      <c r="L343" s="278" t="str">
        <f>IF(ISBLANK($D343),"",'Translation Table'!P2820 &amp; "")</f>
        <v/>
      </c>
      <c r="M343" s="278" t="str">
        <f>IF(ISBLANK($D343),"",'Translation Table'!Q2820 &amp; "")</f>
        <v/>
      </c>
      <c r="N343" s="278" t="str">
        <f>IF(ISBLANK($D343),"",'Translation Table'!R2820 &amp; "")</f>
        <v/>
      </c>
      <c r="O343" s="278" t="str">
        <f>IF(ISBLANK($D343),"",'Translation Table'!S2820 &amp; "")</f>
        <v/>
      </c>
      <c r="P343" s="278" t="str">
        <f>IF(ISBLANK($D343),"",'Translation Table'!T2820 &amp; "")</f>
        <v/>
      </c>
      <c r="Q343" s="278" t="str">
        <f>IF(ISBLANK($D343),"",'Translation Table'!U2820 &amp; "")</f>
        <v/>
      </c>
    </row>
    <row r="344" spans="2:17" ht="18.75" customHeight="1" x14ac:dyDescent="0.35">
      <c r="B344" s="237" t="s">
        <v>660</v>
      </c>
      <c r="C344" s="279" t="str">
        <f ca="1">INDIRECT(CHAR(64+'Translation Table'!$D$1-5)&amp;ROW())</f>
        <v>Error: Invalid or undefined process type for the specified industry segment.</v>
      </c>
      <c r="D344" s="279" t="str">
        <f>'Translation Table'!I2821</f>
        <v>Error: Invalid or undefined process type for the specified industry segment.</v>
      </c>
      <c r="E344" s="279" t="str">
        <f>IF(ISBLANK($D344),"",'Translation Table'!J2821 &amp; "")</f>
        <v>错误：指定行业细分的流程类型无效或未定义.</v>
      </c>
      <c r="F344" s="279" t="str">
        <f>IF(ISBLANK($D344),"",'Translation Table'!K2821 &amp; "")</f>
        <v>Error: tipo de proceso inválido o indefinido para el segmento de industria especificado.</v>
      </c>
      <c r="G344" s="278" t="str">
        <f>IF(ISBLANK($D344),"",'Translation Table'!L2821 &amp; "")</f>
        <v/>
      </c>
      <c r="H344" s="278" t="str">
        <f>IF(ISBLANK($D344),"",'Translation Table'!M2821 &amp; "")</f>
        <v/>
      </c>
      <c r="I344" s="278" t="str">
        <f>IF(ISBLANK($D344),"",'Translation Table'!N2821 &amp; "")</f>
        <v/>
      </c>
      <c r="J344" s="278"/>
      <c r="K344" s="278" t="str">
        <f>IF(ISBLANK($D344),"",'Translation Table'!O2821 &amp; "")</f>
        <v/>
      </c>
      <c r="L344" s="278" t="str">
        <f>IF(ISBLANK($D344),"",'Translation Table'!P2821 &amp; "")</f>
        <v/>
      </c>
      <c r="M344" s="278" t="str">
        <f>IF(ISBLANK($D344),"",'Translation Table'!Q2821 &amp; "")</f>
        <v/>
      </c>
      <c r="N344" s="278" t="str">
        <f>IF(ISBLANK($D344),"",'Translation Table'!R2821 &amp; "")</f>
        <v/>
      </c>
      <c r="O344" s="278" t="str">
        <f>IF(ISBLANK($D344),"",'Translation Table'!S2821 &amp; "")</f>
        <v/>
      </c>
      <c r="P344" s="278" t="str">
        <f>IF(ISBLANK($D344),"",'Translation Table'!T2821 &amp; "")</f>
        <v/>
      </c>
      <c r="Q344" s="278" t="str">
        <f>IF(ISBLANK($D344),"",'Translation Table'!U2821 &amp; "")</f>
        <v/>
      </c>
    </row>
    <row r="345" spans="2:17" ht="18.75" customHeight="1" x14ac:dyDescent="0.35">
      <c r="B345" s="592" t="s">
        <v>661</v>
      </c>
      <c r="C345" s="596" t="str">
        <f ca="1">INDIRECT(CHAR(64+'Translation Table'!$D$1-5)&amp;ROW())</f>
        <v>Error: The sum of the entered values must not exceed 100%.</v>
      </c>
      <c r="D345" s="596" t="str">
        <f>'Translation Table'!I2822</f>
        <v>Error: The sum of the entered values must not exceed 100%.</v>
      </c>
      <c r="E345" s="596" t="str">
        <f>IF(ISBLANK($D345),"",'Translation Table'!J2822 &amp; "")</f>
        <v>错误：输入值的总和不得超过 100%.</v>
      </c>
      <c r="F345" s="596" t="str">
        <f>IF(ISBLANK($D345),"",'Translation Table'!K2822 &amp; "")</f>
        <v>Error: la suma de los valores ingresados no debe exceder el 100%.</v>
      </c>
      <c r="G345" s="278" t="str">
        <f>IF(ISBLANK($D345),"",'Translation Table'!L2822 &amp; "")</f>
        <v/>
      </c>
      <c r="H345" s="278" t="str">
        <f>IF(ISBLANK($D345),"",'Translation Table'!M2822 &amp; "")</f>
        <v/>
      </c>
      <c r="I345" s="278" t="str">
        <f>IF(ISBLANK($D345),"",'Translation Table'!N2822 &amp; "")</f>
        <v/>
      </c>
      <c r="J345" s="278"/>
      <c r="K345" s="278" t="str">
        <f>IF(ISBLANK($D345),"",'Translation Table'!O2822 &amp; "")</f>
        <v/>
      </c>
      <c r="L345" s="278" t="str">
        <f>IF(ISBLANK($D345),"",'Translation Table'!P2822 &amp; "")</f>
        <v/>
      </c>
      <c r="M345" s="278" t="str">
        <f>IF(ISBLANK($D345),"",'Translation Table'!Q2822 &amp; "")</f>
        <v/>
      </c>
      <c r="N345" s="278" t="str">
        <f>IF(ISBLANK($D345),"",'Translation Table'!R2822 &amp; "")</f>
        <v/>
      </c>
      <c r="O345" s="278" t="str">
        <f>IF(ISBLANK($D345),"",'Translation Table'!S2822 &amp; "")</f>
        <v/>
      </c>
      <c r="P345" s="278" t="str">
        <f>IF(ISBLANK($D345),"",'Translation Table'!T2822 &amp; "")</f>
        <v/>
      </c>
      <c r="Q345" s="278" t="str">
        <f>IF(ISBLANK($D345),"",'Translation Table'!U2822 &amp; "")</f>
        <v/>
      </c>
    </row>
    <row r="346" spans="2:17" ht="18.75" customHeight="1" x14ac:dyDescent="0.35">
      <c r="B346" s="237" t="s">
        <v>662</v>
      </c>
      <c r="C346" s="279" t="str">
        <f ca="1">INDIRECT(CHAR(64+'Translation Table'!$D$1-5)&amp;ROW())</f>
        <v>Error: The source of the composition values needs to be set.</v>
      </c>
      <c r="D346" s="279" t="str">
        <f>'Translation Table'!I2823</f>
        <v>Error: The source of the composition values needs to be set.</v>
      </c>
      <c r="E346" s="279" t="str">
        <f>IF(ISBLANK($D346),"",'Translation Table'!J2823 &amp; "")</f>
        <v>错误：需要设置合成值的来源.</v>
      </c>
      <c r="F346" s="279" t="str">
        <f>IF(ISBLANK($D346),"",'Translation Table'!K2823 &amp; "")</f>
        <v>Error: es necesario establecer la fuente de los valores de composición.</v>
      </c>
      <c r="G346" s="278" t="str">
        <f>IF(ISBLANK($D346),"",'Translation Table'!L2823 &amp; "")</f>
        <v/>
      </c>
      <c r="H346" s="278" t="str">
        <f>IF(ISBLANK($D346),"",'Translation Table'!M2823 &amp; "")</f>
        <v/>
      </c>
      <c r="I346" s="278" t="str">
        <f>IF(ISBLANK($D346),"",'Translation Table'!N2823 &amp; "")</f>
        <v/>
      </c>
      <c r="J346" s="278"/>
      <c r="K346" s="278" t="str">
        <f>IF(ISBLANK($D346),"",'Translation Table'!O2823 &amp; "")</f>
        <v/>
      </c>
      <c r="L346" s="278" t="str">
        <f>IF(ISBLANK($D346),"",'Translation Table'!P2823 &amp; "")</f>
        <v/>
      </c>
      <c r="M346" s="278" t="str">
        <f>IF(ISBLANK($D346),"",'Translation Table'!Q2823 &amp; "")</f>
        <v/>
      </c>
      <c r="N346" s="278" t="str">
        <f>IF(ISBLANK($D346),"",'Translation Table'!R2823 &amp; "")</f>
        <v/>
      </c>
      <c r="O346" s="278" t="str">
        <f>IF(ISBLANK($D346),"",'Translation Table'!S2823 &amp; "")</f>
        <v/>
      </c>
      <c r="P346" s="278" t="str">
        <f>IF(ISBLANK($D346),"",'Translation Table'!T2823 &amp; "")</f>
        <v/>
      </c>
      <c r="Q346" s="278" t="str">
        <f>IF(ISBLANK($D346),"",'Translation Table'!U2823 &amp; "")</f>
        <v/>
      </c>
    </row>
    <row r="347" spans="2:17" ht="18.75" customHeight="1" x14ac:dyDescent="0.35">
      <c r="B347" s="592" t="s">
        <v>663</v>
      </c>
      <c r="C347" s="596" t="str">
        <f ca="1">INDIRECT(CHAR(64+'Translation Table'!$D$1-5)&amp;ROW())</f>
        <v>Error: The emission calculation for this source category contains an error.</v>
      </c>
      <c r="D347" s="596" t="str">
        <f>'Translation Table'!I2824</f>
        <v>Error: The emission calculation for this source category contains an error.</v>
      </c>
      <c r="E347" s="596" t="str">
        <f>IF(ISBLANK($D347),"",'Translation Table'!J2824 &amp; "")</f>
        <v>Error: The emission calculation for this source category contains an error.</v>
      </c>
      <c r="F347" s="596" t="str">
        <f>IF(ISBLANK($D347),"",'Translation Table'!K2824 &amp; "")</f>
        <v>Error: The emission calculation for this source category contains an error.</v>
      </c>
      <c r="G347" s="278" t="str">
        <f>IF(ISBLANK($D347),"",'Translation Table'!L2942 &amp; "")</f>
        <v/>
      </c>
      <c r="H347" s="278" t="str">
        <f>IF(ISBLANK($D347),"",'Translation Table'!M2942 &amp; "")</f>
        <v/>
      </c>
      <c r="I347" s="278" t="str">
        <f>IF(ISBLANK($D347),"",'Translation Table'!N2942 &amp; "")</f>
        <v/>
      </c>
      <c r="J347" s="278"/>
      <c r="K347" s="278" t="str">
        <f>IF(ISBLANK($D347),"",'Translation Table'!O2942 &amp; "")</f>
        <v/>
      </c>
      <c r="L347" s="278" t="str">
        <f>IF(ISBLANK($D347),"",'Translation Table'!P2942 &amp; "")</f>
        <v/>
      </c>
      <c r="M347" s="278" t="str">
        <f>IF(ISBLANK($D347),"",'Translation Table'!Q2942 &amp; "")</f>
        <v/>
      </c>
      <c r="N347" s="278" t="str">
        <f>IF(ISBLANK($D347),"",'Translation Table'!R2942 &amp; "")</f>
        <v/>
      </c>
      <c r="O347" s="278" t="str">
        <f>IF(ISBLANK($D347),"",'Translation Table'!S2942 &amp; "")</f>
        <v/>
      </c>
      <c r="P347" s="278" t="str">
        <f>IF(ISBLANK($D347),"",'Translation Table'!T2942 &amp; "")</f>
        <v/>
      </c>
      <c r="Q347" s="278" t="str">
        <f>IF(ISBLANK($D347),"",'Translation Table'!U2942 &amp; "")</f>
        <v/>
      </c>
    </row>
    <row r="348" spans="2:17" ht="18.75" customHeight="1" x14ac:dyDescent="0.35">
      <c r="B348" s="237" t="s">
        <v>664</v>
      </c>
      <c r="C348" s="279" t="str">
        <f ca="1">INDIRECT(CHAR(64+'Translation Table'!$D$1-5)&amp;ROW())</f>
        <v>Error: The quantity of the specified source needs to be declared (Field B).</v>
      </c>
      <c r="D348" s="279" t="str">
        <f>'Translation Table'!I2825</f>
        <v>Error: The quantity of the specified source needs to be declared (Field B).</v>
      </c>
      <c r="E348" s="279" t="str">
        <f>IF(ISBLANK($D348),"",'Translation Table'!J2825 &amp; "")</f>
        <v>Error: The quantity of the specified source needs to be declared (Field B).</v>
      </c>
      <c r="F348" s="279" t="str">
        <f>IF(ISBLANK($D348),"",'Translation Table'!K2825 &amp; "")</f>
        <v>Error: The quantity of the specified source needs to be declared (Field B).</v>
      </c>
      <c r="G348" s="278" t="str">
        <f>IF(ISBLANK($D348),"",'Translation Table'!L2943 &amp; "")</f>
        <v/>
      </c>
      <c r="H348" s="278" t="str">
        <f>IF(ISBLANK($D348),"",'Translation Table'!M2943 &amp; "")</f>
        <v/>
      </c>
      <c r="I348" s="278" t="str">
        <f>IF(ISBLANK($D348),"",'Translation Table'!N2943 &amp; "")</f>
        <v/>
      </c>
      <c r="J348" s="278"/>
      <c r="K348" s="278" t="str">
        <f>IF(ISBLANK($D348),"",'Translation Table'!O2943 &amp; "")</f>
        <v/>
      </c>
      <c r="L348" s="278" t="str">
        <f>IF(ISBLANK($D348),"",'Translation Table'!P2943 &amp; "")</f>
        <v/>
      </c>
      <c r="M348" s="278" t="str">
        <f>IF(ISBLANK($D348),"",'Translation Table'!Q2943 &amp; "")</f>
        <v/>
      </c>
      <c r="N348" s="278" t="str">
        <f>IF(ISBLANK($D348),"",'Translation Table'!R2943 &amp; "")</f>
        <v/>
      </c>
      <c r="O348" s="278" t="str">
        <f>IF(ISBLANK($D348),"",'Translation Table'!S2943 &amp; "")</f>
        <v/>
      </c>
      <c r="P348" s="278" t="str">
        <f>IF(ISBLANK($D348),"",'Translation Table'!T2943 &amp; "")</f>
        <v/>
      </c>
      <c r="Q348" s="278" t="str">
        <f>IF(ISBLANK($D348),"",'Translation Table'!U2943 &amp; "")</f>
        <v/>
      </c>
    </row>
    <row r="349" spans="2:17" ht="18.75" customHeight="1" x14ac:dyDescent="0.35">
      <c r="B349" s="592" t="s">
        <v>665</v>
      </c>
      <c r="C349" s="596" t="str">
        <f ca="1">INDIRECT(CHAR(64+'Translation Table'!$D$1-5)&amp;ROW())</f>
        <v>Error: A fuel type has been declared in Field D. The fuel subtype also needs to be declared in Field E.</v>
      </c>
      <c r="D349" s="596" t="str">
        <f>'Translation Table'!I2826</f>
        <v>Error: A fuel type has been declared in Field D. The fuel subtype also needs to be declared in Field E.</v>
      </c>
      <c r="E349" s="596" t="str">
        <f>IF(ISBLANK($D349),"",'Translation Table'!J2826 &amp; "")</f>
        <v>Error: A fuel type has been declared in Field D. The fuel subtype also needs to be declared in Field E.</v>
      </c>
      <c r="F349" s="596" t="str">
        <f>IF(ISBLANK($D349),"",'Translation Table'!K2826 &amp; "")</f>
        <v>Error: A fuel type has been declared in Field D. The fuel subtype also needs to be declared in Field E.</v>
      </c>
      <c r="G349" s="278" t="str">
        <f>IF(ISBLANK($D349),"",'Translation Table'!L2944 &amp; "")</f>
        <v/>
      </c>
      <c r="H349" s="278" t="str">
        <f>IF(ISBLANK($D349),"",'Translation Table'!M2944 &amp; "")</f>
        <v/>
      </c>
      <c r="I349" s="278" t="str">
        <f>IF(ISBLANK($D349),"",'Translation Table'!N2944 &amp; "")</f>
        <v/>
      </c>
      <c r="J349" s="278"/>
      <c r="K349" s="278" t="str">
        <f>IF(ISBLANK($D349),"",'Translation Table'!O2944 &amp; "")</f>
        <v/>
      </c>
      <c r="L349" s="278" t="str">
        <f>IF(ISBLANK($D349),"",'Translation Table'!P2944 &amp; "")</f>
        <v/>
      </c>
      <c r="M349" s="278" t="str">
        <f>IF(ISBLANK($D349),"",'Translation Table'!Q2944 &amp; "")</f>
        <v/>
      </c>
      <c r="N349" s="278" t="str">
        <f>IF(ISBLANK($D349),"",'Translation Table'!R2944 &amp; "")</f>
        <v/>
      </c>
      <c r="O349" s="278" t="str">
        <f>IF(ISBLANK($D349),"",'Translation Table'!S2944 &amp; "")</f>
        <v/>
      </c>
      <c r="P349" s="278" t="str">
        <f>IF(ISBLANK($D349),"",'Translation Table'!T2944 &amp; "")</f>
        <v/>
      </c>
      <c r="Q349" s="278" t="str">
        <f>IF(ISBLANK($D349),"",'Translation Table'!U2944 &amp; "")</f>
        <v/>
      </c>
    </row>
    <row r="350" spans="2:17" ht="18.75" customHeight="1" x14ac:dyDescent="0.35">
      <c r="B350" s="237" t="s">
        <v>656</v>
      </c>
      <c r="C350" s="279" t="str">
        <f ca="1">INDIRECT(CHAR(64+'Translation Table'!$D$1-5)&amp;ROW())</f>
        <v>Error: The units of measure (Field I) need to be set.</v>
      </c>
      <c r="D350" s="279" t="str">
        <f>'Translation Table'!I2827</f>
        <v>Error: The units of measure (Field I) need to be set.</v>
      </c>
      <c r="E350" s="279" t="str">
        <f>IF(ISBLANK($D350),"",'Translation Table'!J2827 &amp; "")</f>
        <v>Error: The units of measure (Field I) need to be set.</v>
      </c>
      <c r="F350" s="279" t="str">
        <f>IF(ISBLANK($D350),"",'Translation Table'!K2827 &amp; "")</f>
        <v>Error: The units of measure (Field I) need to be set.</v>
      </c>
      <c r="G350" s="278" t="str">
        <f>IF(ISBLANK($D350),"",'Translation Table'!L2945 &amp; "")</f>
        <v/>
      </c>
      <c r="H350" s="278" t="str">
        <f>IF(ISBLANK($D350),"",'Translation Table'!M2945 &amp; "")</f>
        <v/>
      </c>
      <c r="I350" s="278" t="str">
        <f>IF(ISBLANK($D350),"",'Translation Table'!N2945 &amp; "")</f>
        <v/>
      </c>
      <c r="J350" s="278"/>
      <c r="K350" s="278" t="str">
        <f>IF(ISBLANK($D350),"",'Translation Table'!O2945 &amp; "")</f>
        <v/>
      </c>
      <c r="L350" s="278" t="str">
        <f>IF(ISBLANK($D350),"",'Translation Table'!P2945 &amp; "")</f>
        <v/>
      </c>
      <c r="M350" s="278" t="str">
        <f>IF(ISBLANK($D350),"",'Translation Table'!Q2945 &amp; "")</f>
        <v/>
      </c>
      <c r="N350" s="278" t="str">
        <f>IF(ISBLANK($D350),"",'Translation Table'!R2945 &amp; "")</f>
        <v/>
      </c>
      <c r="O350" s="278" t="str">
        <f>IF(ISBLANK($D350),"",'Translation Table'!S2945 &amp; "")</f>
        <v/>
      </c>
      <c r="P350" s="278" t="str">
        <f>IF(ISBLANK($D350),"",'Translation Table'!T2945 &amp; "")</f>
        <v/>
      </c>
      <c r="Q350" s="278" t="str">
        <f>IF(ISBLANK($D350),"",'Translation Table'!U2945 &amp; "")</f>
        <v/>
      </c>
    </row>
    <row r="351" spans="2:17" ht="18.75" customHeight="1" x14ac:dyDescent="0.35">
      <c r="B351" s="592" t="s">
        <v>3277</v>
      </c>
      <c r="C351" s="596" t="str">
        <f ca="1">INDIRECT(CHAR(64+'Translation Table'!$D$1-5)&amp;ROW())</f>
        <v>Error: The units of measure (Field J) need to be set.</v>
      </c>
      <c r="D351" s="596" t="str">
        <f>'Translation Table'!I2828</f>
        <v>Error: The units of measure (Field J) need to be set.</v>
      </c>
      <c r="E351" s="596" t="str">
        <f>IF(ISBLANK($D351),"",'Translation Table'!J2828 &amp; "")</f>
        <v>Error: The units of measure (Field J) need to be set.</v>
      </c>
      <c r="F351" s="596" t="str">
        <f>IF(ISBLANK($D351),"",'Translation Table'!K2828 &amp; "")</f>
        <v>Error: The units of measure (Field J) need to be set.</v>
      </c>
      <c r="G351" s="278" t="str">
        <f>IF(ISBLANK($D351),"",'Translation Table'!L2946 &amp; "")</f>
        <v/>
      </c>
      <c r="H351" s="278" t="str">
        <f>IF(ISBLANK($D351),"",'Translation Table'!M2946 &amp; "")</f>
        <v/>
      </c>
      <c r="I351" s="278" t="str">
        <f>IF(ISBLANK($D351),"",'Translation Table'!N2946 &amp; "")</f>
        <v/>
      </c>
      <c r="J351" s="278"/>
      <c r="K351" s="278" t="str">
        <f>IF(ISBLANK($D351),"",'Translation Table'!O2946 &amp; "")</f>
        <v/>
      </c>
      <c r="L351" s="278" t="str">
        <f>IF(ISBLANK($D351),"",'Translation Table'!P2946 &amp; "")</f>
        <v/>
      </c>
      <c r="M351" s="278" t="str">
        <f>IF(ISBLANK($D351),"",'Translation Table'!Q2946 &amp; "")</f>
        <v/>
      </c>
      <c r="N351" s="278" t="str">
        <f>IF(ISBLANK($D351),"",'Translation Table'!R2946 &amp; "")</f>
        <v/>
      </c>
      <c r="O351" s="278" t="str">
        <f>IF(ISBLANK($D351),"",'Translation Table'!S2946 &amp; "")</f>
        <v/>
      </c>
      <c r="P351" s="278" t="str">
        <f>IF(ISBLANK($D351),"",'Translation Table'!T2946 &amp; "")</f>
        <v/>
      </c>
      <c r="Q351" s="278" t="str">
        <f>IF(ISBLANK($D351),"",'Translation Table'!U2946 &amp; "")</f>
        <v/>
      </c>
    </row>
    <row r="352" spans="2:17" ht="18.75" customHeight="1" x14ac:dyDescent="0.35">
      <c r="B352" s="237" t="s">
        <v>3293</v>
      </c>
      <c r="C352" s="279" t="str">
        <f ca="1">INDIRECT(CHAR(64+'Translation Table'!$D$1-5)&amp;ROW())</f>
        <v>Error: The fuel type needs to be set to 'Liquid'.</v>
      </c>
      <c r="D352" s="279" t="str">
        <f>'Translation Table'!I2829</f>
        <v>Error: The fuel type needs to be set to 'Liquid'.</v>
      </c>
      <c r="E352" s="279" t="str">
        <f>IF(ISBLANK($D352),"",'Translation Table'!J2829 &amp; "")</f>
        <v>Error: The fuel type needs to be set to 'Liquid'.</v>
      </c>
      <c r="F352" s="279" t="str">
        <f>IF(ISBLANK($D352),"",'Translation Table'!K2829 &amp; "")</f>
        <v>Error: The fuel type needs to be set to 'Liquid'.</v>
      </c>
      <c r="G352" s="278" t="str">
        <f>IF(ISBLANK($D352),"",'Translation Table'!L2947 &amp; "")</f>
        <v/>
      </c>
      <c r="H352" s="278" t="str">
        <f>IF(ISBLANK($D352),"",'Translation Table'!M2947 &amp; "")</f>
        <v/>
      </c>
      <c r="I352" s="278" t="str">
        <f>IF(ISBLANK($D352),"",'Translation Table'!N2947 &amp; "")</f>
        <v/>
      </c>
      <c r="J352" s="278"/>
      <c r="K352" s="278" t="str">
        <f>IF(ISBLANK($D352),"",'Translation Table'!O2947 &amp; "")</f>
        <v/>
      </c>
      <c r="L352" s="278" t="str">
        <f>IF(ISBLANK($D352),"",'Translation Table'!P2947 &amp; "")</f>
        <v/>
      </c>
      <c r="M352" s="278" t="str">
        <f>IF(ISBLANK($D352),"",'Translation Table'!Q2947 &amp; "")</f>
        <v/>
      </c>
      <c r="N352" s="278" t="str">
        <f>IF(ISBLANK($D352),"",'Translation Table'!R2947 &amp; "")</f>
        <v/>
      </c>
      <c r="O352" s="278" t="str">
        <f>IF(ISBLANK($D352),"",'Translation Table'!S2947 &amp; "")</f>
        <v/>
      </c>
      <c r="P352" s="278" t="str">
        <f>IF(ISBLANK($D352),"",'Translation Table'!T2947 &amp; "")</f>
        <v/>
      </c>
      <c r="Q352" s="278" t="str">
        <f>IF(ISBLANK($D352),"",'Translation Table'!U2947 &amp; "")</f>
        <v/>
      </c>
    </row>
    <row r="353" spans="2:17" ht="18.75" customHeight="1" x14ac:dyDescent="0.35">
      <c r="B353" s="592" t="s">
        <v>3294</v>
      </c>
      <c r="C353" s="596" t="str">
        <f ca="1">INDIRECT(CHAR(64+'Translation Table'!$D$1-5)&amp;ROW())</f>
        <v>Error: The fuel type needs to be set to 'Gaseous'.</v>
      </c>
      <c r="D353" s="596" t="str">
        <f>'Translation Table'!I2830</f>
        <v>Error: The fuel type needs to be set to 'Gaseous'.</v>
      </c>
      <c r="E353" s="596" t="str">
        <f>IF(ISBLANK($D353),"",'Translation Table'!J2830 &amp; "")</f>
        <v>Error: The fuel type needs to be set to 'Gaseous'.</v>
      </c>
      <c r="F353" s="596" t="str">
        <f>IF(ISBLANK($D353),"",'Translation Table'!K2830 &amp; "")</f>
        <v>Error: The fuel type needs to be set to 'Gaseous'.</v>
      </c>
      <c r="G353" s="278" t="str">
        <f>IF(ISBLANK($D353),"",'Translation Table'!L2948 &amp; "")</f>
        <v/>
      </c>
      <c r="H353" s="278" t="str">
        <f>IF(ISBLANK($D353),"",'Translation Table'!M2948 &amp; "")</f>
        <v/>
      </c>
      <c r="I353" s="278" t="str">
        <f>IF(ISBLANK($D353),"",'Translation Table'!N2948 &amp; "")</f>
        <v/>
      </c>
      <c r="J353" s="278"/>
      <c r="K353" s="278" t="str">
        <f>IF(ISBLANK($D353),"",'Translation Table'!O2948 &amp; "")</f>
        <v/>
      </c>
      <c r="L353" s="278" t="str">
        <f>IF(ISBLANK($D353),"",'Translation Table'!P2948 &amp; "")</f>
        <v/>
      </c>
      <c r="M353" s="278" t="str">
        <f>IF(ISBLANK($D353),"",'Translation Table'!Q2948 &amp; "")</f>
        <v/>
      </c>
      <c r="N353" s="278" t="str">
        <f>IF(ISBLANK($D353),"",'Translation Table'!R2948 &amp; "")</f>
        <v/>
      </c>
      <c r="O353" s="278" t="str">
        <f>IF(ISBLANK($D353),"",'Translation Table'!S2948 &amp; "")</f>
        <v/>
      </c>
      <c r="P353" s="278" t="str">
        <f>IF(ISBLANK($D353),"",'Translation Table'!T2948 &amp; "")</f>
        <v/>
      </c>
      <c r="Q353" s="278" t="str">
        <f>IF(ISBLANK($D353),"",'Translation Table'!U2948 &amp; "")</f>
        <v/>
      </c>
    </row>
    <row r="354" spans="2:17" ht="18.75" customHeight="1" x14ac:dyDescent="0.35">
      <c r="B354" s="237" t="s">
        <v>3296</v>
      </c>
      <c r="C354" s="596" t="str">
        <f ca="1">INDIRECT(CHAR(64+'Translation Table'!$D$1-5)&amp;ROW())</f>
        <v>Error: The units of measure (Field G) need to be set.</v>
      </c>
      <c r="D354" s="596" t="str">
        <f>'Translation Table'!I2831</f>
        <v>Error: The units of measure (Field G) need to be set.</v>
      </c>
      <c r="E354" s="596" t="str">
        <f>IF(ISBLANK($D354),"",'Translation Table'!J2831 &amp; "")</f>
        <v>Error: The units of measure (Field G) need to be set.</v>
      </c>
      <c r="F354" s="596" t="str">
        <f>IF(ISBLANK($D354),"",'Translation Table'!K2831 &amp; "")</f>
        <v>Error: The units of measure (Field G) need to be set.</v>
      </c>
      <c r="G354" s="278" t="str">
        <f>IF(ISBLANK($D354),"",'Translation Table'!L2949 &amp; "")</f>
        <v/>
      </c>
      <c r="H354" s="278" t="str">
        <f>IF(ISBLANK($D354),"",'Translation Table'!M2949 &amp; "")</f>
        <v/>
      </c>
      <c r="I354" s="278" t="str">
        <f>IF(ISBLANK($D354),"",'Translation Table'!N2949 &amp; "")</f>
        <v/>
      </c>
      <c r="J354" s="278"/>
      <c r="K354" s="278" t="str">
        <f>IF(ISBLANK($D354),"",'Translation Table'!O2949 &amp; "")</f>
        <v/>
      </c>
      <c r="L354" s="278" t="str">
        <f>IF(ISBLANK($D354),"",'Translation Table'!P2949 &amp; "")</f>
        <v/>
      </c>
      <c r="M354" s="278" t="str">
        <f>IF(ISBLANK($D354),"",'Translation Table'!Q2949 &amp; "")</f>
        <v/>
      </c>
      <c r="N354" s="278" t="str">
        <f>IF(ISBLANK($D354),"",'Translation Table'!R2949 &amp; "")</f>
        <v/>
      </c>
      <c r="O354" s="278" t="str">
        <f>IF(ISBLANK($D354),"",'Translation Table'!S2949 &amp; "")</f>
        <v/>
      </c>
      <c r="P354" s="278" t="str">
        <f>IF(ISBLANK($D354),"",'Translation Table'!T2949 &amp; "")</f>
        <v/>
      </c>
      <c r="Q354" s="278" t="str">
        <f>IF(ISBLANK($D354),"",'Translation Table'!U2949 &amp; "")</f>
        <v/>
      </c>
    </row>
    <row r="355" spans="2:17" ht="18.75" customHeight="1" x14ac:dyDescent="0.35">
      <c r="B355" s="592"/>
      <c r="C355" s="596">
        <f ca="1">INDIRECT(CHAR(64+'Translation Table'!$D$1-5)&amp;ROW())</f>
        <v>0</v>
      </c>
      <c r="D355" s="596"/>
      <c r="E355" s="596"/>
      <c r="F355" s="596"/>
      <c r="G355" s="278" t="str">
        <f>IF(ISBLANK($D355),"",'Translation Table'!L2950 &amp; "")</f>
        <v/>
      </c>
      <c r="H355" s="278" t="str">
        <f>IF(ISBLANK($D355),"",'Translation Table'!M2950 &amp; "")</f>
        <v/>
      </c>
      <c r="I355" s="278" t="str">
        <f>IF(ISBLANK($D355),"",'Translation Table'!N2950 &amp; "")</f>
        <v/>
      </c>
      <c r="J355" s="278"/>
      <c r="K355" s="278" t="str">
        <f>IF(ISBLANK($D355),"",'Translation Table'!O2950 &amp; "")</f>
        <v/>
      </c>
      <c r="L355" s="278" t="str">
        <f>IF(ISBLANK($D355),"",'Translation Table'!P2950 &amp; "")</f>
        <v/>
      </c>
      <c r="M355" s="278" t="str">
        <f>IF(ISBLANK($D355),"",'Translation Table'!Q2950 &amp; "")</f>
        <v/>
      </c>
      <c r="N355" s="278" t="str">
        <f>IF(ISBLANK($D355),"",'Translation Table'!R2950 &amp; "")</f>
        <v/>
      </c>
      <c r="O355" s="278" t="str">
        <f>IF(ISBLANK($D355),"",'Translation Table'!S2950 &amp; "")</f>
        <v/>
      </c>
      <c r="P355" s="278" t="str">
        <f>IF(ISBLANK($D355),"",'Translation Table'!T2950 &amp; "")</f>
        <v/>
      </c>
      <c r="Q355" s="278" t="str">
        <f>IF(ISBLANK($D355),"",'Translation Table'!U2950 &amp; "")</f>
        <v/>
      </c>
    </row>
    <row r="356" spans="2:17" ht="18.75" customHeight="1" x14ac:dyDescent="0.35">
      <c r="B356" s="237"/>
      <c r="C356" s="279">
        <f ca="1">INDIRECT(CHAR(64+'Translation Table'!$D$1-5)&amp;ROW())</f>
        <v>0</v>
      </c>
      <c r="D356" s="279"/>
      <c r="E356" s="279"/>
      <c r="F356" s="279"/>
      <c r="G356" s="278" t="str">
        <f>IF(ISBLANK($D356),"",'Translation Table'!L2951 &amp; "")</f>
        <v/>
      </c>
      <c r="H356" s="278" t="str">
        <f>IF(ISBLANK($D356),"",'Translation Table'!M2951 &amp; "")</f>
        <v/>
      </c>
      <c r="I356" s="278" t="str">
        <f>IF(ISBLANK($D356),"",'Translation Table'!N2951 &amp; "")</f>
        <v/>
      </c>
      <c r="J356" s="278"/>
      <c r="K356" s="278" t="str">
        <f>IF(ISBLANK($D356),"",'Translation Table'!O2951 &amp; "")</f>
        <v/>
      </c>
      <c r="L356" s="278" t="str">
        <f>IF(ISBLANK($D356),"",'Translation Table'!P2951 &amp; "")</f>
        <v/>
      </c>
      <c r="M356" s="278" t="str">
        <f>IF(ISBLANK($D356),"",'Translation Table'!Q2951 &amp; "")</f>
        <v/>
      </c>
      <c r="N356" s="278" t="str">
        <f>IF(ISBLANK($D356),"",'Translation Table'!R2951 &amp; "")</f>
        <v/>
      </c>
      <c r="O356" s="278" t="str">
        <f>IF(ISBLANK($D356),"",'Translation Table'!S2951 &amp; "")</f>
        <v/>
      </c>
      <c r="P356" s="278" t="str">
        <f>IF(ISBLANK($D356),"",'Translation Table'!T2951 &amp; "")</f>
        <v/>
      </c>
      <c r="Q356" s="278" t="str">
        <f>IF(ISBLANK($D356),"",'Translation Table'!U2951 &amp; "")</f>
        <v/>
      </c>
    </row>
    <row r="357" spans="2:17" ht="18.75" customHeight="1" x14ac:dyDescent="0.35">
      <c r="B357" s="592"/>
      <c r="C357" s="596">
        <f ca="1">INDIRECT(CHAR(64+'Translation Table'!$D$1-5)&amp;ROW())</f>
        <v>0</v>
      </c>
      <c r="D357" s="596"/>
      <c r="E357" s="596"/>
      <c r="F357" s="596"/>
      <c r="G357" s="278" t="str">
        <f>IF(ISBLANK($D357),"",'Translation Table'!L2952 &amp; "")</f>
        <v/>
      </c>
      <c r="H357" s="278" t="str">
        <f>IF(ISBLANK($D357),"",'Translation Table'!M2952 &amp; "")</f>
        <v/>
      </c>
      <c r="I357" s="278" t="str">
        <f>IF(ISBLANK($D357),"",'Translation Table'!N2952 &amp; "")</f>
        <v/>
      </c>
      <c r="J357" s="278"/>
      <c r="K357" s="278" t="str">
        <f>IF(ISBLANK($D357),"",'Translation Table'!O2952 &amp; "")</f>
        <v/>
      </c>
      <c r="L357" s="278" t="str">
        <f>IF(ISBLANK($D357),"",'Translation Table'!P2952 &amp; "")</f>
        <v/>
      </c>
      <c r="M357" s="278" t="str">
        <f>IF(ISBLANK($D357),"",'Translation Table'!Q2952 &amp; "")</f>
        <v/>
      </c>
      <c r="N357" s="278" t="str">
        <f>IF(ISBLANK($D357),"",'Translation Table'!R2952 &amp; "")</f>
        <v/>
      </c>
      <c r="O357" s="278" t="str">
        <f>IF(ISBLANK($D357),"",'Translation Table'!S2952 &amp; "")</f>
        <v/>
      </c>
      <c r="P357" s="278" t="str">
        <f>IF(ISBLANK($D357),"",'Translation Table'!T2952 &amp; "")</f>
        <v/>
      </c>
      <c r="Q357" s="278" t="str">
        <f>IF(ISBLANK($D357),"",'Translation Table'!U2952 &amp; "")</f>
        <v/>
      </c>
    </row>
    <row r="358" spans="2:17" ht="18.75" customHeight="1" x14ac:dyDescent="0.35">
      <c r="B358" s="237"/>
      <c r="C358" s="279">
        <f ca="1">INDIRECT(CHAR(64+'Translation Table'!$D$1-5)&amp;ROW())</f>
        <v>0</v>
      </c>
      <c r="D358" s="279"/>
      <c r="E358" s="279"/>
      <c r="F358" s="279"/>
      <c r="G358" s="278" t="str">
        <f>IF(ISBLANK($D358),"",'Translation Table'!L2953 &amp; "")</f>
        <v/>
      </c>
      <c r="H358" s="278" t="str">
        <f>IF(ISBLANK($D358),"",'Translation Table'!M2953 &amp; "")</f>
        <v/>
      </c>
      <c r="I358" s="278" t="str">
        <f>IF(ISBLANK($D358),"",'Translation Table'!N2953 &amp; "")</f>
        <v/>
      </c>
      <c r="J358" s="278"/>
      <c r="K358" s="278" t="str">
        <f>IF(ISBLANK($D358),"",'Translation Table'!O2953 &amp; "")</f>
        <v/>
      </c>
      <c r="L358" s="278" t="str">
        <f>IF(ISBLANK($D358),"",'Translation Table'!P2953 &amp; "")</f>
        <v/>
      </c>
      <c r="M358" s="278" t="str">
        <f>IF(ISBLANK($D358),"",'Translation Table'!Q2953 &amp; "")</f>
        <v/>
      </c>
      <c r="N358" s="278" t="str">
        <f>IF(ISBLANK($D358),"",'Translation Table'!R2953 &amp; "")</f>
        <v/>
      </c>
      <c r="O358" s="278" t="str">
        <f>IF(ISBLANK($D358),"",'Translation Table'!S2953 &amp; "")</f>
        <v/>
      </c>
      <c r="P358" s="278" t="str">
        <f>IF(ISBLANK($D358),"",'Translation Table'!T2953 &amp; "")</f>
        <v/>
      </c>
      <c r="Q358" s="278" t="str">
        <f>IF(ISBLANK($D358),"",'Translation Table'!U2953 &amp; "")</f>
        <v/>
      </c>
    </row>
    <row r="359" spans="2:17" ht="18.75" customHeight="1" x14ac:dyDescent="0.35">
      <c r="B359" s="592"/>
      <c r="C359" s="596">
        <f ca="1">INDIRECT(CHAR(64+'Translation Table'!$D$1-5)&amp;ROW())</f>
        <v>0</v>
      </c>
      <c r="D359" s="596"/>
      <c r="E359" s="596"/>
      <c r="F359" s="596"/>
      <c r="G359" s="278" t="str">
        <f>IF(ISBLANK($D359),"",'Translation Table'!L2954 &amp; "")</f>
        <v/>
      </c>
      <c r="H359" s="278" t="str">
        <f>IF(ISBLANK($D359),"",'Translation Table'!M2954 &amp; "")</f>
        <v/>
      </c>
      <c r="I359" s="278" t="str">
        <f>IF(ISBLANK($D359),"",'Translation Table'!N2954 &amp; "")</f>
        <v/>
      </c>
      <c r="J359" s="278"/>
      <c r="K359" s="278" t="str">
        <f>IF(ISBLANK($D359),"",'Translation Table'!O2954 &amp; "")</f>
        <v/>
      </c>
      <c r="L359" s="278" t="str">
        <f>IF(ISBLANK($D359),"",'Translation Table'!P2954 &amp; "")</f>
        <v/>
      </c>
      <c r="M359" s="278" t="str">
        <f>IF(ISBLANK($D359),"",'Translation Table'!Q2954 &amp; "")</f>
        <v/>
      </c>
      <c r="N359" s="278" t="str">
        <f>IF(ISBLANK($D359),"",'Translation Table'!R2954 &amp; "")</f>
        <v/>
      </c>
      <c r="O359" s="278" t="str">
        <f>IF(ISBLANK($D359),"",'Translation Table'!S2954 &amp; "")</f>
        <v/>
      </c>
      <c r="P359" s="278" t="str">
        <f>IF(ISBLANK($D359),"",'Translation Table'!T2954 &amp; "")</f>
        <v/>
      </c>
      <c r="Q359" s="278" t="str">
        <f>IF(ISBLANK($D359),"",'Translation Table'!U2954 &amp; "")</f>
        <v/>
      </c>
    </row>
    <row r="362" spans="2:17" ht="23.25" customHeight="1" x14ac:dyDescent="0.35">
      <c r="B362" s="587" t="s">
        <v>2241</v>
      </c>
    </row>
    <row r="364" spans="2:17" ht="18.75" customHeight="1" x14ac:dyDescent="0.35">
      <c r="B364" s="585" t="s">
        <v>2242</v>
      </c>
      <c r="C364" s="585" t="s">
        <v>2243</v>
      </c>
    </row>
    <row r="365" spans="2:17" ht="35.15" customHeight="1" x14ac:dyDescent="0.35">
      <c r="B365" s="592" t="s">
        <v>2245</v>
      </c>
    </row>
    <row r="366" spans="2:17" ht="35.15" customHeight="1" x14ac:dyDescent="0.35">
      <c r="B366" s="237" t="s">
        <v>1102</v>
      </c>
    </row>
    <row r="367" spans="2:17" ht="35.15" customHeight="1" x14ac:dyDescent="0.35">
      <c r="B367" s="592" t="s">
        <v>2244</v>
      </c>
    </row>
  </sheetData>
  <sheetProtection algorithmName="SHA-512" hashValue="jnvazG5adi9mDtuMyGEalNO6xQwa2wmiv+bV++dg2ysFR6iuqLa+DehDmxfU1hQV3MuTl4u/k7WqlbOPjz2uZA==" saltValue="l1FF/3HriX7wJhtHzVV+Sg==" spinCount="100000" sheet="1" objects="1" scenarios="1"/>
  <sortState xmlns:xlrd2="http://schemas.microsoft.com/office/spreadsheetml/2017/richdata2" ref="B147:B153">
    <sortCondition ref="B147:B153"/>
  </sortState>
  <mergeCells count="30">
    <mergeCell ref="B270:D270"/>
    <mergeCell ref="F270:H270"/>
    <mergeCell ref="B281:D281"/>
    <mergeCell ref="F281:H281"/>
    <mergeCell ref="B326:D326"/>
    <mergeCell ref="B292:D292"/>
    <mergeCell ref="F292:H292"/>
    <mergeCell ref="B303:D303"/>
    <mergeCell ref="B316:D316"/>
    <mergeCell ref="F303:H303"/>
    <mergeCell ref="F316:H316"/>
    <mergeCell ref="B170:C170"/>
    <mergeCell ref="F170:H170"/>
    <mergeCell ref="B187:C187"/>
    <mergeCell ref="B224:D224"/>
    <mergeCell ref="B256:D256"/>
    <mergeCell ref="F187:H187"/>
    <mergeCell ref="F224:H224"/>
    <mergeCell ref="F256:H256"/>
    <mergeCell ref="B203:D203"/>
    <mergeCell ref="F203:H203"/>
    <mergeCell ref="B241:D241"/>
    <mergeCell ref="F241:H241"/>
    <mergeCell ref="D3:E3"/>
    <mergeCell ref="B1:C1"/>
    <mergeCell ref="B120:C120"/>
    <mergeCell ref="B122:B123"/>
    <mergeCell ref="C122:C123"/>
    <mergeCell ref="C3:C4"/>
    <mergeCell ref="B3:B4"/>
  </mergeCells>
  <conditionalFormatting sqref="D340:Q340">
    <cfRule type="notContainsBlanks" dxfId="1" priority="4">
      <formula>LEN(TRIM(D340))&gt;0</formula>
    </cfRule>
  </conditionalFormatting>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AB3E58"/>
  </sheetPr>
  <dimension ref="A2:P114"/>
  <sheetViews>
    <sheetView showGridLines="0" zoomScaleNormal="100" workbookViewId="0">
      <selection activeCell="B5" sqref="B5"/>
    </sheetView>
  </sheetViews>
  <sheetFormatPr defaultColWidth="9.1796875" defaultRowHeight="14" x14ac:dyDescent="0.3"/>
  <cols>
    <col min="1" max="1" width="20.81640625" style="256" bestFit="1" customWidth="1"/>
    <col min="2" max="2" width="40.81640625" style="256" customWidth="1"/>
    <col min="3" max="3" width="39.81640625" style="256" customWidth="1"/>
    <col min="4" max="4" width="40" style="256" customWidth="1"/>
    <col min="5" max="5" width="40.453125" style="256" customWidth="1"/>
    <col min="6" max="16384" width="9.1796875" style="256"/>
  </cols>
  <sheetData>
    <row r="2" spans="1:16" s="56" customFormat="1" ht="25.5" customHeight="1" x14ac:dyDescent="0.35">
      <c r="A2" s="590" t="str">
        <f ca="1">'Translation Table'!H2832</f>
        <v>List</v>
      </c>
      <c r="B2" s="590" t="str">
        <f ca="1">'Translation Table'!H2833</f>
        <v>Valid Options (Active)</v>
      </c>
      <c r="C2" s="590" t="str">
        <f>'Translation Table'!I2834 &amp; ""</f>
        <v>Valid Options</v>
      </c>
      <c r="D2" s="235" t="str">
        <f>'Translation Table'!J2834 &amp; ""</f>
        <v>有效选项</v>
      </c>
      <c r="E2" s="236" t="str">
        <f>'Translation Table'!K2834 &amp; ""</f>
        <v>Opciones Válidas</v>
      </c>
      <c r="F2" s="56" t="str">
        <f>'Translation Table'!L2834 &amp; ""</f>
        <v/>
      </c>
      <c r="G2" s="56" t="str">
        <f>'Translation Table'!M2834 &amp; ""</f>
        <v/>
      </c>
      <c r="H2" s="56" t="str">
        <f>'Translation Table'!N2834 &amp; ""</f>
        <v/>
      </c>
      <c r="I2" s="56" t="str">
        <f>'Translation Table'!O2834 &amp; ""</f>
        <v/>
      </c>
      <c r="J2" s="56" t="str">
        <f>'Translation Table'!P2834 &amp; ""</f>
        <v/>
      </c>
      <c r="K2" s="56" t="str">
        <f>'Translation Table'!Q2834 &amp; ""</f>
        <v/>
      </c>
      <c r="L2" s="56" t="str">
        <f>'Translation Table'!R2834 &amp; ""</f>
        <v/>
      </c>
      <c r="M2" s="56" t="str">
        <f>'Translation Table'!S2834 &amp; ""</f>
        <v/>
      </c>
      <c r="N2" s="56" t="str">
        <f>'Translation Table'!T2834 &amp; ""</f>
        <v/>
      </c>
      <c r="O2" s="56" t="str">
        <f>'Translation Table'!U2834 &amp; ""</f>
        <v/>
      </c>
      <c r="P2" s="56" t="str">
        <f>'Translation Table'!V2834 &amp; ""</f>
        <v/>
      </c>
    </row>
    <row r="3" spans="1:16" x14ac:dyDescent="0.3">
      <c r="A3" s="575" t="str">
        <f ca="1">'Translation Table'!H2835</f>
        <v>Industry Segment</v>
      </c>
      <c r="B3" s="575"/>
      <c r="C3" s="575"/>
      <c r="D3" s="591"/>
      <c r="E3" s="575"/>
      <c r="F3" s="256" t="str">
        <f>'Translation Table'!L2836 &amp; ""</f>
        <v/>
      </c>
      <c r="G3" s="256" t="str">
        <f>'Translation Table'!M2836 &amp; ""</f>
        <v/>
      </c>
      <c r="H3" s="256" t="str">
        <f>'Translation Table'!N2836 &amp; ""</f>
        <v/>
      </c>
      <c r="I3" s="256" t="str">
        <f>'Translation Table'!O2836 &amp; ""</f>
        <v/>
      </c>
      <c r="J3" s="256" t="str">
        <f>'Translation Table'!P2836 &amp; ""</f>
        <v/>
      </c>
      <c r="K3" s="256" t="str">
        <f>'Translation Table'!Q2836 &amp; ""</f>
        <v/>
      </c>
      <c r="L3" s="256" t="str">
        <f>'Translation Table'!R2836 &amp; ""</f>
        <v/>
      </c>
      <c r="M3" s="256" t="str">
        <f>'Translation Table'!S2836 &amp; ""</f>
        <v/>
      </c>
      <c r="N3" s="256" t="str">
        <f>'Translation Table'!T2836 &amp; ""</f>
        <v/>
      </c>
      <c r="O3" s="256" t="str">
        <f>'Translation Table'!U2836 &amp; ""</f>
        <v/>
      </c>
      <c r="P3" s="256" t="str">
        <f>'Translation Table'!V2836 &amp; ""</f>
        <v/>
      </c>
    </row>
    <row r="4" spans="1:16" x14ac:dyDescent="0.3">
      <c r="A4" s="193"/>
      <c r="B4" s="193" t="str">
        <f ca="1">INDIRECT(CHAR(64+'Translation Table'!$D$1-6)&amp;ROW())</f>
        <v>Offshore Oil Production</v>
      </c>
      <c r="C4" s="193" t="str">
        <f>'Translation Table'!I2836</f>
        <v>Offshore Oil Production</v>
      </c>
      <c r="D4" s="563" t="str">
        <f>'Translation Table'!J2836 &amp; ""</f>
        <v>离岸石油生产</v>
      </c>
      <c r="E4" s="193" t="str">
        <f>'Translation Table'!K2836 &amp; ""</f>
        <v>Producción de petróleo en alta mar</v>
      </c>
      <c r="F4" s="256" t="str">
        <f>'Translation Table'!L2836 &amp; ""</f>
        <v/>
      </c>
      <c r="G4" s="256" t="str">
        <f>'Translation Table'!M2836 &amp; ""</f>
        <v/>
      </c>
      <c r="H4" s="256" t="str">
        <f>'Translation Table'!N2836 &amp; ""</f>
        <v/>
      </c>
      <c r="I4" s="256" t="str">
        <f>'Translation Table'!O2836 &amp; ""</f>
        <v/>
      </c>
      <c r="J4" s="256" t="str">
        <f>'Translation Table'!P2836 &amp; ""</f>
        <v/>
      </c>
      <c r="K4" s="256" t="str">
        <f>'Translation Table'!Q2836 &amp; ""</f>
        <v/>
      </c>
      <c r="L4" s="256" t="str">
        <f>'Translation Table'!R2836 &amp; ""</f>
        <v/>
      </c>
      <c r="M4" s="256" t="str">
        <f>'Translation Table'!S2836 &amp; ""</f>
        <v/>
      </c>
      <c r="N4" s="256" t="str">
        <f>'Translation Table'!T2836 &amp; ""</f>
        <v/>
      </c>
      <c r="O4" s="256" t="str">
        <f>'Translation Table'!U2836 &amp; ""</f>
        <v/>
      </c>
      <c r="P4" s="256" t="str">
        <f>'Translation Table'!V2836 &amp; ""</f>
        <v/>
      </c>
    </row>
    <row r="5" spans="1:16" x14ac:dyDescent="0.3">
      <c r="A5" s="575"/>
      <c r="B5" s="575" t="str">
        <f ca="1">INDIRECT(CHAR(64+'Translation Table'!$D$1-6)&amp;ROW())</f>
        <v>Offshore Gas Production</v>
      </c>
      <c r="C5" s="575" t="str">
        <f>'Translation Table'!I2837</f>
        <v>Offshore Gas Production</v>
      </c>
      <c r="D5" s="591" t="str">
        <f>'Translation Table'!J2837 &amp; ""</f>
        <v>离岸天然气生产</v>
      </c>
      <c r="E5" s="575" t="str">
        <f>'Translation Table'!K2837 &amp; ""</f>
        <v>Producción de gas en alta mar</v>
      </c>
    </row>
    <row r="6" spans="1:16" x14ac:dyDescent="0.3">
      <c r="A6" s="193"/>
      <c r="B6" s="193" t="str">
        <f ca="1">INDIRECT(CHAR(64+'Translation Table'!$D$1-6)&amp;ROW())</f>
        <v>Onshore Oil Production</v>
      </c>
      <c r="C6" s="193" t="str">
        <f>'Translation Table'!I2838</f>
        <v>Onshore Oil Production</v>
      </c>
      <c r="D6" s="563" t="str">
        <f>'Translation Table'!J2838 &amp; ""</f>
        <v>陆上石油生产</v>
      </c>
      <c r="E6" s="193" t="str">
        <f>'Translation Table'!K2838 &amp; ""</f>
        <v>Producción de petróleo en tierra</v>
      </c>
    </row>
    <row r="7" spans="1:16" x14ac:dyDescent="0.3">
      <c r="A7" s="575"/>
      <c r="B7" s="575" t="str">
        <f ca="1">INDIRECT(CHAR(64+'Translation Table'!$D$1-6)&amp;ROW())</f>
        <v>Onshore Gas Production</v>
      </c>
      <c r="C7" s="575" t="str">
        <f>'Translation Table'!I2839</f>
        <v>Onshore Gas Production</v>
      </c>
      <c r="D7" s="591" t="str">
        <f>'Translation Table'!J2839 &amp; ""</f>
        <v>陆上天然气生产</v>
      </c>
      <c r="E7" s="575" t="str">
        <f>'Translation Table'!K2839 &amp; ""</f>
        <v>Producción de gas en tierra</v>
      </c>
    </row>
    <row r="8" spans="1:16" x14ac:dyDescent="0.3">
      <c r="A8" s="193"/>
      <c r="B8" s="193" t="str">
        <f ca="1">INDIRECT(CHAR(64+'Translation Table'!$D$1-6)&amp;ROW())</f>
        <v>Gas Processing</v>
      </c>
      <c r="C8" s="193" t="str">
        <f>'Translation Table'!I2840</f>
        <v>Gas Processing</v>
      </c>
      <c r="D8" s="563" t="str">
        <f>'Translation Table'!J2840 &amp; ""</f>
        <v>气体加工处理</v>
      </c>
      <c r="E8" s="193" t="str">
        <f>'Translation Table'!K2840 &amp; ""</f>
        <v>Proceso de Gas</v>
      </c>
      <c r="F8" s="256" t="str">
        <f>'Translation Table'!L2840 &amp; ""</f>
        <v/>
      </c>
      <c r="G8" s="256" t="str">
        <f>'Translation Table'!M2840 &amp; ""</f>
        <v/>
      </c>
      <c r="H8" s="256" t="str">
        <f>'Translation Table'!N2840 &amp; ""</f>
        <v/>
      </c>
      <c r="I8" s="256" t="str">
        <f>'Translation Table'!O2840 &amp; ""</f>
        <v/>
      </c>
      <c r="J8" s="256" t="str">
        <f>'Translation Table'!P2840 &amp; ""</f>
        <v/>
      </c>
      <c r="K8" s="256" t="str">
        <f>'Translation Table'!Q2840 &amp; ""</f>
        <v/>
      </c>
      <c r="L8" s="256" t="str">
        <f>'Translation Table'!R2840 &amp; ""</f>
        <v/>
      </c>
      <c r="M8" s="256" t="str">
        <f>'Translation Table'!S2840 &amp; ""</f>
        <v/>
      </c>
      <c r="N8" s="256" t="str">
        <f>'Translation Table'!T2840 &amp; ""</f>
        <v/>
      </c>
      <c r="O8" s="256" t="str">
        <f>'Translation Table'!U2840 &amp; ""</f>
        <v/>
      </c>
      <c r="P8" s="256" t="str">
        <f>'Translation Table'!V2840 &amp; ""</f>
        <v/>
      </c>
    </row>
    <row r="9" spans="1:16" x14ac:dyDescent="0.3">
      <c r="A9" s="575"/>
      <c r="B9" s="575" t="str">
        <f ca="1">INDIRECT(CHAR(64+'Translation Table'!$D$1-6)&amp;ROW())</f>
        <v>Gas Transmission</v>
      </c>
      <c r="C9" s="575" t="str">
        <f>'Translation Table'!I2841</f>
        <v>Gas Transmission</v>
      </c>
      <c r="D9" s="591" t="str">
        <f>'Translation Table'!J2841 &amp; ""</f>
        <v>气体輸送</v>
      </c>
      <c r="E9" s="575" t="str">
        <f>'Translation Table'!K2841 &amp; ""</f>
        <v>Transporte de Gas</v>
      </c>
      <c r="F9" s="256" t="str">
        <f>'Translation Table'!L2841 &amp; ""</f>
        <v/>
      </c>
      <c r="G9" s="256" t="str">
        <f>'Translation Table'!M2841 &amp; ""</f>
        <v/>
      </c>
      <c r="H9" s="256" t="str">
        <f>'Translation Table'!N2841 &amp; ""</f>
        <v/>
      </c>
      <c r="I9" s="256" t="str">
        <f>'Translation Table'!O2841 &amp; ""</f>
        <v/>
      </c>
      <c r="J9" s="256" t="str">
        <f>'Translation Table'!P2841 &amp; ""</f>
        <v/>
      </c>
      <c r="K9" s="256" t="str">
        <f>'Translation Table'!Q2841 &amp; ""</f>
        <v/>
      </c>
      <c r="L9" s="256" t="str">
        <f>'Translation Table'!R2841 &amp; ""</f>
        <v/>
      </c>
      <c r="M9" s="256" t="str">
        <f>'Translation Table'!S2841 &amp; ""</f>
        <v/>
      </c>
      <c r="N9" s="256" t="str">
        <f>'Translation Table'!T2841 &amp; ""</f>
        <v/>
      </c>
      <c r="O9" s="256" t="str">
        <f>'Translation Table'!U2841 &amp; ""</f>
        <v/>
      </c>
      <c r="P9" s="256" t="str">
        <f>'Translation Table'!V2841 &amp; ""</f>
        <v/>
      </c>
    </row>
    <row r="10" spans="1:16" x14ac:dyDescent="0.3">
      <c r="A10" s="193"/>
      <c r="B10" s="193" t="str">
        <f ca="1">INDIRECT(CHAR(64+'Translation Table'!$D$1-6)&amp;ROW())</f>
        <v>Gas Storage</v>
      </c>
      <c r="C10" s="193" t="str">
        <f>'Translation Table'!I2842</f>
        <v>Gas Storage</v>
      </c>
      <c r="D10" s="563" t="str">
        <f>'Translation Table'!J2842 &amp; ""</f>
        <v>气体储存</v>
      </c>
      <c r="E10" s="193" t="str">
        <f>'Translation Table'!K2842 &amp; ""</f>
        <v>Almacenamiento de Gas</v>
      </c>
      <c r="F10" s="256" t="str">
        <f>'Translation Table'!L2842 &amp; ""</f>
        <v/>
      </c>
      <c r="G10" s="256" t="str">
        <f>'Translation Table'!M2842 &amp; ""</f>
        <v/>
      </c>
      <c r="H10" s="256" t="str">
        <f>'Translation Table'!N2842 &amp; ""</f>
        <v/>
      </c>
      <c r="I10" s="256" t="str">
        <f>'Translation Table'!O2842 &amp; ""</f>
        <v/>
      </c>
      <c r="J10" s="256" t="str">
        <f>'Translation Table'!P2842 &amp; ""</f>
        <v/>
      </c>
      <c r="K10" s="256" t="str">
        <f>'Translation Table'!Q2842 &amp; ""</f>
        <v/>
      </c>
      <c r="L10" s="256" t="str">
        <f>'Translation Table'!R2842 &amp; ""</f>
        <v/>
      </c>
      <c r="M10" s="256" t="str">
        <f>'Translation Table'!S2842 &amp; ""</f>
        <v/>
      </c>
      <c r="N10" s="256" t="str">
        <f>'Translation Table'!T2842 &amp; ""</f>
        <v/>
      </c>
      <c r="O10" s="256" t="str">
        <f>'Translation Table'!U2842 &amp; ""</f>
        <v/>
      </c>
      <c r="P10" s="256" t="str">
        <f>'Translation Table'!V2842 &amp; ""</f>
        <v/>
      </c>
    </row>
    <row r="11" spans="1:16" x14ac:dyDescent="0.3">
      <c r="A11" s="575"/>
      <c r="B11" s="575" t="str">
        <f ca="1">INDIRECT(CHAR(64+'Translation Table'!$D$1-6)&amp;ROW())</f>
        <v>Gas Distribution</v>
      </c>
      <c r="C11" s="575" t="str">
        <f>'Translation Table'!I2843</f>
        <v>Gas Distribution</v>
      </c>
      <c r="D11" s="591" t="str">
        <f>'Translation Table'!J2843 &amp; ""</f>
        <v>气体分配</v>
      </c>
      <c r="E11" s="575" t="str">
        <f>'Translation Table'!K2843 &amp; ""</f>
        <v>Distribución de Gas</v>
      </c>
    </row>
    <row r="12" spans="1:16" x14ac:dyDescent="0.3">
      <c r="B12" s="193" t="str">
        <f ca="1">INDIRECT(CHAR(64+'Translation Table'!$D$1-6)&amp;ROW())</f>
        <v>Petroleum Refining</v>
      </c>
      <c r="C12" s="193" t="str">
        <f>'Translation Table'!I2844</f>
        <v>Petroleum Refining</v>
      </c>
      <c r="D12" s="563" t="str">
        <f>'Translation Table'!J2844 &amp; ""</f>
        <v>石油炼制</v>
      </c>
      <c r="E12" s="193" t="str">
        <f>'Translation Table'!K2844 &amp; ""</f>
        <v>Refinación de petróleo</v>
      </c>
      <c r="F12" s="256" t="str">
        <f>'Translation Table'!L2843 &amp; ""</f>
        <v/>
      </c>
      <c r="G12" s="256" t="str">
        <f>'Translation Table'!M2843 &amp; ""</f>
        <v/>
      </c>
      <c r="H12" s="256" t="str">
        <f>'Translation Table'!N2843 &amp; ""</f>
        <v/>
      </c>
      <c r="I12" s="256" t="str">
        <f>'Translation Table'!O2843 &amp; ""</f>
        <v/>
      </c>
      <c r="J12" s="256" t="str">
        <f>'Translation Table'!P2843 &amp; ""</f>
        <v/>
      </c>
      <c r="K12" s="256" t="str">
        <f>'Translation Table'!Q2843 &amp; ""</f>
        <v/>
      </c>
      <c r="L12" s="256" t="str">
        <f>'Translation Table'!R2843 &amp; ""</f>
        <v/>
      </c>
      <c r="M12" s="256" t="str">
        <f>'Translation Table'!S2843 &amp; ""</f>
        <v/>
      </c>
      <c r="N12" s="256" t="str">
        <f>'Translation Table'!T2843 &amp; ""</f>
        <v/>
      </c>
      <c r="O12" s="256" t="str">
        <f>'Translation Table'!U2843 &amp; ""</f>
        <v/>
      </c>
      <c r="P12" s="256" t="str">
        <f>'Translation Table'!V2843 &amp; ""</f>
        <v/>
      </c>
    </row>
    <row r="13" spans="1:16" x14ac:dyDescent="0.3">
      <c r="A13" s="575" t="str">
        <f ca="1">'Translation Table'!H2845</f>
        <v>Dehydrator Types</v>
      </c>
      <c r="B13" s="575"/>
      <c r="C13" s="575"/>
      <c r="D13" s="591"/>
      <c r="E13" s="575"/>
    </row>
    <row r="14" spans="1:16" x14ac:dyDescent="0.3">
      <c r="A14" s="193"/>
      <c r="B14" s="193" t="str">
        <f ca="1">INDIRECT(CHAR(64+'Translation Table'!$D$1-6)&amp;ROW())</f>
        <v>Without Gas-Assisted Pump Emissions</v>
      </c>
      <c r="C14" s="193" t="str">
        <f>'Translation Table'!I2846</f>
        <v>Without Gas-Assisted Pump Emissions</v>
      </c>
      <c r="D14" s="563" t="str">
        <f>'Translation Table'!J2846 &amp; ""</f>
        <v>无气体辅助泵排放</v>
      </c>
      <c r="E14" s="193" t="str">
        <f>'Translation Table'!K2846 &amp; ""</f>
        <v>Emisiones sin Bomba Asistida a Gas</v>
      </c>
      <c r="F14" s="256" t="str">
        <f>'Translation Table'!L2846 &amp; ""</f>
        <v/>
      </c>
      <c r="G14" s="256" t="str">
        <f>'Translation Table'!M2846 &amp; ""</f>
        <v/>
      </c>
      <c r="H14" s="256" t="str">
        <f>'Translation Table'!N2846 &amp; ""</f>
        <v/>
      </c>
      <c r="I14" s="256" t="str">
        <f>'Translation Table'!O2846 &amp; ""</f>
        <v/>
      </c>
      <c r="J14" s="256" t="str">
        <f>'Translation Table'!P2846 &amp; ""</f>
        <v/>
      </c>
      <c r="K14" s="256" t="str">
        <f>'Translation Table'!Q2846 &amp; ""</f>
        <v/>
      </c>
      <c r="L14" s="256" t="str">
        <f>'Translation Table'!R2846 &amp; ""</f>
        <v/>
      </c>
      <c r="M14" s="256" t="str">
        <f>'Translation Table'!S2846 &amp; ""</f>
        <v/>
      </c>
      <c r="N14" s="256" t="str">
        <f>'Translation Table'!T2846 &amp; ""</f>
        <v/>
      </c>
      <c r="O14" s="256" t="str">
        <f>'Translation Table'!U2846 &amp; ""</f>
        <v/>
      </c>
      <c r="P14" s="256" t="str">
        <f>'Translation Table'!V2846 &amp; ""</f>
        <v/>
      </c>
    </row>
    <row r="15" spans="1:16" x14ac:dyDescent="0.3">
      <c r="A15" s="575"/>
      <c r="B15" s="575" t="str">
        <f ca="1">INDIRECT(CHAR(64+'Translation Table'!$D$1-6)&amp;ROW())</f>
        <v>With Gas-Assisted Pump Emissions</v>
      </c>
      <c r="C15" s="575" t="str">
        <f>'Translation Table'!I2847</f>
        <v>With Gas-Assisted Pump Emissions</v>
      </c>
      <c r="D15" s="591" t="str">
        <f>'Translation Table'!J2847 &amp; ""</f>
        <v>有气体辅助泵排放</v>
      </c>
      <c r="E15" s="575" t="str">
        <f>'Translation Table'!K2847 &amp; ""</f>
        <v>Emisiones con Bomba Asistida a Gas</v>
      </c>
      <c r="F15" s="256" t="str">
        <f>'Translation Table'!L2847 &amp; ""</f>
        <v/>
      </c>
      <c r="G15" s="256" t="str">
        <f>'Translation Table'!M2847 &amp; ""</f>
        <v/>
      </c>
      <c r="H15" s="256" t="str">
        <f>'Translation Table'!N2847 &amp; ""</f>
        <v/>
      </c>
      <c r="I15" s="256" t="str">
        <f>'Translation Table'!O2847 &amp; ""</f>
        <v/>
      </c>
      <c r="J15" s="256" t="str">
        <f>'Translation Table'!P2847 &amp; ""</f>
        <v/>
      </c>
      <c r="K15" s="256" t="str">
        <f>'Translation Table'!Q2847 &amp; ""</f>
        <v/>
      </c>
      <c r="L15" s="256" t="str">
        <f>'Translation Table'!R2847 &amp; ""</f>
        <v/>
      </c>
      <c r="M15" s="256" t="str">
        <f>'Translation Table'!S2847 &amp; ""</f>
        <v/>
      </c>
      <c r="N15" s="256" t="str">
        <f>'Translation Table'!T2847 &amp; ""</f>
        <v/>
      </c>
      <c r="O15" s="256" t="str">
        <f>'Translation Table'!U2847 &amp; ""</f>
        <v/>
      </c>
      <c r="P15" s="256" t="str">
        <f>'Translation Table'!V2847 &amp; ""</f>
        <v/>
      </c>
    </row>
    <row r="16" spans="1:16" x14ac:dyDescent="0.3">
      <c r="A16" s="193" t="str">
        <f ca="1">'Translation Table'!H2848</f>
        <v>Pneumatic Supply Gas</v>
      </c>
      <c r="B16" s="193"/>
      <c r="C16" s="193"/>
      <c r="D16" s="563"/>
      <c r="E16" s="193"/>
    </row>
    <row r="17" spans="1:16" x14ac:dyDescent="0.3">
      <c r="A17" s="575"/>
      <c r="B17" s="575" t="str">
        <f ca="1">INDIRECT(CHAR(64+'Translation Table'!$D$1-6)&amp;ROW())</f>
        <v>Compressed Air</v>
      </c>
      <c r="C17" s="575" t="str">
        <f>'Translation Table'!I2849</f>
        <v>Compressed Air</v>
      </c>
      <c r="D17" s="591" t="str">
        <f>'Translation Table'!J2849 &amp; ""</f>
        <v>压缩空气</v>
      </c>
      <c r="E17" s="575" t="str">
        <f>'Translation Table'!K2849 &amp; ""</f>
        <v>Aire comprimido</v>
      </c>
      <c r="F17" s="256" t="str">
        <f>'Translation Table'!L2849 &amp; ""</f>
        <v/>
      </c>
      <c r="G17" s="256" t="str">
        <f>'Translation Table'!M2849 &amp; ""</f>
        <v/>
      </c>
      <c r="H17" s="256" t="str">
        <f>'Translation Table'!N2849 &amp; ""</f>
        <v/>
      </c>
      <c r="I17" s="256" t="str">
        <f>'Translation Table'!O2849 &amp; ""</f>
        <v/>
      </c>
      <c r="J17" s="256" t="str">
        <f>'Translation Table'!P2849 &amp; ""</f>
        <v/>
      </c>
      <c r="K17" s="256" t="str">
        <f>'Translation Table'!Q2849 &amp; ""</f>
        <v/>
      </c>
      <c r="L17" s="256" t="str">
        <f>'Translation Table'!R2849 &amp; ""</f>
        <v/>
      </c>
      <c r="M17" s="256" t="str">
        <f>'Translation Table'!S2849 &amp; ""</f>
        <v/>
      </c>
      <c r="N17" s="256" t="str">
        <f>'Translation Table'!T2849 &amp; ""</f>
        <v/>
      </c>
      <c r="O17" s="256" t="str">
        <f>'Translation Table'!U2849 &amp; ""</f>
        <v/>
      </c>
      <c r="P17" s="256" t="str">
        <f>'Translation Table'!V2849 &amp; ""</f>
        <v/>
      </c>
    </row>
    <row r="18" spans="1:16" x14ac:dyDescent="0.3">
      <c r="A18" s="193"/>
      <c r="B18" s="193" t="str">
        <f ca="1">INDIRECT(CHAR(64+'Translation Table'!$D$1-6)&amp;ROW())</f>
        <v>Natural Gas</v>
      </c>
      <c r="C18" s="193" t="str">
        <f>'Translation Table'!I2850</f>
        <v>Natural Gas</v>
      </c>
      <c r="D18" s="563" t="str">
        <f>'Translation Table'!J2850 &amp; ""</f>
        <v>天然气</v>
      </c>
      <c r="E18" s="193" t="str">
        <f>'Translation Table'!K2850 &amp; ""</f>
        <v>Gas Natural</v>
      </c>
      <c r="F18" s="256" t="str">
        <f>'Translation Table'!L2850 &amp; ""</f>
        <v/>
      </c>
      <c r="G18" s="256" t="str">
        <f>'Translation Table'!M2850 &amp; ""</f>
        <v/>
      </c>
      <c r="H18" s="256" t="str">
        <f>'Translation Table'!N2850 &amp; ""</f>
        <v/>
      </c>
      <c r="I18" s="256" t="str">
        <f>'Translation Table'!O2850 &amp; ""</f>
        <v/>
      </c>
      <c r="J18" s="256" t="str">
        <f>'Translation Table'!P2850 &amp; ""</f>
        <v/>
      </c>
      <c r="K18" s="256" t="str">
        <f>'Translation Table'!Q2850 &amp; ""</f>
        <v/>
      </c>
      <c r="L18" s="256" t="str">
        <f>'Translation Table'!R2850 &amp; ""</f>
        <v/>
      </c>
      <c r="M18" s="256" t="str">
        <f>'Translation Table'!S2850 &amp; ""</f>
        <v/>
      </c>
      <c r="N18" s="256" t="str">
        <f>'Translation Table'!T2850 &amp; ""</f>
        <v/>
      </c>
      <c r="O18" s="256" t="str">
        <f>'Translation Table'!U2850 &amp; ""</f>
        <v/>
      </c>
      <c r="P18" s="256" t="str">
        <f>'Translation Table'!V2850 &amp; ""</f>
        <v/>
      </c>
    </row>
    <row r="19" spans="1:16" x14ac:dyDescent="0.3">
      <c r="A19" s="575" t="str">
        <f ca="1">'Translation Table'!H2851</f>
        <v>Hydrocarbon Liquids</v>
      </c>
      <c r="B19" s="575"/>
      <c r="C19" s="575"/>
      <c r="D19" s="591"/>
      <c r="E19" s="575"/>
    </row>
    <row r="20" spans="1:16" x14ac:dyDescent="0.3">
      <c r="A20" s="193"/>
      <c r="B20" s="193" t="str">
        <f ca="1">INDIRECT(CHAR(64+'Translation Table'!$D$1-6)&amp;ROW())</f>
        <v>Light</v>
      </c>
      <c r="C20" s="193" t="str">
        <f>'Translation Table'!I2852</f>
        <v>Light</v>
      </c>
      <c r="D20" s="563" t="str">
        <f>'Translation Table'!J2852 &amp; ""</f>
        <v>轻质</v>
      </c>
      <c r="E20" s="193" t="str">
        <f>'Translation Table'!K2852 &amp; ""</f>
        <v>Ligero</v>
      </c>
      <c r="F20" s="256" t="str">
        <f>'Translation Table'!L2852 &amp; ""</f>
        <v/>
      </c>
      <c r="G20" s="256" t="str">
        <f>'Translation Table'!M2852 &amp; ""</f>
        <v/>
      </c>
      <c r="H20" s="256" t="str">
        <f>'Translation Table'!N2852 &amp; ""</f>
        <v/>
      </c>
      <c r="I20" s="256" t="str">
        <f>'Translation Table'!O2852 &amp; ""</f>
        <v/>
      </c>
      <c r="J20" s="256" t="str">
        <f>'Translation Table'!P2852 &amp; ""</f>
        <v/>
      </c>
      <c r="K20" s="256" t="str">
        <f>'Translation Table'!Q2852 &amp; ""</f>
        <v/>
      </c>
      <c r="L20" s="256" t="str">
        <f>'Translation Table'!R2852 &amp; ""</f>
        <v/>
      </c>
      <c r="M20" s="256" t="str">
        <f>'Translation Table'!S2852 &amp; ""</f>
        <v/>
      </c>
      <c r="N20" s="256" t="str">
        <f>'Translation Table'!T2852 &amp; ""</f>
        <v/>
      </c>
      <c r="O20" s="256" t="str">
        <f>'Translation Table'!U2852 &amp; ""</f>
        <v/>
      </c>
      <c r="P20" s="256" t="str">
        <f>'Translation Table'!V2852 &amp; ""</f>
        <v/>
      </c>
    </row>
    <row r="21" spans="1:16" x14ac:dyDescent="0.3">
      <c r="A21" s="575"/>
      <c r="B21" s="575" t="str">
        <f ca="1">INDIRECT(CHAR(64+'Translation Table'!$D$1-6)&amp;ROW())</f>
        <v>Medium</v>
      </c>
      <c r="C21" s="575" t="str">
        <f>'Translation Table'!I2853</f>
        <v>Medium</v>
      </c>
      <c r="D21" s="591" t="str">
        <f>'Translation Table'!J2853 &amp; ""</f>
        <v>中等</v>
      </c>
      <c r="E21" s="575" t="str">
        <f>'Translation Table'!K2853 &amp; ""</f>
        <v>Medio</v>
      </c>
      <c r="F21" s="256" t="str">
        <f>'Translation Table'!L2853 &amp; ""</f>
        <v/>
      </c>
      <c r="G21" s="256" t="str">
        <f>'Translation Table'!M2853 &amp; ""</f>
        <v/>
      </c>
      <c r="H21" s="256" t="str">
        <f>'Translation Table'!N2853 &amp; ""</f>
        <v/>
      </c>
      <c r="I21" s="256" t="str">
        <f>'Translation Table'!O2853 &amp; ""</f>
        <v/>
      </c>
      <c r="J21" s="256" t="str">
        <f>'Translation Table'!P2853 &amp; ""</f>
        <v/>
      </c>
      <c r="K21" s="256" t="str">
        <f>'Translation Table'!Q2853 &amp; ""</f>
        <v/>
      </c>
      <c r="L21" s="256" t="str">
        <f>'Translation Table'!R2853 &amp; ""</f>
        <v/>
      </c>
      <c r="M21" s="256" t="str">
        <f>'Translation Table'!S2853 &amp; ""</f>
        <v/>
      </c>
      <c r="N21" s="256" t="str">
        <f>'Translation Table'!T2853 &amp; ""</f>
        <v/>
      </c>
      <c r="O21" s="256" t="str">
        <f>'Translation Table'!U2853 &amp; ""</f>
        <v/>
      </c>
      <c r="P21" s="256" t="str">
        <f>'Translation Table'!V2853 &amp; ""</f>
        <v/>
      </c>
    </row>
    <row r="22" spans="1:16" x14ac:dyDescent="0.3">
      <c r="A22" s="193"/>
      <c r="B22" s="193" t="str">
        <f ca="1">INDIRECT(CHAR(64+'Translation Table'!$D$1-6)&amp;ROW())</f>
        <v>Heavy</v>
      </c>
      <c r="C22" s="193" t="str">
        <f>'Translation Table'!I2854</f>
        <v>Heavy</v>
      </c>
      <c r="D22" s="563" t="str">
        <f>'Translation Table'!J2854 &amp; ""</f>
        <v>重质</v>
      </c>
      <c r="E22" s="193" t="str">
        <f>'Translation Table'!K2854 &amp; ""</f>
        <v>Pesado</v>
      </c>
      <c r="F22" s="256" t="str">
        <f>'Translation Table'!L2854 &amp; ""</f>
        <v/>
      </c>
      <c r="G22" s="256" t="str">
        <f>'Translation Table'!M2854 &amp; ""</f>
        <v/>
      </c>
      <c r="H22" s="256" t="str">
        <f>'Translation Table'!N2854 &amp; ""</f>
        <v/>
      </c>
      <c r="I22" s="256" t="str">
        <f>'Translation Table'!O2854 &amp; ""</f>
        <v/>
      </c>
      <c r="J22" s="256" t="str">
        <f>'Translation Table'!P2854 &amp; ""</f>
        <v/>
      </c>
      <c r="K22" s="256" t="str">
        <f>'Translation Table'!Q2854 &amp; ""</f>
        <v/>
      </c>
      <c r="L22" s="256" t="str">
        <f>'Translation Table'!R2854 &amp; ""</f>
        <v/>
      </c>
      <c r="M22" s="256" t="str">
        <f>'Translation Table'!S2854 &amp; ""</f>
        <v/>
      </c>
      <c r="N22" s="256" t="str">
        <f>'Translation Table'!T2854 &amp; ""</f>
        <v/>
      </c>
      <c r="O22" s="256" t="str">
        <f>'Translation Table'!U2854 &amp; ""</f>
        <v/>
      </c>
      <c r="P22" s="256" t="str">
        <f>'Translation Table'!V2854 &amp; ""</f>
        <v/>
      </c>
    </row>
    <row r="23" spans="1:16" x14ac:dyDescent="0.3">
      <c r="A23" s="575"/>
      <c r="B23" s="575" t="str">
        <f ca="1">INDIRECT(CHAR(64+'Translation Table'!$D$1-6)&amp;ROW())</f>
        <v>Very Heavy</v>
      </c>
      <c r="C23" s="575" t="str">
        <f>'Translation Table'!I2855</f>
        <v>Very Heavy</v>
      </c>
      <c r="D23" s="591" t="str">
        <f>'Translation Table'!J2855 &amp; ""</f>
        <v>非常重</v>
      </c>
      <c r="E23" s="575" t="str">
        <f>'Translation Table'!K2855 &amp; ""</f>
        <v>Muy Pesado</v>
      </c>
      <c r="F23" s="256" t="str">
        <f>'Translation Table'!L2855 &amp; ""</f>
        <v/>
      </c>
      <c r="G23" s="256" t="str">
        <f>'Translation Table'!M2855 &amp; ""</f>
        <v/>
      </c>
      <c r="H23" s="256" t="str">
        <f>'Translation Table'!N2855 &amp; ""</f>
        <v/>
      </c>
      <c r="I23" s="256" t="str">
        <f>'Translation Table'!O2855 &amp; ""</f>
        <v/>
      </c>
      <c r="J23" s="256" t="str">
        <f>'Translation Table'!P2855 &amp; ""</f>
        <v/>
      </c>
      <c r="K23" s="256" t="str">
        <f>'Translation Table'!Q2855 &amp; ""</f>
        <v/>
      </c>
      <c r="L23" s="256" t="str">
        <f>'Translation Table'!R2855 &amp; ""</f>
        <v/>
      </c>
      <c r="M23" s="256" t="str">
        <f>'Translation Table'!S2855 &amp; ""</f>
        <v/>
      </c>
      <c r="N23" s="256" t="str">
        <f>'Translation Table'!T2855 &amp; ""</f>
        <v/>
      </c>
      <c r="O23" s="256" t="str">
        <f>'Translation Table'!U2855 &amp; ""</f>
        <v/>
      </c>
      <c r="P23" s="256" t="str">
        <f>'Translation Table'!V2855 &amp; ""</f>
        <v/>
      </c>
    </row>
    <row r="24" spans="1:16" x14ac:dyDescent="0.3">
      <c r="A24" s="193" t="str">
        <f ca="1">'Translation Table'!H2856</f>
        <v>Type of Controllers</v>
      </c>
      <c r="B24" s="193"/>
      <c r="C24" s="193"/>
      <c r="D24" s="563"/>
      <c r="E24" s="193"/>
    </row>
    <row r="25" spans="1:16" x14ac:dyDescent="0.3">
      <c r="A25" s="575"/>
      <c r="B25" s="575" t="str">
        <f ca="1">INDIRECT(CHAR(64+'Translation Table'!$D$1-6)&amp;ROW())</f>
        <v>Not Applicable</v>
      </c>
      <c r="C25" s="575" t="str">
        <f>'Translation Table'!I2857</f>
        <v>Not Applicable</v>
      </c>
      <c r="D25" s="591" t="str">
        <f>'Translation Table'!J2857 &amp; ""</f>
        <v>不适用</v>
      </c>
      <c r="E25" s="575" t="str">
        <f>'Translation Table'!K2857 &amp; ""</f>
        <v>No Aplicable</v>
      </c>
      <c r="F25" s="256" t="str">
        <f>'Translation Table'!L2857 &amp; ""</f>
        <v/>
      </c>
      <c r="G25" s="256" t="str">
        <f>'Translation Table'!M2857 &amp; ""</f>
        <v/>
      </c>
      <c r="H25" s="256" t="str">
        <f>'Translation Table'!N2857 &amp; ""</f>
        <v/>
      </c>
      <c r="I25" s="256" t="str">
        <f>'Translation Table'!O2857 &amp; ""</f>
        <v/>
      </c>
      <c r="J25" s="256" t="str">
        <f>'Translation Table'!P2857 &amp; ""</f>
        <v/>
      </c>
      <c r="K25" s="256" t="str">
        <f>'Translation Table'!Q2857 &amp; ""</f>
        <v/>
      </c>
      <c r="L25" s="256" t="str">
        <f>'Translation Table'!R2857 &amp; ""</f>
        <v/>
      </c>
      <c r="M25" s="256" t="str">
        <f>'Translation Table'!S2857 &amp; ""</f>
        <v/>
      </c>
      <c r="N25" s="256" t="str">
        <f>'Translation Table'!T2857 &amp; ""</f>
        <v/>
      </c>
      <c r="O25" s="256" t="str">
        <f>'Translation Table'!U2857 &amp; ""</f>
        <v/>
      </c>
      <c r="P25" s="256" t="str">
        <f>'Translation Table'!V2857 &amp; ""</f>
        <v/>
      </c>
    </row>
    <row r="26" spans="1:16" x14ac:dyDescent="0.3">
      <c r="A26" s="193"/>
      <c r="B26" s="193" t="str">
        <f ca="1">INDIRECT(CHAR(64+'Translation Table'!$D$1-6)&amp;ROW())</f>
        <v>Low-Bleed</v>
      </c>
      <c r="C26" s="193" t="str">
        <f>'Translation Table'!I2858</f>
        <v>Low-Bleed</v>
      </c>
      <c r="D26" s="563" t="str">
        <f>'Translation Table'!J2858 &amp; ""</f>
        <v>低排洩</v>
      </c>
      <c r="E26" s="193" t="str">
        <f>'Translation Table'!K2858 &amp; ""</f>
        <v>Baja Purga</v>
      </c>
      <c r="F26" s="256" t="str">
        <f>'Translation Table'!L2858 &amp; ""</f>
        <v/>
      </c>
      <c r="G26" s="256" t="str">
        <f>'Translation Table'!M2858 &amp; ""</f>
        <v/>
      </c>
      <c r="H26" s="256" t="str">
        <f>'Translation Table'!N2858 &amp; ""</f>
        <v/>
      </c>
      <c r="I26" s="256" t="str">
        <f>'Translation Table'!O2858 &amp; ""</f>
        <v/>
      </c>
      <c r="J26" s="256" t="str">
        <f>'Translation Table'!P2858 &amp; ""</f>
        <v/>
      </c>
      <c r="K26" s="256" t="str">
        <f>'Translation Table'!Q2858 &amp; ""</f>
        <v/>
      </c>
      <c r="L26" s="256" t="str">
        <f>'Translation Table'!R2858 &amp; ""</f>
        <v/>
      </c>
      <c r="M26" s="256" t="str">
        <f>'Translation Table'!S2858 &amp; ""</f>
        <v/>
      </c>
      <c r="N26" s="256" t="str">
        <f>'Translation Table'!T2858 &amp; ""</f>
        <v/>
      </c>
      <c r="O26" s="256" t="str">
        <f>'Translation Table'!U2858 &amp; ""</f>
        <v/>
      </c>
      <c r="P26" s="256" t="str">
        <f>'Translation Table'!V2858 &amp; ""</f>
        <v/>
      </c>
    </row>
    <row r="27" spans="1:16" x14ac:dyDescent="0.3">
      <c r="A27" s="575"/>
      <c r="B27" s="575" t="str">
        <f ca="1">INDIRECT(CHAR(64+'Translation Table'!$D$1-6)&amp;ROW())</f>
        <v>High-Bleed</v>
      </c>
      <c r="C27" s="575" t="str">
        <f>'Translation Table'!I2859</f>
        <v>High-Bleed</v>
      </c>
      <c r="D27" s="591" t="str">
        <f>'Translation Table'!J2859 &amp; ""</f>
        <v>高排放</v>
      </c>
      <c r="E27" s="575" t="str">
        <f>'Translation Table'!K2859 &amp; ""</f>
        <v>Alta Purga</v>
      </c>
      <c r="F27" s="256" t="str">
        <f>'Translation Table'!L2859 &amp; ""</f>
        <v/>
      </c>
      <c r="G27" s="256" t="str">
        <f>'Translation Table'!M2859 &amp; ""</f>
        <v/>
      </c>
      <c r="H27" s="256" t="str">
        <f>'Translation Table'!N2859 &amp; ""</f>
        <v/>
      </c>
      <c r="I27" s="256" t="str">
        <f>'Translation Table'!O2859 &amp; ""</f>
        <v/>
      </c>
      <c r="J27" s="256" t="str">
        <f>'Translation Table'!P2859 &amp; ""</f>
        <v/>
      </c>
      <c r="K27" s="256" t="str">
        <f>'Translation Table'!Q2859 &amp; ""</f>
        <v/>
      </c>
      <c r="L27" s="256" t="str">
        <f>'Translation Table'!R2859 &amp; ""</f>
        <v/>
      </c>
      <c r="M27" s="256" t="str">
        <f>'Translation Table'!S2859 &amp; ""</f>
        <v/>
      </c>
      <c r="N27" s="256" t="str">
        <f>'Translation Table'!T2859 &amp; ""</f>
        <v/>
      </c>
      <c r="O27" s="256" t="str">
        <f>'Translation Table'!U2859 &amp; ""</f>
        <v/>
      </c>
      <c r="P27" s="256" t="str">
        <f>'Translation Table'!V2859 &amp; ""</f>
        <v/>
      </c>
    </row>
    <row r="28" spans="1:16" x14ac:dyDescent="0.3">
      <c r="A28" s="193"/>
      <c r="B28" s="193" t="str">
        <f ca="1">INDIRECT(CHAR(64+'Translation Table'!$D$1-6)&amp;ROW())</f>
        <v>Intermittent Bleed</v>
      </c>
      <c r="C28" s="193" t="str">
        <f>'Translation Table'!I2860</f>
        <v>Intermittent Bleed</v>
      </c>
      <c r="D28" s="563" t="str">
        <f>'Translation Table'!J2860 &amp; ""</f>
        <v>间歇排放</v>
      </c>
      <c r="E28" s="193" t="str">
        <f>'Translation Table'!K2860 &amp; ""</f>
        <v>Purga Intermitente</v>
      </c>
      <c r="F28" s="256" t="str">
        <f>'Translation Table'!L2860 &amp; ""</f>
        <v/>
      </c>
      <c r="G28" s="256" t="str">
        <f>'Translation Table'!M2860 &amp; ""</f>
        <v/>
      </c>
      <c r="H28" s="256" t="str">
        <f>'Translation Table'!N2860 &amp; ""</f>
        <v/>
      </c>
      <c r="I28" s="256" t="str">
        <f>'Translation Table'!O2860 &amp; ""</f>
        <v/>
      </c>
      <c r="J28" s="256" t="str">
        <f>'Translation Table'!P2860 &amp; ""</f>
        <v/>
      </c>
      <c r="K28" s="256" t="str">
        <f>'Translation Table'!Q2860 &amp; ""</f>
        <v/>
      </c>
      <c r="L28" s="256" t="str">
        <f>'Translation Table'!R2860 &amp; ""</f>
        <v/>
      </c>
      <c r="M28" s="256" t="str">
        <f>'Translation Table'!S2860 &amp; ""</f>
        <v/>
      </c>
      <c r="N28" s="256" t="str">
        <f>'Translation Table'!T2860 &amp; ""</f>
        <v/>
      </c>
      <c r="O28" s="256" t="str">
        <f>'Translation Table'!U2860 &amp; ""</f>
        <v/>
      </c>
      <c r="P28" s="256" t="str">
        <f>'Translation Table'!V2860 &amp; ""</f>
        <v/>
      </c>
    </row>
    <row r="29" spans="1:16" x14ac:dyDescent="0.3">
      <c r="A29" s="575"/>
      <c r="B29" s="575" t="str">
        <f ca="1">INDIRECT(CHAR(64+'Translation Table'!$D$1-6)&amp;ROW())</f>
        <v>No-Bleed</v>
      </c>
      <c r="C29" s="575" t="str">
        <f>'Translation Table'!I2861</f>
        <v>No-Bleed</v>
      </c>
      <c r="D29" s="591" t="str">
        <f>'Translation Table'!J2861 &amp; ""</f>
        <v>无排洩</v>
      </c>
      <c r="E29" s="575" t="str">
        <f>'Translation Table'!K2861 &amp; ""</f>
        <v>Sin Purga</v>
      </c>
      <c r="F29" s="256" t="str">
        <f>'Translation Table'!L2861 &amp; ""</f>
        <v/>
      </c>
      <c r="G29" s="256" t="str">
        <f>'Translation Table'!M2861 &amp; ""</f>
        <v/>
      </c>
      <c r="H29" s="256" t="str">
        <f>'Translation Table'!N2861 &amp; ""</f>
        <v/>
      </c>
      <c r="I29" s="256" t="str">
        <f>'Translation Table'!O2861 &amp; ""</f>
        <v/>
      </c>
      <c r="J29" s="256" t="str">
        <f>'Translation Table'!P2861 &amp; ""</f>
        <v/>
      </c>
      <c r="K29" s="256" t="str">
        <f>'Translation Table'!Q2861 &amp; ""</f>
        <v/>
      </c>
      <c r="L29" s="256" t="str">
        <f>'Translation Table'!R2861 &amp; ""</f>
        <v/>
      </c>
      <c r="M29" s="256" t="str">
        <f>'Translation Table'!S2861 &amp; ""</f>
        <v/>
      </c>
      <c r="N29" s="256" t="str">
        <f>'Translation Table'!T2861 &amp; ""</f>
        <v/>
      </c>
      <c r="O29" s="256" t="str">
        <f>'Translation Table'!U2861 &amp; ""</f>
        <v/>
      </c>
      <c r="P29" s="256" t="str">
        <f>'Translation Table'!V2861 &amp; ""</f>
        <v/>
      </c>
    </row>
    <row r="30" spans="1:16" x14ac:dyDescent="0.3">
      <c r="A30" s="193" t="str">
        <f ca="1">'Translation Table'!H2862</f>
        <v>Source of Quantity</v>
      </c>
      <c r="B30" s="193"/>
      <c r="C30" s="193"/>
      <c r="D30" s="563"/>
      <c r="E30" s="193"/>
    </row>
    <row r="31" spans="1:16" x14ac:dyDescent="0.3">
      <c r="A31" s="575"/>
      <c r="B31" s="575" t="str">
        <f ca="1">INDIRECT(CHAR(64+'Translation Table'!$D$1-6)&amp;ROW())</f>
        <v>Calculated</v>
      </c>
      <c r="C31" s="575" t="str">
        <f>'Translation Table'!I2863</f>
        <v>Calculated</v>
      </c>
      <c r="D31" s="591" t="str">
        <f>'Translation Table'!J2863 &amp; ""</f>
        <v>计算</v>
      </c>
      <c r="E31" s="575" t="str">
        <f>'Translation Table'!K2863 &amp; ""</f>
        <v>Calculado</v>
      </c>
      <c r="F31" s="256" t="str">
        <f>'Translation Table'!L2863 &amp; ""</f>
        <v/>
      </c>
      <c r="G31" s="256" t="str">
        <f>'Translation Table'!M2863 &amp; ""</f>
        <v/>
      </c>
      <c r="H31" s="256" t="str">
        <f>'Translation Table'!N2863 &amp; ""</f>
        <v/>
      </c>
      <c r="I31" s="256" t="str">
        <f>'Translation Table'!O2863 &amp; ""</f>
        <v/>
      </c>
      <c r="J31" s="256" t="str">
        <f>'Translation Table'!P2863 &amp; ""</f>
        <v/>
      </c>
      <c r="K31" s="256" t="str">
        <f>'Translation Table'!Q2863 &amp; ""</f>
        <v/>
      </c>
      <c r="L31" s="256" t="str">
        <f>'Translation Table'!R2863 &amp; ""</f>
        <v/>
      </c>
      <c r="M31" s="256" t="str">
        <f>'Translation Table'!S2863 &amp; ""</f>
        <v/>
      </c>
      <c r="N31" s="256" t="str">
        <f>'Translation Table'!T2863 &amp; ""</f>
        <v/>
      </c>
      <c r="O31" s="256" t="str">
        <f>'Translation Table'!U2863 &amp; ""</f>
        <v/>
      </c>
      <c r="P31" s="256" t="str">
        <f>'Translation Table'!V2863 &amp; ""</f>
        <v/>
      </c>
    </row>
    <row r="32" spans="1:16" x14ac:dyDescent="0.3">
      <c r="A32" s="193"/>
      <c r="B32" s="193" t="str">
        <f ca="1">INDIRECT(CHAR(64+'Translation Table'!$D$1-6)&amp;ROW())</f>
        <v>Engineering Judgement</v>
      </c>
      <c r="C32" s="193" t="str">
        <f>'Translation Table'!I2864</f>
        <v>Engineering Judgement</v>
      </c>
      <c r="D32" s="563" t="str">
        <f>'Translation Table'!J2864 &amp; ""</f>
        <v>工程判断</v>
      </c>
      <c r="E32" s="193" t="str">
        <f>'Translation Table'!K2864 &amp; ""</f>
        <v>Juicio de Ingeniería</v>
      </c>
      <c r="F32" s="256" t="str">
        <f>'Translation Table'!L2864 &amp; ""</f>
        <v/>
      </c>
      <c r="G32" s="256" t="str">
        <f>'Translation Table'!M2864 &amp; ""</f>
        <v/>
      </c>
      <c r="H32" s="256" t="str">
        <f>'Translation Table'!N2864 &amp; ""</f>
        <v/>
      </c>
      <c r="I32" s="256" t="str">
        <f>'Translation Table'!O2864 &amp; ""</f>
        <v/>
      </c>
      <c r="J32" s="256" t="str">
        <f>'Translation Table'!P2864 &amp; ""</f>
        <v/>
      </c>
      <c r="K32" s="256" t="str">
        <f>'Translation Table'!Q2864 &amp; ""</f>
        <v/>
      </c>
      <c r="L32" s="256" t="str">
        <f>'Translation Table'!R2864 &amp; ""</f>
        <v/>
      </c>
      <c r="M32" s="256" t="str">
        <f>'Translation Table'!S2864 &amp; ""</f>
        <v/>
      </c>
      <c r="N32" s="256" t="str">
        <f>'Translation Table'!T2864 &amp; ""</f>
        <v/>
      </c>
      <c r="O32" s="256" t="str">
        <f>'Translation Table'!U2864 &amp; ""</f>
        <v/>
      </c>
      <c r="P32" s="256" t="str">
        <f>'Translation Table'!V2864 &amp; ""</f>
        <v/>
      </c>
    </row>
    <row r="33" spans="1:16" x14ac:dyDescent="0.3">
      <c r="A33" s="575"/>
      <c r="B33" s="575" t="str">
        <f ca="1">INDIRECT(CHAR(64+'Translation Table'!$D$1-6)&amp;ROW())</f>
        <v>Measured</v>
      </c>
      <c r="C33" s="575" t="str">
        <f>'Translation Table'!I2865</f>
        <v>Measured</v>
      </c>
      <c r="D33" s="591" t="str">
        <f>'Translation Table'!J2865 &amp; ""</f>
        <v>测量</v>
      </c>
      <c r="E33" s="575" t="str">
        <f>'Translation Table'!K2865 &amp; ""</f>
        <v>Medido</v>
      </c>
    </row>
    <row r="34" spans="1:16" x14ac:dyDescent="0.3">
      <c r="A34" s="193"/>
      <c r="B34" s="193" t="str">
        <f ca="1">INDIRECT(CHAR(64+'Translation Table'!$D$1-6)&amp;ROW())</f>
        <v>Reported by Facility</v>
      </c>
      <c r="C34" s="193" t="str">
        <f>'Translation Table'!I2866</f>
        <v>Reported by Facility</v>
      </c>
      <c r="D34" s="563" t="str">
        <f>'Translation Table'!J2866 &amp; ""</f>
        <v>由设施报告</v>
      </c>
      <c r="E34" s="193" t="str">
        <f>'Translation Table'!K2866 &amp; ""</f>
        <v>Reportado por instalación</v>
      </c>
      <c r="F34" s="256" t="str">
        <f>'Translation Table'!L2865 &amp; ""</f>
        <v/>
      </c>
      <c r="G34" s="256" t="str">
        <f>'Translation Table'!M2865 &amp; ""</f>
        <v/>
      </c>
      <c r="H34" s="256" t="str">
        <f>'Translation Table'!N2865 &amp; ""</f>
        <v/>
      </c>
      <c r="I34" s="256" t="str">
        <f>'Translation Table'!O2865 &amp; ""</f>
        <v/>
      </c>
      <c r="J34" s="256" t="str">
        <f>'Translation Table'!P2865 &amp; ""</f>
        <v/>
      </c>
      <c r="K34" s="256" t="str">
        <f>'Translation Table'!Q2865 &amp; ""</f>
        <v/>
      </c>
      <c r="L34" s="256" t="str">
        <f>'Translation Table'!R2865 &amp; ""</f>
        <v/>
      </c>
      <c r="M34" s="256" t="str">
        <f>'Translation Table'!S2865 &amp; ""</f>
        <v/>
      </c>
      <c r="N34" s="256" t="str">
        <f>'Translation Table'!T2865 &amp; ""</f>
        <v/>
      </c>
      <c r="O34" s="256" t="str">
        <f>'Translation Table'!U2865 &amp; ""</f>
        <v/>
      </c>
      <c r="P34" s="256" t="str">
        <f>'Translation Table'!V2865 &amp; ""</f>
        <v/>
      </c>
    </row>
    <row r="35" spans="1:16" x14ac:dyDescent="0.3">
      <c r="A35" s="575" t="str">
        <f ca="1">'Translation Table'!H2867</f>
        <v>Source of Property</v>
      </c>
      <c r="B35" s="575"/>
      <c r="C35" s="575"/>
      <c r="D35" s="591"/>
      <c r="E35" s="575"/>
    </row>
    <row r="36" spans="1:16" x14ac:dyDescent="0.3">
      <c r="A36" s="193"/>
      <c r="B36" s="193" t="str">
        <f ca="1">INDIRECT(CHAR(64+'Translation Table'!$D$1-6)&amp;ROW())</f>
        <v>Default</v>
      </c>
      <c r="C36" s="193" t="str">
        <f>'Translation Table'!I2868</f>
        <v>Default</v>
      </c>
      <c r="D36" s="563" t="str">
        <f>'Translation Table'!J2868 &amp; ""</f>
        <v>默认</v>
      </c>
      <c r="E36" s="193" t="str">
        <f>'Translation Table'!K2868 &amp; ""</f>
        <v>Defecto</v>
      </c>
      <c r="F36" s="256" t="str">
        <f>'Translation Table'!L2868 &amp; ""</f>
        <v/>
      </c>
      <c r="G36" s="256" t="str">
        <f>'Translation Table'!M2868 &amp; ""</f>
        <v/>
      </c>
      <c r="H36" s="256" t="str">
        <f>'Translation Table'!N2868 &amp; ""</f>
        <v/>
      </c>
      <c r="I36" s="256" t="str">
        <f>'Translation Table'!O2868 &amp; ""</f>
        <v/>
      </c>
      <c r="J36" s="256" t="str">
        <f>'Translation Table'!P2868 &amp; ""</f>
        <v/>
      </c>
      <c r="K36" s="256" t="str">
        <f>'Translation Table'!Q2868 &amp; ""</f>
        <v/>
      </c>
      <c r="L36" s="256" t="str">
        <f>'Translation Table'!R2868 &amp; ""</f>
        <v/>
      </c>
      <c r="M36" s="256" t="str">
        <f>'Translation Table'!S2868 &amp; ""</f>
        <v/>
      </c>
      <c r="N36" s="256" t="str">
        <f>'Translation Table'!T2868 &amp; ""</f>
        <v/>
      </c>
      <c r="O36" s="256" t="str">
        <f>'Translation Table'!U2868 &amp; ""</f>
        <v/>
      </c>
      <c r="P36" s="256" t="str">
        <f>'Translation Table'!V2868 &amp; ""</f>
        <v/>
      </c>
    </row>
    <row r="37" spans="1:16" x14ac:dyDescent="0.3">
      <c r="A37" s="575"/>
      <c r="B37" s="575" t="str">
        <f ca="1">INDIRECT(CHAR(64+'Translation Table'!$D$1-6)&amp;ROW())</f>
        <v>Measured</v>
      </c>
      <c r="C37" s="575" t="str">
        <f>'Translation Table'!I2869</f>
        <v>Measured</v>
      </c>
      <c r="D37" s="591" t="str">
        <f>'Translation Table'!J2869 &amp; ""</f>
        <v>测量</v>
      </c>
      <c r="E37" s="575" t="str">
        <f>'Translation Table'!K2869 &amp; ""</f>
        <v>Medido</v>
      </c>
      <c r="F37" s="256" t="str">
        <f>'Translation Table'!L2869 &amp; ""</f>
        <v/>
      </c>
      <c r="G37" s="256" t="str">
        <f>'Translation Table'!M2869 &amp; ""</f>
        <v/>
      </c>
      <c r="H37" s="256" t="str">
        <f>'Translation Table'!N2869 &amp; ""</f>
        <v/>
      </c>
      <c r="I37" s="256" t="str">
        <f>'Translation Table'!O2869 &amp; ""</f>
        <v/>
      </c>
      <c r="J37" s="256" t="str">
        <f>'Translation Table'!P2869 &amp; ""</f>
        <v/>
      </c>
      <c r="K37" s="256" t="str">
        <f>'Translation Table'!Q2869 &amp; ""</f>
        <v/>
      </c>
      <c r="L37" s="256" t="str">
        <f>'Translation Table'!R2869 &amp; ""</f>
        <v/>
      </c>
      <c r="M37" s="256" t="str">
        <f>'Translation Table'!S2869 &amp; ""</f>
        <v/>
      </c>
      <c r="N37" s="256" t="str">
        <f>'Translation Table'!T2869 &amp; ""</f>
        <v/>
      </c>
      <c r="O37" s="256" t="str">
        <f>'Translation Table'!U2869 &amp; ""</f>
        <v/>
      </c>
      <c r="P37" s="256" t="str">
        <f>'Translation Table'!V2869 &amp; ""</f>
        <v/>
      </c>
    </row>
    <row r="38" spans="1:16" x14ac:dyDescent="0.3">
      <c r="A38" s="193"/>
      <c r="B38" s="193" t="str">
        <f ca="1">INDIRECT(CHAR(64+'Translation Table'!$D$1-6)&amp;ROW())</f>
        <v>Calculated</v>
      </c>
      <c r="C38" s="193" t="str">
        <f>'Translation Table'!I2870</f>
        <v>Calculated</v>
      </c>
      <c r="D38" s="563" t="str">
        <f>'Translation Table'!J2870 &amp; ""</f>
        <v>计算</v>
      </c>
      <c r="E38" s="193" t="str">
        <f>'Translation Table'!K2870 &amp; ""</f>
        <v>Calculado</v>
      </c>
      <c r="F38" s="256" t="str">
        <f>'Translation Table'!L2870 &amp; ""</f>
        <v/>
      </c>
      <c r="G38" s="256" t="str">
        <f>'Translation Table'!M2870 &amp; ""</f>
        <v/>
      </c>
      <c r="H38" s="256" t="str">
        <f>'Translation Table'!N2870 &amp; ""</f>
        <v/>
      </c>
      <c r="I38" s="256" t="str">
        <f>'Translation Table'!O2870 &amp; ""</f>
        <v/>
      </c>
      <c r="J38" s="256" t="str">
        <f>'Translation Table'!P2870 &amp; ""</f>
        <v/>
      </c>
      <c r="K38" s="256" t="str">
        <f>'Translation Table'!Q2870 &amp; ""</f>
        <v/>
      </c>
      <c r="L38" s="256" t="str">
        <f>'Translation Table'!R2870 &amp; ""</f>
        <v/>
      </c>
      <c r="M38" s="256" t="str">
        <f>'Translation Table'!S2870 &amp; ""</f>
        <v/>
      </c>
      <c r="N38" s="256" t="str">
        <f>'Translation Table'!T2870 &amp; ""</f>
        <v/>
      </c>
      <c r="O38" s="256" t="str">
        <f>'Translation Table'!U2870 &amp; ""</f>
        <v/>
      </c>
      <c r="P38" s="256" t="str">
        <f>'Translation Table'!V2870 &amp; ""</f>
        <v/>
      </c>
    </row>
    <row r="39" spans="1:16" x14ac:dyDescent="0.3">
      <c r="A39" s="575"/>
      <c r="B39" s="575"/>
      <c r="C39" s="575"/>
      <c r="D39" s="591"/>
      <c r="E39" s="575"/>
    </row>
    <row r="40" spans="1:16" x14ac:dyDescent="0.3">
      <c r="A40" s="193" t="str">
        <f ca="1">'Translation Table'!H2871</f>
        <v>Fuel Category</v>
      </c>
      <c r="C40" s="193"/>
      <c r="D40" s="563"/>
      <c r="E40" s="193"/>
    </row>
    <row r="41" spans="1:16" x14ac:dyDescent="0.3">
      <c r="A41" s="575"/>
      <c r="B41" s="575" t="str">
        <f ca="1">INDIRECT(CHAR(64+'Translation Table'!$D$1-6)&amp;ROW())</f>
        <v>Solid</v>
      </c>
      <c r="C41" s="575" t="str">
        <f>'Translation Table'!I2872</f>
        <v>Solid</v>
      </c>
      <c r="D41" s="575" t="str">
        <f>'Translation Table'!J2872 &amp; ""</f>
        <v>坚硬的</v>
      </c>
      <c r="E41" s="575" t="str">
        <f>'Translation Table'!K2872 &amp; ""</f>
        <v>Sólida</v>
      </c>
    </row>
    <row r="42" spans="1:16" x14ac:dyDescent="0.3">
      <c r="A42" s="193"/>
      <c r="B42" s="193" t="str">
        <f ca="1">INDIRECT(CHAR(64+'Translation Table'!$D$1-6)&amp;ROW())</f>
        <v>Liquid</v>
      </c>
      <c r="C42" s="193" t="str">
        <f>'Translation Table'!I2873</f>
        <v>Liquid</v>
      </c>
      <c r="D42" s="193" t="str">
        <f>'Translation Table'!J2873 &amp; ""</f>
        <v>液体</v>
      </c>
      <c r="E42" s="193" t="str">
        <f>'Translation Table'!K2873 &amp; ""</f>
        <v>Líquida</v>
      </c>
    </row>
    <row r="43" spans="1:16" x14ac:dyDescent="0.3">
      <c r="A43" s="575"/>
      <c r="B43" s="575" t="str">
        <f ca="1">INDIRECT(CHAR(64+'Translation Table'!$D$1-6)&amp;ROW())</f>
        <v>Gaseous</v>
      </c>
      <c r="C43" s="575" t="str">
        <f>'Translation Table'!I2874</f>
        <v>Gaseous</v>
      </c>
      <c r="D43" s="575" t="str">
        <f>'Translation Table'!J2874 &amp; ""</f>
        <v>气态</v>
      </c>
      <c r="E43" s="575" t="str">
        <f>'Translation Table'!K2874 &amp; ""</f>
        <v>Gaseosa</v>
      </c>
    </row>
    <row r="44" spans="1:16" x14ac:dyDescent="0.3">
      <c r="A44" s="193" t="str">
        <f ca="1">'Translation Table'!H2871</f>
        <v>Fuel Category</v>
      </c>
      <c r="B44" s="193"/>
      <c r="C44" s="193"/>
      <c r="D44" s="563"/>
      <c r="E44" s="193"/>
    </row>
    <row r="45" spans="1:16" x14ac:dyDescent="0.3">
      <c r="A45" s="575"/>
      <c r="B45" s="575" t="str">
        <f ca="1">INDIRECT(CHAR(64+'Translation Table'!$D$1-6)&amp;ROW())</f>
        <v>Liquid</v>
      </c>
      <c r="C45" s="575" t="str">
        <f>'Translation Table'!I2873</f>
        <v>Liquid</v>
      </c>
      <c r="D45" s="575" t="str">
        <f>'Translation Table'!J2873 &amp; ""</f>
        <v>液体</v>
      </c>
      <c r="E45" s="575" t="str">
        <f>'Translation Table'!K2873 &amp; ""</f>
        <v>Líquida</v>
      </c>
    </row>
    <row r="46" spans="1:16" x14ac:dyDescent="0.3">
      <c r="A46" s="193"/>
      <c r="B46" s="193" t="str">
        <f ca="1">INDIRECT(CHAR(64+'Translation Table'!$D$1-6)&amp;ROW())</f>
        <v>Gaseous</v>
      </c>
      <c r="C46" s="193" t="str">
        <f>'Translation Table'!I2874</f>
        <v>Gaseous</v>
      </c>
      <c r="D46" s="193" t="str">
        <f>'Translation Table'!J2874 &amp; ""</f>
        <v>气态</v>
      </c>
      <c r="E46" s="193" t="str">
        <f>'Translation Table'!K2874 &amp; ""</f>
        <v>Gaseosa</v>
      </c>
    </row>
    <row r="47" spans="1:16" x14ac:dyDescent="0.3">
      <c r="A47" s="575" t="str">
        <f ca="1">'Translation Table'!H2877</f>
        <v>Solid Fuels</v>
      </c>
      <c r="B47" s="575"/>
      <c r="C47" s="575"/>
      <c r="D47" s="591"/>
      <c r="E47" s="575"/>
    </row>
    <row r="48" spans="1:16" x14ac:dyDescent="0.3">
      <c r="A48" s="193"/>
      <c r="B48" s="193" t="str">
        <f ca="1">INDIRECT(CHAR(64+'Translation Table'!$D$1-6)&amp;ROW())</f>
        <v>Anthracite</v>
      </c>
      <c r="C48" s="193" t="str">
        <f>'Translation Table'!I2878</f>
        <v>Anthracite</v>
      </c>
      <c r="D48" s="563" t="str">
        <f>'Translation Table'!J2878 &amp; ""</f>
        <v>无烟煤</v>
      </c>
      <c r="E48" s="193" t="str">
        <f>'Translation Table'!K2878 &amp; ""</f>
        <v>Antracita</v>
      </c>
      <c r="F48" s="256" t="str">
        <f>'Translation Table'!L2878 &amp; ""</f>
        <v/>
      </c>
      <c r="G48" s="256" t="str">
        <f>'Translation Table'!M2878 &amp; ""</f>
        <v/>
      </c>
      <c r="H48" s="256" t="str">
        <f>'Translation Table'!N2878 &amp; ""</f>
        <v/>
      </c>
      <c r="I48" s="256" t="str">
        <f>'Translation Table'!O2878 &amp; ""</f>
        <v/>
      </c>
      <c r="J48" s="256" t="str">
        <f>'Translation Table'!P2878 &amp; ""</f>
        <v/>
      </c>
      <c r="K48" s="256" t="str">
        <f>'Translation Table'!Q2878 &amp; ""</f>
        <v/>
      </c>
      <c r="L48" s="256" t="str">
        <f>'Translation Table'!R2878 &amp; ""</f>
        <v/>
      </c>
      <c r="M48" s="256" t="str">
        <f>'Translation Table'!S2878 &amp; ""</f>
        <v/>
      </c>
      <c r="N48" s="256" t="str">
        <f>'Translation Table'!T2878 &amp; ""</f>
        <v/>
      </c>
      <c r="O48" s="256" t="str">
        <f>'Translation Table'!U2878 &amp; ""</f>
        <v/>
      </c>
      <c r="P48" s="256" t="str">
        <f>'Translation Table'!V2878 &amp; ""</f>
        <v/>
      </c>
    </row>
    <row r="49" spans="1:16" x14ac:dyDescent="0.3">
      <c r="A49" s="575"/>
      <c r="B49" s="575" t="str">
        <f ca="1">INDIRECT(CHAR(64+'Translation Table'!$D$1-6)&amp;ROW())</f>
        <v>Bituminous</v>
      </c>
      <c r="C49" s="575" t="str">
        <f>'Translation Table'!I2879</f>
        <v>Bituminous</v>
      </c>
      <c r="D49" s="591" t="str">
        <f>'Translation Table'!J2879 &amp; ""</f>
        <v>沥青</v>
      </c>
      <c r="E49" s="575" t="str">
        <f>'Translation Table'!K2879 &amp; ""</f>
        <v>Bituminosa</v>
      </c>
      <c r="F49" s="256" t="str">
        <f>'Translation Table'!L2879 &amp; ""</f>
        <v/>
      </c>
      <c r="G49" s="256" t="str">
        <f>'Translation Table'!M2879 &amp; ""</f>
        <v/>
      </c>
      <c r="H49" s="256" t="str">
        <f>'Translation Table'!N2879 &amp; ""</f>
        <v/>
      </c>
      <c r="I49" s="256" t="str">
        <f>'Translation Table'!O2879 &amp; ""</f>
        <v/>
      </c>
      <c r="J49" s="256" t="str">
        <f>'Translation Table'!P2879 &amp; ""</f>
        <v/>
      </c>
      <c r="K49" s="256" t="str">
        <f>'Translation Table'!Q2879 &amp; ""</f>
        <v/>
      </c>
      <c r="L49" s="256" t="str">
        <f>'Translation Table'!R2879 &amp; ""</f>
        <v/>
      </c>
      <c r="M49" s="256" t="str">
        <f>'Translation Table'!S2879 &amp; ""</f>
        <v/>
      </c>
      <c r="N49" s="256" t="str">
        <f>'Translation Table'!T2879 &amp; ""</f>
        <v/>
      </c>
      <c r="O49" s="256" t="str">
        <f>'Translation Table'!U2879 &amp; ""</f>
        <v/>
      </c>
      <c r="P49" s="256" t="str">
        <f>'Translation Table'!V2879 &amp; ""</f>
        <v/>
      </c>
    </row>
    <row r="50" spans="1:16" x14ac:dyDescent="0.3">
      <c r="A50" s="193"/>
      <c r="B50" s="193" t="str">
        <f ca="1">INDIRECT(CHAR(64+'Translation Table'!$D$1-6)&amp;ROW())</f>
        <v>Lignite</v>
      </c>
      <c r="C50" s="193" t="str">
        <f>'Translation Table'!I2880</f>
        <v>Lignite</v>
      </c>
      <c r="D50" s="563" t="str">
        <f>'Translation Table'!J2880 &amp; ""</f>
        <v>褐煤</v>
      </c>
      <c r="E50" s="193" t="str">
        <f>'Translation Table'!K2880 &amp; ""</f>
        <v>Lignito</v>
      </c>
      <c r="F50" s="256" t="str">
        <f>'Translation Table'!L2880 &amp; ""</f>
        <v/>
      </c>
      <c r="G50" s="256" t="str">
        <f>'Translation Table'!M2880 &amp; ""</f>
        <v/>
      </c>
      <c r="H50" s="256" t="str">
        <f>'Translation Table'!N2880 &amp; ""</f>
        <v/>
      </c>
      <c r="I50" s="256" t="str">
        <f>'Translation Table'!O2880 &amp; ""</f>
        <v/>
      </c>
      <c r="J50" s="256" t="str">
        <f>'Translation Table'!P2880 &amp; ""</f>
        <v/>
      </c>
      <c r="K50" s="256" t="str">
        <f>'Translation Table'!Q2880 &amp; ""</f>
        <v/>
      </c>
      <c r="L50" s="256" t="str">
        <f>'Translation Table'!R2880 &amp; ""</f>
        <v/>
      </c>
      <c r="M50" s="256" t="str">
        <f>'Translation Table'!S2880 &amp; ""</f>
        <v/>
      </c>
      <c r="N50" s="256" t="str">
        <f>'Translation Table'!T2880 &amp; ""</f>
        <v/>
      </c>
      <c r="O50" s="256" t="str">
        <f>'Translation Table'!U2880 &amp; ""</f>
        <v/>
      </c>
      <c r="P50" s="256" t="str">
        <f>'Translation Table'!V2880 &amp; ""</f>
        <v/>
      </c>
    </row>
    <row r="51" spans="1:16" x14ac:dyDescent="0.3">
      <c r="A51" s="575"/>
      <c r="B51" s="575" t="str">
        <f ca="1">INDIRECT(CHAR(64+'Translation Table'!$D$1-6)&amp;ROW())</f>
        <v>Cleaned Coal</v>
      </c>
      <c r="C51" s="575" t="str">
        <f>'Translation Table'!I2881</f>
        <v>Cleaned Coal</v>
      </c>
      <c r="D51" s="591" t="str">
        <f>'Translation Table'!J2881 &amp; ""</f>
        <v>精煤</v>
      </c>
      <c r="E51" s="575" t="str">
        <f>'Translation Table'!K2881 &amp; ""</f>
        <v>Carbón Limpio</v>
      </c>
      <c r="F51" s="256" t="str">
        <f>'Translation Table'!L2881 &amp; ""</f>
        <v/>
      </c>
      <c r="G51" s="256" t="str">
        <f>'Translation Table'!M2881 &amp; ""</f>
        <v/>
      </c>
      <c r="H51" s="256" t="str">
        <f>'Translation Table'!N2881 &amp; ""</f>
        <v/>
      </c>
      <c r="I51" s="256" t="str">
        <f>'Translation Table'!O2881 &amp; ""</f>
        <v/>
      </c>
      <c r="J51" s="256" t="str">
        <f>'Translation Table'!P2881 &amp; ""</f>
        <v/>
      </c>
      <c r="K51" s="256" t="str">
        <f>'Translation Table'!Q2881 &amp; ""</f>
        <v/>
      </c>
      <c r="L51" s="256" t="str">
        <f>'Translation Table'!R2881 &amp; ""</f>
        <v/>
      </c>
      <c r="M51" s="256" t="str">
        <f>'Translation Table'!S2881 &amp; ""</f>
        <v/>
      </c>
      <c r="N51" s="256" t="str">
        <f>'Translation Table'!T2881 &amp; ""</f>
        <v/>
      </c>
      <c r="O51" s="256" t="str">
        <f>'Translation Table'!U2881 &amp; ""</f>
        <v/>
      </c>
      <c r="P51" s="256" t="str">
        <f>'Translation Table'!V2881 &amp; ""</f>
        <v/>
      </c>
    </row>
    <row r="52" spans="1:16" x14ac:dyDescent="0.3">
      <c r="A52" s="193"/>
      <c r="B52" s="193" t="str">
        <f ca="1">INDIRECT(CHAR(64+'Translation Table'!$D$1-6)&amp;ROW())</f>
        <v>Other Washed Coal</v>
      </c>
      <c r="C52" s="193" t="str">
        <f>'Translation Table'!I2882</f>
        <v>Other Washed Coal</v>
      </c>
      <c r="D52" s="563" t="str">
        <f>'Translation Table'!J2882 &amp; ""</f>
        <v>其他洗煤</v>
      </c>
      <c r="E52" s="193" t="str">
        <f>'Translation Table'!K2882 &amp; ""</f>
        <v>Otro Carbón Lavado</v>
      </c>
      <c r="F52" s="256" t="str">
        <f>'Translation Table'!L2882 &amp; ""</f>
        <v/>
      </c>
      <c r="G52" s="256" t="str">
        <f>'Translation Table'!M2882 &amp; ""</f>
        <v/>
      </c>
      <c r="H52" s="256" t="str">
        <f>'Translation Table'!N2882 &amp; ""</f>
        <v/>
      </c>
      <c r="I52" s="256" t="str">
        <f>'Translation Table'!O2882 &amp; ""</f>
        <v/>
      </c>
      <c r="J52" s="256" t="str">
        <f>'Translation Table'!P2882 &amp; ""</f>
        <v/>
      </c>
      <c r="K52" s="256" t="str">
        <f>'Translation Table'!Q2882 &amp; ""</f>
        <v/>
      </c>
      <c r="L52" s="256" t="str">
        <f>'Translation Table'!R2882 &amp; ""</f>
        <v/>
      </c>
      <c r="M52" s="256" t="str">
        <f>'Translation Table'!S2882 &amp; ""</f>
        <v/>
      </c>
      <c r="N52" s="256" t="str">
        <f>'Translation Table'!T2882 &amp; ""</f>
        <v/>
      </c>
      <c r="O52" s="256" t="str">
        <f>'Translation Table'!U2882 &amp; ""</f>
        <v/>
      </c>
      <c r="P52" s="256" t="str">
        <f>'Translation Table'!V2882 &amp; ""</f>
        <v/>
      </c>
    </row>
    <row r="53" spans="1:16" x14ac:dyDescent="0.3">
      <c r="A53" s="575"/>
      <c r="B53" s="575" t="str">
        <f ca="1">INDIRECT(CHAR(64+'Translation Table'!$D$1-6)&amp;ROW())</f>
        <v>Briquette Coal</v>
      </c>
      <c r="C53" s="575" t="str">
        <f>'Translation Table'!I2883</f>
        <v>Briquette Coal</v>
      </c>
      <c r="D53" s="591" t="str">
        <f>'Translation Table'!J2883 &amp; ""</f>
        <v>型煤</v>
      </c>
      <c r="E53" s="575" t="str">
        <f>'Translation Table'!K2883 &amp; ""</f>
        <v>Carbón en Briquetas</v>
      </c>
      <c r="F53" s="256" t="str">
        <f>'Translation Table'!L2883 &amp; ""</f>
        <v/>
      </c>
      <c r="G53" s="256" t="str">
        <f>'Translation Table'!M2883 &amp; ""</f>
        <v/>
      </c>
      <c r="H53" s="256" t="str">
        <f>'Translation Table'!N2883 &amp; ""</f>
        <v/>
      </c>
      <c r="I53" s="256" t="str">
        <f>'Translation Table'!O2883 &amp; ""</f>
        <v/>
      </c>
      <c r="J53" s="256" t="str">
        <f>'Translation Table'!P2883 &amp; ""</f>
        <v/>
      </c>
      <c r="K53" s="256" t="str">
        <f>'Translation Table'!Q2883 &amp; ""</f>
        <v/>
      </c>
      <c r="L53" s="256" t="str">
        <f>'Translation Table'!R2883 &amp; ""</f>
        <v/>
      </c>
      <c r="M53" s="256" t="str">
        <f>'Translation Table'!S2883 &amp; ""</f>
        <v/>
      </c>
      <c r="N53" s="256" t="str">
        <f>'Translation Table'!T2883 &amp; ""</f>
        <v/>
      </c>
      <c r="O53" s="256" t="str">
        <f>'Translation Table'!U2883 &amp; ""</f>
        <v/>
      </c>
      <c r="P53" s="256" t="str">
        <f>'Translation Table'!V2883 &amp; ""</f>
        <v/>
      </c>
    </row>
    <row r="54" spans="1:16" x14ac:dyDescent="0.3">
      <c r="A54" s="193"/>
      <c r="B54" s="193" t="str">
        <f ca="1">INDIRECT(CHAR(64+'Translation Table'!$D$1-6)&amp;ROW())</f>
        <v>Coke</v>
      </c>
      <c r="C54" s="193" t="str">
        <f>'Translation Table'!I2884</f>
        <v>Coke</v>
      </c>
      <c r="D54" s="563" t="str">
        <f>'Translation Table'!J2884 &amp; ""</f>
        <v>焦炭</v>
      </c>
      <c r="E54" s="193" t="str">
        <f>'Translation Table'!K2884 &amp; ""</f>
        <v>Coque</v>
      </c>
      <c r="F54" s="256" t="str">
        <f>'Translation Table'!L2884 &amp; ""</f>
        <v/>
      </c>
      <c r="G54" s="256" t="str">
        <f>'Translation Table'!M2884 &amp; ""</f>
        <v/>
      </c>
      <c r="H54" s="256" t="str">
        <f>'Translation Table'!N2884 &amp; ""</f>
        <v/>
      </c>
      <c r="I54" s="256" t="str">
        <f>'Translation Table'!O2884 &amp; ""</f>
        <v/>
      </c>
      <c r="J54" s="256" t="str">
        <f>'Translation Table'!P2884 &amp; ""</f>
        <v/>
      </c>
      <c r="K54" s="256" t="str">
        <f>'Translation Table'!Q2884 &amp; ""</f>
        <v/>
      </c>
      <c r="L54" s="256" t="str">
        <f>'Translation Table'!R2884 &amp; ""</f>
        <v/>
      </c>
      <c r="M54" s="256" t="str">
        <f>'Translation Table'!S2884 &amp; ""</f>
        <v/>
      </c>
      <c r="N54" s="256" t="str">
        <f>'Translation Table'!T2884 &amp; ""</f>
        <v/>
      </c>
      <c r="O54" s="256" t="str">
        <f>'Translation Table'!U2884 &amp; ""</f>
        <v/>
      </c>
      <c r="P54" s="256" t="str">
        <f>'Translation Table'!V2884 &amp; ""</f>
        <v/>
      </c>
    </row>
    <row r="55" spans="1:16" x14ac:dyDescent="0.3">
      <c r="A55" s="575"/>
      <c r="B55" s="575" t="str">
        <f ca="1">INDIRECT(CHAR(64+'Translation Table'!$D$1-6)&amp;ROW())</f>
        <v>Petroleum Coke</v>
      </c>
      <c r="C55" s="575" t="str">
        <f>'Translation Table'!I2885</f>
        <v>Petroleum Coke</v>
      </c>
      <c r="D55" s="591" t="str">
        <f>'Translation Table'!J2885 &amp; ""</f>
        <v>石油焦炭</v>
      </c>
      <c r="E55" s="575" t="str">
        <f>'Translation Table'!K2885 &amp; ""</f>
        <v>Coque de Petróleo</v>
      </c>
      <c r="F55" s="256" t="str">
        <f>'Translation Table'!L2885 &amp; ""</f>
        <v/>
      </c>
      <c r="G55" s="256" t="str">
        <f>'Translation Table'!M2885 &amp; ""</f>
        <v/>
      </c>
      <c r="H55" s="256" t="str">
        <f>'Translation Table'!N2885 &amp; ""</f>
        <v/>
      </c>
      <c r="I55" s="256" t="str">
        <f>'Translation Table'!O2885 &amp; ""</f>
        <v/>
      </c>
      <c r="J55" s="256" t="str">
        <f>'Translation Table'!P2885 &amp; ""</f>
        <v/>
      </c>
      <c r="K55" s="256" t="str">
        <f>'Translation Table'!Q2885 &amp; ""</f>
        <v/>
      </c>
      <c r="L55" s="256" t="str">
        <f>'Translation Table'!R2885 &amp; ""</f>
        <v/>
      </c>
      <c r="M55" s="256" t="str">
        <f>'Translation Table'!S2885 &amp; ""</f>
        <v/>
      </c>
      <c r="N55" s="256" t="str">
        <f>'Translation Table'!T2885 &amp; ""</f>
        <v/>
      </c>
      <c r="O55" s="256" t="str">
        <f>'Translation Table'!U2885 &amp; ""</f>
        <v/>
      </c>
      <c r="P55" s="256" t="str">
        <f>'Translation Table'!V2885 &amp; ""</f>
        <v/>
      </c>
    </row>
    <row r="56" spans="1:16" x14ac:dyDescent="0.3">
      <c r="A56" s="193" t="str">
        <f ca="1">'Translation Table'!H2886</f>
        <v>Liquid Fuels</v>
      </c>
      <c r="B56" s="193"/>
      <c r="C56" s="193"/>
      <c r="D56" s="563"/>
      <c r="E56" s="193"/>
    </row>
    <row r="57" spans="1:16" x14ac:dyDescent="0.3">
      <c r="A57" s="575"/>
      <c r="B57" s="575" t="str">
        <f ca="1">INDIRECT(CHAR(64+'Translation Table'!$D$1-6)&amp;ROW())</f>
        <v>Crude Oil</v>
      </c>
      <c r="C57" s="575" t="str">
        <f>'Translation Table'!I2887</f>
        <v>Crude Oil</v>
      </c>
      <c r="D57" s="591" t="str">
        <f>'Translation Table'!J2887 &amp; ""</f>
        <v>原油</v>
      </c>
      <c r="E57" s="575" t="str">
        <f>'Translation Table'!K2887 &amp; ""</f>
        <v>Petróleo Crudo</v>
      </c>
      <c r="F57" s="256" t="str">
        <f>'Translation Table'!L2887 &amp; ""</f>
        <v/>
      </c>
      <c r="G57" s="256" t="str">
        <f>'Translation Table'!M2887 &amp; ""</f>
        <v/>
      </c>
      <c r="H57" s="256" t="str">
        <f>'Translation Table'!N2887 &amp; ""</f>
        <v/>
      </c>
      <c r="I57" s="256" t="str">
        <f>'Translation Table'!O2887 &amp; ""</f>
        <v/>
      </c>
      <c r="J57" s="256" t="str">
        <f>'Translation Table'!P2887 &amp; ""</f>
        <v/>
      </c>
      <c r="K57" s="256" t="str">
        <f>'Translation Table'!Q2887 &amp; ""</f>
        <v/>
      </c>
      <c r="L57" s="256" t="str">
        <f>'Translation Table'!R2887 &amp; ""</f>
        <v/>
      </c>
      <c r="M57" s="256" t="str">
        <f>'Translation Table'!S2887 &amp; ""</f>
        <v/>
      </c>
      <c r="N57" s="256" t="str">
        <f>'Translation Table'!T2887 &amp; ""</f>
        <v/>
      </c>
      <c r="O57" s="256" t="str">
        <f>'Translation Table'!U2887 &amp; ""</f>
        <v/>
      </c>
      <c r="P57" s="256" t="str">
        <f>'Translation Table'!V2887 &amp; ""</f>
        <v/>
      </c>
    </row>
    <row r="58" spans="1:16" x14ac:dyDescent="0.3">
      <c r="A58" s="193"/>
      <c r="B58" s="193" t="str">
        <f ca="1">INDIRECT(CHAR(64+'Translation Table'!$D$1-6)&amp;ROW())</f>
        <v>Fuel Oil</v>
      </c>
      <c r="C58" s="193" t="str">
        <f>'Translation Table'!I2888</f>
        <v>Fuel Oil</v>
      </c>
      <c r="D58" s="563" t="str">
        <f>'Translation Table'!J2888 &amp; ""</f>
        <v>燃油</v>
      </c>
      <c r="E58" s="193" t="str">
        <f>'Translation Table'!K2888 &amp; ""</f>
        <v>Combustóleo</v>
      </c>
      <c r="F58" s="256" t="str">
        <f>'Translation Table'!L2888 &amp; ""</f>
        <v/>
      </c>
      <c r="G58" s="256" t="str">
        <f>'Translation Table'!M2888 &amp; ""</f>
        <v/>
      </c>
      <c r="H58" s="256" t="str">
        <f>'Translation Table'!N2888 &amp; ""</f>
        <v/>
      </c>
      <c r="I58" s="256" t="str">
        <f>'Translation Table'!O2888 &amp; ""</f>
        <v/>
      </c>
      <c r="J58" s="256" t="str">
        <f>'Translation Table'!P2888 &amp; ""</f>
        <v/>
      </c>
      <c r="K58" s="256" t="str">
        <f>'Translation Table'!Q2888 &amp; ""</f>
        <v/>
      </c>
      <c r="L58" s="256" t="str">
        <f>'Translation Table'!R2888 &amp; ""</f>
        <v/>
      </c>
      <c r="M58" s="256" t="str">
        <f>'Translation Table'!S2888 &amp; ""</f>
        <v/>
      </c>
      <c r="N58" s="256" t="str">
        <f>'Translation Table'!T2888 &amp; ""</f>
        <v/>
      </c>
      <c r="O58" s="256" t="str">
        <f>'Translation Table'!U2888 &amp; ""</f>
        <v/>
      </c>
      <c r="P58" s="256" t="str">
        <f>'Translation Table'!V2888 &amp; ""</f>
        <v/>
      </c>
    </row>
    <row r="59" spans="1:16" x14ac:dyDescent="0.3">
      <c r="A59" s="575"/>
      <c r="B59" s="575" t="str">
        <f ca="1">INDIRECT(CHAR(64+'Translation Table'!$D$1-6)&amp;ROW())</f>
        <v>Gasoline</v>
      </c>
      <c r="C59" s="575" t="str">
        <f>'Translation Table'!I2889</f>
        <v>Gasoline</v>
      </c>
      <c r="D59" s="591" t="str">
        <f>'Translation Table'!J2889 &amp; ""</f>
        <v>汽油</v>
      </c>
      <c r="E59" s="575" t="str">
        <f>'Translation Table'!K2889 &amp; ""</f>
        <v>Gasolina</v>
      </c>
      <c r="F59" s="256" t="str">
        <f>'Translation Table'!L2889 &amp; ""</f>
        <v/>
      </c>
      <c r="G59" s="256" t="str">
        <f>'Translation Table'!M2889 &amp; ""</f>
        <v/>
      </c>
      <c r="H59" s="256" t="str">
        <f>'Translation Table'!N2889 &amp; ""</f>
        <v/>
      </c>
      <c r="I59" s="256" t="str">
        <f>'Translation Table'!O2889 &amp; ""</f>
        <v/>
      </c>
      <c r="J59" s="256" t="str">
        <f>'Translation Table'!P2889 &amp; ""</f>
        <v/>
      </c>
      <c r="K59" s="256" t="str">
        <f>'Translation Table'!Q2889 &amp; ""</f>
        <v/>
      </c>
      <c r="L59" s="256" t="str">
        <f>'Translation Table'!R2889 &amp; ""</f>
        <v/>
      </c>
      <c r="M59" s="256" t="str">
        <f>'Translation Table'!S2889 &amp; ""</f>
        <v/>
      </c>
      <c r="N59" s="256" t="str">
        <f>'Translation Table'!T2889 &amp; ""</f>
        <v/>
      </c>
      <c r="O59" s="256" t="str">
        <f>'Translation Table'!U2889 &amp; ""</f>
        <v/>
      </c>
      <c r="P59" s="256" t="str">
        <f>'Translation Table'!V2889 &amp; ""</f>
        <v/>
      </c>
    </row>
    <row r="60" spans="1:16" x14ac:dyDescent="0.3">
      <c r="A60" s="193"/>
      <c r="B60" s="193" t="str">
        <f ca="1">INDIRECT(CHAR(64+'Translation Table'!$D$1-6)&amp;ROW())</f>
        <v>Diesel</v>
      </c>
      <c r="C60" s="193" t="str">
        <f>'Translation Table'!I2890</f>
        <v>Diesel</v>
      </c>
      <c r="D60" s="563" t="str">
        <f>'Translation Table'!J2890 &amp; ""</f>
        <v>柴油</v>
      </c>
      <c r="E60" s="193" t="str">
        <f>'Translation Table'!K2890 &amp; ""</f>
        <v>Diésel</v>
      </c>
      <c r="F60" s="256" t="str">
        <f>'Translation Table'!L2890 &amp; ""</f>
        <v/>
      </c>
      <c r="G60" s="256" t="str">
        <f>'Translation Table'!M2890 &amp; ""</f>
        <v/>
      </c>
      <c r="H60" s="256" t="str">
        <f>'Translation Table'!N2890 &amp; ""</f>
        <v/>
      </c>
      <c r="I60" s="256" t="str">
        <f>'Translation Table'!O2890 &amp; ""</f>
        <v/>
      </c>
      <c r="J60" s="256" t="str">
        <f>'Translation Table'!P2890 &amp; ""</f>
        <v/>
      </c>
      <c r="K60" s="256" t="str">
        <f>'Translation Table'!Q2890 &amp; ""</f>
        <v/>
      </c>
      <c r="L60" s="256" t="str">
        <f>'Translation Table'!R2890 &amp; ""</f>
        <v/>
      </c>
      <c r="M60" s="256" t="str">
        <f>'Translation Table'!S2890 &amp; ""</f>
        <v/>
      </c>
      <c r="N60" s="256" t="str">
        <f>'Translation Table'!T2890 &amp; ""</f>
        <v/>
      </c>
      <c r="O60" s="256" t="str">
        <f>'Translation Table'!U2890 &amp; ""</f>
        <v/>
      </c>
      <c r="P60" s="256" t="str">
        <f>'Translation Table'!V2890 &amp; ""</f>
        <v/>
      </c>
    </row>
    <row r="61" spans="1:16" x14ac:dyDescent="0.3">
      <c r="A61" s="575"/>
      <c r="B61" s="575" t="str">
        <f ca="1">INDIRECT(CHAR(64+'Translation Table'!$D$1-6)&amp;ROW())</f>
        <v>Aviation Kerosene</v>
      </c>
      <c r="C61" s="575" t="str">
        <f>'Translation Table'!I2891</f>
        <v>Aviation Kerosene</v>
      </c>
      <c r="D61" s="591" t="str">
        <f>'Translation Table'!J2891 &amp; ""</f>
        <v>航空煤油</v>
      </c>
      <c r="E61" s="575" t="str">
        <f>'Translation Table'!K2891 &amp; ""</f>
        <v>Combustible de Aviación</v>
      </c>
      <c r="F61" s="256" t="str">
        <f>'Translation Table'!L2891 &amp; ""</f>
        <v/>
      </c>
      <c r="G61" s="256" t="str">
        <f>'Translation Table'!M2891 &amp; ""</f>
        <v/>
      </c>
      <c r="H61" s="256" t="str">
        <f>'Translation Table'!N2891 &amp; ""</f>
        <v/>
      </c>
      <c r="I61" s="256" t="str">
        <f>'Translation Table'!O2891 &amp; ""</f>
        <v/>
      </c>
      <c r="J61" s="256" t="str">
        <f>'Translation Table'!P2891 &amp; ""</f>
        <v/>
      </c>
      <c r="K61" s="256" t="str">
        <f>'Translation Table'!Q2891 &amp; ""</f>
        <v/>
      </c>
      <c r="L61" s="256" t="str">
        <f>'Translation Table'!R2891 &amp; ""</f>
        <v/>
      </c>
      <c r="M61" s="256" t="str">
        <f>'Translation Table'!S2891 &amp; ""</f>
        <v/>
      </c>
      <c r="N61" s="256" t="str">
        <f>'Translation Table'!T2891 &amp; ""</f>
        <v/>
      </c>
      <c r="O61" s="256" t="str">
        <f>'Translation Table'!U2891 &amp; ""</f>
        <v/>
      </c>
      <c r="P61" s="256" t="str">
        <f>'Translation Table'!V2891 &amp; ""</f>
        <v/>
      </c>
    </row>
    <row r="62" spans="1:16" x14ac:dyDescent="0.3">
      <c r="A62" s="193"/>
      <c r="B62" s="193" t="str">
        <f ca="1">INDIRECT(CHAR(64+'Translation Table'!$D$1-6)&amp;ROW())</f>
        <v>Common Kerosene</v>
      </c>
      <c r="C62" s="193" t="str">
        <f>'Translation Table'!I2892</f>
        <v>Common Kerosene</v>
      </c>
      <c r="D62" s="563" t="str">
        <f>'Translation Table'!J2892 &amp; ""</f>
        <v>普通煤油</v>
      </c>
      <c r="E62" s="193" t="str">
        <f>'Translation Table'!K2892 &amp; ""</f>
        <v>Queroseno Común</v>
      </c>
      <c r="F62" s="256" t="str">
        <f>'Translation Table'!L2892 &amp; ""</f>
        <v/>
      </c>
      <c r="G62" s="256" t="str">
        <f>'Translation Table'!M2892 &amp; ""</f>
        <v/>
      </c>
      <c r="H62" s="256" t="str">
        <f>'Translation Table'!N2892 &amp; ""</f>
        <v/>
      </c>
      <c r="I62" s="256" t="str">
        <f>'Translation Table'!O2892 &amp; ""</f>
        <v/>
      </c>
      <c r="J62" s="256" t="str">
        <f>'Translation Table'!P2892 &amp; ""</f>
        <v/>
      </c>
      <c r="K62" s="256" t="str">
        <f>'Translation Table'!Q2892 &amp; ""</f>
        <v/>
      </c>
      <c r="L62" s="256" t="str">
        <f>'Translation Table'!R2892 &amp; ""</f>
        <v/>
      </c>
      <c r="M62" s="256" t="str">
        <f>'Translation Table'!S2892 &amp; ""</f>
        <v/>
      </c>
      <c r="N62" s="256" t="str">
        <f>'Translation Table'!T2892 &amp; ""</f>
        <v/>
      </c>
      <c r="O62" s="256" t="str">
        <f>'Translation Table'!U2892 &amp; ""</f>
        <v/>
      </c>
      <c r="P62" s="256" t="str">
        <f>'Translation Table'!V2892 &amp; ""</f>
        <v/>
      </c>
    </row>
    <row r="63" spans="1:16" x14ac:dyDescent="0.3">
      <c r="A63" s="575"/>
      <c r="B63" s="575" t="str">
        <f ca="1">INDIRECT(CHAR(64+'Translation Table'!$D$1-6)&amp;ROW())</f>
        <v>Naphtha</v>
      </c>
      <c r="C63" s="575" t="str">
        <f>'Translation Table'!I2893</f>
        <v>Naphtha</v>
      </c>
      <c r="D63" s="591" t="str">
        <f>'Translation Table'!J2893 &amp; ""</f>
        <v>石脑油</v>
      </c>
      <c r="E63" s="575" t="str">
        <f>'Translation Table'!K2893 &amp; ""</f>
        <v>Nafta</v>
      </c>
      <c r="F63" s="256" t="str">
        <f>'Translation Table'!L2893 &amp; ""</f>
        <v/>
      </c>
      <c r="G63" s="256" t="str">
        <f>'Translation Table'!M2893 &amp; ""</f>
        <v/>
      </c>
      <c r="H63" s="256" t="str">
        <f>'Translation Table'!N2893 &amp; ""</f>
        <v/>
      </c>
      <c r="I63" s="256" t="str">
        <f>'Translation Table'!O2893 &amp; ""</f>
        <v/>
      </c>
      <c r="J63" s="256" t="str">
        <f>'Translation Table'!P2893 &amp; ""</f>
        <v/>
      </c>
      <c r="K63" s="256" t="str">
        <f>'Translation Table'!Q2893 &amp; ""</f>
        <v/>
      </c>
      <c r="L63" s="256" t="str">
        <f>'Translation Table'!R2893 &amp; ""</f>
        <v/>
      </c>
      <c r="M63" s="256" t="str">
        <f>'Translation Table'!S2893 &amp; ""</f>
        <v/>
      </c>
      <c r="N63" s="256" t="str">
        <f>'Translation Table'!T2893 &amp; ""</f>
        <v/>
      </c>
      <c r="O63" s="256" t="str">
        <f>'Translation Table'!U2893 &amp; ""</f>
        <v/>
      </c>
      <c r="P63" s="256" t="str">
        <f>'Translation Table'!V2893 &amp; ""</f>
        <v/>
      </c>
    </row>
    <row r="64" spans="1:16" x14ac:dyDescent="0.3">
      <c r="A64" s="193"/>
      <c r="B64" s="193" t="str">
        <f ca="1">INDIRECT(CHAR(64+'Translation Table'!$D$1-6)&amp;ROW())</f>
        <v>Liquefied Petroleum Gas</v>
      </c>
      <c r="C64" s="193" t="str">
        <f>'Translation Table'!I2894</f>
        <v>Liquefied Petroleum Gas</v>
      </c>
      <c r="D64" s="563" t="str">
        <f>'Translation Table'!J2894 &amp; ""</f>
        <v>液化石油气</v>
      </c>
      <c r="E64" s="193" t="str">
        <f>'Translation Table'!K2894 &amp; ""</f>
        <v>Gas Licuado de Petróleo</v>
      </c>
      <c r="F64" s="256" t="str">
        <f>'Translation Table'!L2894 &amp; ""</f>
        <v/>
      </c>
      <c r="G64" s="256" t="str">
        <f>'Translation Table'!M2894 &amp; ""</f>
        <v/>
      </c>
      <c r="H64" s="256" t="str">
        <f>'Translation Table'!N2894 &amp; ""</f>
        <v/>
      </c>
      <c r="I64" s="256" t="str">
        <f>'Translation Table'!O2894 &amp; ""</f>
        <v/>
      </c>
      <c r="J64" s="256" t="str">
        <f>'Translation Table'!P2894 &amp; ""</f>
        <v/>
      </c>
      <c r="K64" s="256" t="str">
        <f>'Translation Table'!Q2894 &amp; ""</f>
        <v/>
      </c>
      <c r="L64" s="256" t="str">
        <f>'Translation Table'!R2894 &amp; ""</f>
        <v/>
      </c>
      <c r="M64" s="256" t="str">
        <f>'Translation Table'!S2894 &amp; ""</f>
        <v/>
      </c>
      <c r="N64" s="256" t="str">
        <f>'Translation Table'!T2894 &amp; ""</f>
        <v/>
      </c>
      <c r="O64" s="256" t="str">
        <f>'Translation Table'!U2894 &amp; ""</f>
        <v/>
      </c>
      <c r="P64" s="256" t="str">
        <f>'Translation Table'!V2894 &amp; ""</f>
        <v/>
      </c>
    </row>
    <row r="65" spans="1:16" x14ac:dyDescent="0.3">
      <c r="A65" s="575"/>
      <c r="B65" s="575" t="str">
        <f ca="1">INDIRECT(CHAR(64+'Translation Table'!$D$1-6)&amp;ROW())</f>
        <v>Liquefied Natural Gas</v>
      </c>
      <c r="C65" s="575" t="str">
        <f>'Translation Table'!I2895</f>
        <v>Liquefied Natural Gas</v>
      </c>
      <c r="D65" s="591" t="str">
        <f>'Translation Table'!J2895 &amp; ""</f>
        <v>液化天然气</v>
      </c>
      <c r="E65" s="575" t="str">
        <f>'Translation Table'!K2895 &amp; ""</f>
        <v>Gas Natural Licuado</v>
      </c>
    </row>
    <row r="66" spans="1:16" x14ac:dyDescent="0.3">
      <c r="A66" s="193"/>
      <c r="B66" s="193" t="str">
        <f ca="1">INDIRECT(CHAR(64+'Translation Table'!$D$1-6)&amp;ROW())</f>
        <v>Propane (liquid)</v>
      </c>
      <c r="C66" s="193" t="str">
        <f>'Translation Table'!I2896</f>
        <v>Propane (liquid)</v>
      </c>
      <c r="D66" s="563" t="str">
        <f>'Translation Table'!J2896 &amp; ""</f>
        <v>丙烷（液體）</v>
      </c>
      <c r="E66" s="193" t="str">
        <f>'Translation Table'!K2896 &amp; ""</f>
        <v>Propano (líquido)</v>
      </c>
      <c r="F66" s="256" t="str">
        <f>'Translation Table'!L2896 &amp; ""</f>
        <v/>
      </c>
      <c r="G66" s="256" t="str">
        <f>'Translation Table'!M2896 &amp; ""</f>
        <v/>
      </c>
      <c r="H66" s="256" t="str">
        <f>'Translation Table'!N2896 &amp; ""</f>
        <v/>
      </c>
      <c r="I66" s="256" t="str">
        <f>'Translation Table'!O2896 &amp; ""</f>
        <v/>
      </c>
      <c r="J66" s="256" t="str">
        <f>'Translation Table'!P2896 &amp; ""</f>
        <v/>
      </c>
      <c r="K66" s="256" t="str">
        <f>'Translation Table'!Q2896 &amp; ""</f>
        <v/>
      </c>
      <c r="L66" s="256" t="str">
        <f>'Translation Table'!R2896 &amp; ""</f>
        <v/>
      </c>
      <c r="M66" s="256" t="str">
        <f>'Translation Table'!S2896 &amp; ""</f>
        <v/>
      </c>
      <c r="N66" s="256" t="str">
        <f>'Translation Table'!T2896 &amp; ""</f>
        <v/>
      </c>
      <c r="O66" s="256" t="str">
        <f>'Translation Table'!U2896 &amp; ""</f>
        <v/>
      </c>
      <c r="P66" s="256" t="str">
        <f>'Translation Table'!V2896 &amp; ""</f>
        <v/>
      </c>
    </row>
    <row r="67" spans="1:16" x14ac:dyDescent="0.3">
      <c r="A67" s="575" t="str">
        <f ca="1">'Translation Table'!H2897</f>
        <v>Gaseous Fuels</v>
      </c>
      <c r="B67" s="575"/>
      <c r="C67" s="575"/>
      <c r="D67" s="591"/>
      <c r="E67" s="575"/>
    </row>
    <row r="68" spans="1:16" x14ac:dyDescent="0.3">
      <c r="A68" s="193"/>
      <c r="B68" s="193" t="str">
        <f ca="1">INDIRECT(CHAR(64+'Translation Table'!$D$1-6)&amp;ROW())</f>
        <v>Natural Gas</v>
      </c>
      <c r="C68" s="193" t="str">
        <f>'Translation Table'!I2898</f>
        <v>Natural Gas</v>
      </c>
      <c r="D68" s="563" t="str">
        <f>'Translation Table'!J2898 &amp; ""</f>
        <v>天然气</v>
      </c>
      <c r="E68" s="193" t="str">
        <f>'Translation Table'!K2898 &amp; ""</f>
        <v>Gas Natural</v>
      </c>
      <c r="F68" s="256" t="str">
        <f>'Translation Table'!L2898 &amp; ""</f>
        <v/>
      </c>
      <c r="G68" s="256" t="str">
        <f>'Translation Table'!M2898 &amp; ""</f>
        <v/>
      </c>
      <c r="H68" s="256" t="str">
        <f>'Translation Table'!N2898 &amp; ""</f>
        <v/>
      </c>
      <c r="I68" s="256" t="str">
        <f>'Translation Table'!O2898 &amp; ""</f>
        <v/>
      </c>
      <c r="J68" s="256" t="str">
        <f>'Translation Table'!P2898 &amp; ""</f>
        <v/>
      </c>
      <c r="K68" s="256" t="str">
        <f>'Translation Table'!Q2898 &amp; ""</f>
        <v/>
      </c>
      <c r="L68" s="256" t="str">
        <f>'Translation Table'!R2898 &amp; ""</f>
        <v/>
      </c>
      <c r="M68" s="256" t="str">
        <f>'Translation Table'!S2898 &amp; ""</f>
        <v/>
      </c>
      <c r="N68" s="256" t="str">
        <f>'Translation Table'!T2898 &amp; ""</f>
        <v/>
      </c>
      <c r="O68" s="256" t="str">
        <f>'Translation Table'!U2898 &amp; ""</f>
        <v/>
      </c>
      <c r="P68" s="256" t="str">
        <f>'Translation Table'!V2898 &amp; ""</f>
        <v/>
      </c>
    </row>
    <row r="69" spans="1:16" x14ac:dyDescent="0.3">
      <c r="A69" s="575" t="str">
        <f ca="1">'Translation Table'!H2904</f>
        <v>Application Type</v>
      </c>
      <c r="B69" s="575"/>
      <c r="C69" s="575"/>
      <c r="D69" s="591"/>
      <c r="E69" s="575"/>
    </row>
    <row r="70" spans="1:16" x14ac:dyDescent="0.3">
      <c r="A70" s="193"/>
      <c r="B70" s="193" t="str">
        <f ca="1">INDIRECT(CHAR(64+'Translation Table'!$D$1-6)&amp;ROW())</f>
        <v>Turbine</v>
      </c>
      <c r="C70" s="193" t="str">
        <f>'Translation Table'!I2905</f>
        <v>Turbine</v>
      </c>
      <c r="D70" s="563" t="str">
        <f>'Translation Table'!J2905 &amp; ""</f>
        <v>燃气轮机</v>
      </c>
      <c r="E70" s="193" t="str">
        <f>'Translation Table'!K2905 &amp; ""</f>
        <v>Turbina de gas</v>
      </c>
    </row>
    <row r="71" spans="1:16" x14ac:dyDescent="0.3">
      <c r="A71" s="575"/>
      <c r="B71" s="575" t="str">
        <f ca="1">INDIRECT(CHAR(64+'Translation Table'!$D$1-6)&amp;ROW())</f>
        <v>Gas Engine (2-Stroke Lean-Burn)</v>
      </c>
      <c r="C71" s="575" t="str">
        <f>'Translation Table'!I2906</f>
        <v>Gas Engine (2-Stroke Lean-Burn)</v>
      </c>
      <c r="D71" s="591" t="str">
        <f>'Translation Table'!J2906 &amp; ""</f>
        <v>气体接收。发动机（2 冲程稀薄燃烧</v>
      </c>
      <c r="E71" s="575" t="str">
        <f>'Translation Table'!K2906 &amp; ""</f>
        <v>Receta de gasolina Motor (2 tiempos de mezcla pobre)</v>
      </c>
    </row>
    <row r="72" spans="1:16" x14ac:dyDescent="0.3">
      <c r="A72" s="193"/>
      <c r="B72" s="193" t="str">
        <f ca="1">INDIRECT(CHAR(64+'Translation Table'!$D$1-6)&amp;ROW())</f>
        <v>Gas Engine (4-Stroke Lean-Burn)</v>
      </c>
      <c r="C72" s="193" t="str">
        <f>'Translation Table'!I2907</f>
        <v>Gas Engine (4-Stroke Lean-Burn)</v>
      </c>
      <c r="D72" s="563" t="str">
        <f>'Translation Table'!J2907 &amp; ""</f>
        <v>气体接收。发动机（4 冲程稀薄燃烧</v>
      </c>
      <c r="E72" s="193" t="str">
        <f>'Translation Table'!K2907 &amp; ""</f>
        <v>Receta de gasolina Motor (4 tiempos de mezcla pobre)</v>
      </c>
    </row>
    <row r="73" spans="1:16" x14ac:dyDescent="0.3">
      <c r="A73" s="575"/>
      <c r="B73" s="575" t="str">
        <f ca="1">INDIRECT(CHAR(64+'Translation Table'!$D$1-6)&amp;ROW())</f>
        <v>Gas Engine (4-Stroke Rich-Burn)</v>
      </c>
      <c r="C73" s="575" t="str">
        <f>'Translation Table'!I2908</f>
        <v>Gas Engine (4-Stroke Rich-Burn)</v>
      </c>
      <c r="D73" s="591" t="str">
        <f>'Translation Table'!J2908 &amp; ""</f>
        <v>气体接收。发动机（4 冲程富燃)</v>
      </c>
      <c r="E73" s="575" t="str">
        <f>'Translation Table'!K2908 &amp; ""</f>
        <v>Receta de gasolina Motor (4 tiempos Rich-Burn)</v>
      </c>
    </row>
    <row r="74" spans="1:16" x14ac:dyDescent="0.3">
      <c r="A74" s="193"/>
      <c r="B74" s="193" t="str">
        <f ca="1">INDIRECT(CHAR(64+'Translation Table'!$D$1-6)&amp;ROW())</f>
        <v>Heaters &amp; Boilers</v>
      </c>
      <c r="C74" s="193" t="str">
        <f>'Translation Table'!I2909</f>
        <v>Heaters &amp; Boilers</v>
      </c>
      <c r="D74" s="563" t="str">
        <f>'Translation Table'!J2909 &amp; ""</f>
        <v>加热器和锅炉</v>
      </c>
      <c r="E74" s="193" t="str">
        <f>'Translation Table'!K2909 &amp; ""</f>
        <v>Calentadores y Calderas</v>
      </c>
    </row>
    <row r="75" spans="1:16" x14ac:dyDescent="0.3">
      <c r="A75" s="575"/>
      <c r="B75" s="575" t="str">
        <f ca="1">INDIRECT(CHAR(64+'Translation Table'!$D$1-6)&amp;ROW())</f>
        <v>Heaters &amp; Boilers (Low-NOx)</v>
      </c>
      <c r="C75" s="575" t="str">
        <f>'Translation Table'!I2910</f>
        <v>Heaters &amp; Boilers (Low-NOx)</v>
      </c>
      <c r="D75" s="591" t="str">
        <f>'Translation Table'!J2910 &amp; ""</f>
        <v>加热器和锅炉（低氮氧化物)</v>
      </c>
      <c r="E75" s="575" t="str">
        <f>'Translation Table'!K2910 &amp; ""</f>
        <v>Calentadores y Calderas (Bajo NOx)</v>
      </c>
    </row>
    <row r="76" spans="1:16" x14ac:dyDescent="0.3">
      <c r="A76" s="193"/>
      <c r="B76" s="193"/>
      <c r="C76" s="193"/>
      <c r="D76" s="563"/>
      <c r="E76" s="193"/>
    </row>
    <row r="77" spans="1:16" x14ac:dyDescent="0.3">
      <c r="A77" s="577" t="str">
        <f ca="1">'Translation Table'!H2911</f>
        <v>Heater/Boiler Type</v>
      </c>
      <c r="B77" s="665"/>
      <c r="C77" s="577"/>
      <c r="D77" s="666"/>
      <c r="E77" s="577"/>
    </row>
    <row r="78" spans="1:16" x14ac:dyDescent="0.3">
      <c r="A78" s="48"/>
      <c r="B78" s="48" t="str">
        <f ca="1">INDIRECT(CHAR(64+'Translation Table'!$D$1-6)&amp;ROW())</f>
        <v>Heaters &amp; Boilers</v>
      </c>
      <c r="C78" s="48" t="str">
        <f>'Translation Table'!I2909</f>
        <v>Heaters &amp; Boilers</v>
      </c>
      <c r="D78" s="48" t="str">
        <f>'Translation Table'!J2909 &amp; ""</f>
        <v>加热器和锅炉</v>
      </c>
      <c r="E78" s="48" t="str">
        <f>'Translation Table'!K2909 &amp; ""</f>
        <v>Calentadores y Calderas</v>
      </c>
    </row>
    <row r="79" spans="1:16" x14ac:dyDescent="0.3">
      <c r="A79" s="577"/>
      <c r="B79" s="577" t="str">
        <f ca="1">INDIRECT(CHAR(64+'Translation Table'!$D$1-6)&amp;ROW())</f>
        <v>Heaters &amp; Boilers (Low-NOx)</v>
      </c>
      <c r="C79" s="577" t="str">
        <f>'Translation Table'!I2910</f>
        <v>Heaters &amp; Boilers (Low-NOx)</v>
      </c>
      <c r="D79" s="577" t="str">
        <f>'Translation Table'!J2910 &amp; ""</f>
        <v>加热器和锅炉（低氮氧化物)</v>
      </c>
      <c r="E79" s="577" t="str">
        <f>'Translation Table'!K2910 &amp; ""</f>
        <v>Calentadores y Calderas (Bajo NOx)</v>
      </c>
    </row>
    <row r="80" spans="1:16" x14ac:dyDescent="0.3">
      <c r="A80" s="48" t="str">
        <f ca="1">'Translation Table'!H2935</f>
        <v>Engine Type</v>
      </c>
      <c r="B80" s="65"/>
      <c r="C80" s="48"/>
      <c r="D80" s="48"/>
      <c r="E80" s="48"/>
    </row>
    <row r="81" spans="1:5" x14ac:dyDescent="0.3">
      <c r="A81" s="577"/>
      <c r="B81" s="577" t="str">
        <f ca="1">INDIRECT(CHAR(64+'Translation Table'!$D$1-6)&amp;ROW())</f>
        <v>Turbine</v>
      </c>
      <c r="C81" s="577" t="str">
        <f>'Translation Table'!I2913</f>
        <v>Turbine</v>
      </c>
      <c r="D81" s="577" t="str">
        <f>'Translation Table'!J2913 &amp; ""</f>
        <v>Turbine</v>
      </c>
      <c r="E81" s="577" t="str">
        <f>'Translation Table'!K2913 &amp; ""</f>
        <v>Turbine</v>
      </c>
    </row>
    <row r="82" spans="1:5" x14ac:dyDescent="0.3">
      <c r="A82" s="48"/>
      <c r="B82" s="48" t="str">
        <f ca="1">INDIRECT(CHAR(64+'Translation Table'!$D$1-6)&amp;ROW())</f>
        <v>Engine (Liquid Fuel)</v>
      </c>
      <c r="C82" s="48" t="str">
        <f>'Translation Table'!I2914</f>
        <v>Engine (Liquid Fuel)</v>
      </c>
      <c r="D82" s="48" t="str">
        <f>'Translation Table'!J2914 &amp; ""</f>
        <v>Engine (Liquid Fuel)</v>
      </c>
      <c r="E82" s="48" t="str">
        <f>'Translation Table'!K2914 &amp; ""</f>
        <v>Engine (Liquid Fuel)</v>
      </c>
    </row>
    <row r="83" spans="1:5" x14ac:dyDescent="0.3">
      <c r="A83" s="577"/>
      <c r="B83" s="577" t="str">
        <f ca="1">INDIRECT(CHAR(64+'Translation Table'!$D$1-6)&amp;ROW())</f>
        <v>Gas Engine (2-Stroke Lean-Burn)</v>
      </c>
      <c r="C83" s="577" t="str">
        <f>'Translation Table'!I2915</f>
        <v>Gas Engine (2-Stroke Lean-Burn)</v>
      </c>
      <c r="D83" s="577" t="str">
        <f>'Translation Table'!J2915 &amp; ""</f>
        <v>Gas Engine (2-Stroke Lean-Burn)</v>
      </c>
      <c r="E83" s="577" t="str">
        <f>'Translation Table'!K2915 &amp; ""</f>
        <v>Gas Engine (2-Stroke Lean-Burn)</v>
      </c>
    </row>
    <row r="84" spans="1:5" x14ac:dyDescent="0.3">
      <c r="A84" s="48"/>
      <c r="B84" s="48" t="str">
        <f ca="1">INDIRECT(CHAR(64+'Translation Table'!$D$1-6)&amp;ROW())</f>
        <v>Gas Engine (4-Stroke Lean-Burn)</v>
      </c>
      <c r="C84" s="48" t="str">
        <f>'Translation Table'!I2916</f>
        <v>Gas Engine (4-Stroke Lean-Burn)</v>
      </c>
      <c r="D84" s="48" t="str">
        <f>'Translation Table'!J2916 &amp; ""</f>
        <v>Gas Engine (4-Stroke Lean-Burn)</v>
      </c>
      <c r="E84" s="48" t="str">
        <f>'Translation Table'!K2916 &amp; ""</f>
        <v>Gas Engine (4-Stroke Lean-Burn)</v>
      </c>
    </row>
    <row r="85" spans="1:5" x14ac:dyDescent="0.3">
      <c r="A85" s="577"/>
      <c r="B85" s="577" t="str">
        <f ca="1">INDIRECT(CHAR(64+'Translation Table'!$D$1-6)&amp;ROW())</f>
        <v>Gas Engine (4-Stroke Rich-Burn)</v>
      </c>
      <c r="C85" s="577" t="str">
        <f>'Translation Table'!I2917</f>
        <v>Gas Engine (4-Stroke Rich-Burn)</v>
      </c>
      <c r="D85" s="577" t="str">
        <f>'Translation Table'!J2917 &amp; ""</f>
        <v>Gas Engine (4-Stroke Rich-Burn)</v>
      </c>
      <c r="E85" s="577" t="str">
        <f>'Translation Table'!K2917 &amp; ""</f>
        <v>Gas Engine (4-Stroke Rich-Burn)</v>
      </c>
    </row>
    <row r="86" spans="1:5" x14ac:dyDescent="0.3">
      <c r="A86" s="48" t="str">
        <f>'Translation Table'!I2918</f>
        <v>Basis</v>
      </c>
      <c r="B86" s="48"/>
      <c r="C86" s="48"/>
      <c r="D86" s="48"/>
      <c r="E86" s="48"/>
    </row>
    <row r="87" spans="1:5" x14ac:dyDescent="0.3">
      <c r="A87" s="577"/>
      <c r="B87" s="577" t="str">
        <f ca="1">INDIRECT(CHAR(64+'Translation Table'!$D$1-6)&amp;ROW())</f>
        <v>Manufacturer</v>
      </c>
      <c r="C87" s="577" t="str">
        <f>'Translation Table'!I2919</f>
        <v>Manufacturer</v>
      </c>
      <c r="D87" s="577" t="str">
        <f>'Translation Table'!J2919 &amp; ""</f>
        <v>Manufacturer</v>
      </c>
      <c r="E87" s="577" t="str">
        <f>'Translation Table'!K2919 &amp; ""</f>
        <v>Manufacturer</v>
      </c>
    </row>
    <row r="88" spans="1:5" x14ac:dyDescent="0.3">
      <c r="A88" s="48"/>
      <c r="B88" s="48" t="str">
        <f ca="1">INDIRECT(CHAR(64+'Translation Table'!$D$1-6)&amp;ROW())</f>
        <v>Engineering Judgement</v>
      </c>
      <c r="C88" s="48" t="str">
        <f>'Translation Table'!I2920</f>
        <v>Engineering Judgement</v>
      </c>
      <c r="D88" s="48" t="str">
        <f>'Translation Table'!J2920 &amp; ""</f>
        <v>Engineering Judgement</v>
      </c>
      <c r="E88" s="48" t="str">
        <f>'Translation Table'!K2920 &amp; ""</f>
        <v>Engineering Judgement</v>
      </c>
    </row>
    <row r="89" spans="1:5" x14ac:dyDescent="0.3">
      <c r="A89" s="577" t="str">
        <f>'Translation Table'!I2921</f>
        <v>Oil Storage System Type</v>
      </c>
      <c r="B89" s="577"/>
      <c r="C89" s="577"/>
      <c r="D89" s="577"/>
      <c r="E89" s="577"/>
    </row>
    <row r="90" spans="1:5" x14ac:dyDescent="0.3">
      <c r="A90" s="48"/>
      <c r="B90" s="48" t="str">
        <f ca="1">INDIRECT(CHAR(64+'Translation Table'!$D$1-6)&amp;ROW())</f>
        <v>Separator</v>
      </c>
      <c r="C90" s="48" t="str">
        <f>'Translation Table'!I2922</f>
        <v>Separator</v>
      </c>
      <c r="D90" s="48" t="str">
        <f>'Translation Table'!J2922 &amp; ""</f>
        <v>Separator</v>
      </c>
      <c r="E90" s="48" t="str">
        <f>'Translation Table'!K2922 &amp; ""</f>
        <v>Separator</v>
      </c>
    </row>
    <row r="91" spans="1:5" x14ac:dyDescent="0.3">
      <c r="A91" s="577"/>
      <c r="B91" s="577" t="str">
        <f ca="1">INDIRECT(CHAR(64+'Translation Table'!$D$1-6)&amp;ROW())</f>
        <v>Treater</v>
      </c>
      <c r="C91" s="577" t="str">
        <f>'Translation Table'!I2923</f>
        <v>Treater</v>
      </c>
      <c r="D91" s="577" t="str">
        <f>'Translation Table'!J2923 &amp; ""</f>
        <v>Treater</v>
      </c>
      <c r="E91" s="577" t="str">
        <f>'Translation Table'!K2923 &amp; ""</f>
        <v>Treater</v>
      </c>
    </row>
    <row r="92" spans="1:5" x14ac:dyDescent="0.3">
      <c r="A92" s="48"/>
      <c r="B92" s="48" t="str">
        <f ca="1">INDIRECT(CHAR(64+'Translation Table'!$D$1-6)&amp;ROW())</f>
        <v>Vapor Recovery Tower</v>
      </c>
      <c r="C92" s="48" t="str">
        <f>'Translation Table'!I2924</f>
        <v>Vapor Recovery Tower</v>
      </c>
      <c r="D92" s="48" t="str">
        <f>'Translation Table'!J2924 &amp; ""</f>
        <v>Vapor Recovery Tower</v>
      </c>
      <c r="E92" s="48" t="str">
        <f>'Translation Table'!K2924 &amp; ""</f>
        <v>Vapor Recovery Tower</v>
      </c>
    </row>
    <row r="93" spans="1:5" x14ac:dyDescent="0.3">
      <c r="A93" s="577" t="str">
        <f>'Translation Table'!I2925</f>
        <v>Produced Water Storage System Type</v>
      </c>
      <c r="B93" s="577"/>
      <c r="C93" s="577"/>
      <c r="D93" s="577"/>
      <c r="E93" s="577"/>
    </row>
    <row r="94" spans="1:5" x14ac:dyDescent="0.3">
      <c r="A94" s="48"/>
      <c r="B94" s="48" t="str">
        <f ca="1">INDIRECT(CHAR(64+'Translation Table'!$D$1-6)&amp;ROW())</f>
        <v>Inlet Separator</v>
      </c>
      <c r="C94" s="48" t="str">
        <f>'Translation Table'!I2926</f>
        <v>Inlet Separator</v>
      </c>
      <c r="D94" s="48" t="str">
        <f>'Translation Table'!J2926 &amp; ""</f>
        <v>Inlet Separator</v>
      </c>
      <c r="E94" s="48" t="str">
        <f>'Translation Table'!K2926 &amp; ""</f>
        <v>Inlet Separator</v>
      </c>
    </row>
    <row r="95" spans="1:5" x14ac:dyDescent="0.3">
      <c r="A95" s="577"/>
      <c r="B95" s="577" t="str">
        <f ca="1">INDIRECT(CHAR(64+'Translation Table'!$D$1-6)&amp;ROW())</f>
        <v>Free-Water Knock-Out</v>
      </c>
      <c r="C95" s="577" t="str">
        <f>'Translation Table'!I2927</f>
        <v>Free-Water Knock-Out</v>
      </c>
      <c r="D95" s="577" t="str">
        <f>'Translation Table'!J2927 &amp; ""</f>
        <v>Free-Water Knock-Out</v>
      </c>
      <c r="E95" s="577" t="str">
        <f>'Translation Table'!K2927 &amp; ""</f>
        <v>Free-Water Knock-Out</v>
      </c>
    </row>
    <row r="96" spans="1:5" x14ac:dyDescent="0.3">
      <c r="A96" s="48" t="str">
        <f>'Translation Table'!I2928</f>
        <v>Vent Control Device</v>
      </c>
      <c r="B96" s="48"/>
      <c r="C96" s="48"/>
      <c r="D96" s="48"/>
      <c r="E96" s="48"/>
    </row>
    <row r="97" spans="1:16" x14ac:dyDescent="0.3">
      <c r="A97" s="577"/>
      <c r="B97" s="577" t="str">
        <f ca="1">INDIRECT(CHAR(64+'Translation Table'!$D$1-6)&amp;ROW())</f>
        <v>None</v>
      </c>
      <c r="C97" s="577" t="str">
        <f>'Translation Table'!I2929</f>
        <v>None</v>
      </c>
      <c r="D97" s="577" t="str">
        <f>'Translation Table'!J2929 &amp; ""</f>
        <v>None</v>
      </c>
      <c r="E97" s="577" t="str">
        <f>'Translation Table'!K2929 &amp; ""</f>
        <v>None</v>
      </c>
    </row>
    <row r="98" spans="1:16" x14ac:dyDescent="0.3">
      <c r="A98" s="48"/>
      <c r="B98" s="48" t="str">
        <f ca="1">INDIRECT(CHAR(64+'Translation Table'!$D$1-6)&amp;ROW())</f>
        <v>Flare</v>
      </c>
      <c r="C98" s="48" t="str">
        <f>'Translation Table'!I2930</f>
        <v>Flare</v>
      </c>
      <c r="D98" s="48" t="str">
        <f>'Translation Table'!J2930 &amp; ""</f>
        <v>Flare</v>
      </c>
      <c r="E98" s="48" t="str">
        <f>'Translation Table'!K2930 &amp; ""</f>
        <v>Flare</v>
      </c>
    </row>
    <row r="99" spans="1:16" x14ac:dyDescent="0.3">
      <c r="A99" s="577"/>
      <c r="B99" s="577" t="str">
        <f ca="1">INDIRECT(CHAR(64+'Translation Table'!$D$1-6)&amp;ROW())</f>
        <v>Vapor Recovery Compressor</v>
      </c>
      <c r="C99" s="577" t="str">
        <f>'Translation Table'!I2931</f>
        <v>Vapor Recovery Compressor</v>
      </c>
      <c r="D99" s="577" t="str">
        <f>'Translation Table'!J2931 &amp; ""</f>
        <v>Vapor Recovery Compressor</v>
      </c>
      <c r="E99" s="577" t="str">
        <f>'Translation Table'!K2931 &amp; ""</f>
        <v>Vapor Recovery Compressor</v>
      </c>
    </row>
    <row r="100" spans="1:16" x14ac:dyDescent="0.3">
      <c r="A100" s="193" t="str">
        <f ca="1">'Translation Table'!H2938</f>
        <v xml:space="preserve">Language </v>
      </c>
      <c r="B100" s="193"/>
      <c r="C100" s="193"/>
      <c r="D100" s="563"/>
      <c r="E100" s="193"/>
    </row>
    <row r="101" spans="1:16" x14ac:dyDescent="0.3">
      <c r="A101" s="575"/>
      <c r="B101" s="575" t="str">
        <f>'Translation Table'!I3192  &amp; ""</f>
        <v>English</v>
      </c>
      <c r="C101" s="575"/>
      <c r="D101" s="591"/>
      <c r="E101" s="575"/>
      <c r="F101" s="256" t="str">
        <f>'Translation Table'!L2939 &amp; ""</f>
        <v/>
      </c>
      <c r="G101" s="256" t="str">
        <f>'Translation Table'!M2939 &amp; ""</f>
        <v/>
      </c>
      <c r="H101" s="256" t="str">
        <f>'Translation Table'!N2939 &amp; ""</f>
        <v/>
      </c>
      <c r="I101" s="256" t="str">
        <f>'Translation Table'!O2939 &amp; ""</f>
        <v/>
      </c>
      <c r="J101" s="256" t="str">
        <f>'Translation Table'!P2939 &amp; ""</f>
        <v/>
      </c>
      <c r="K101" s="256" t="str">
        <f>'Translation Table'!Q2939 &amp; ""</f>
        <v/>
      </c>
      <c r="L101" s="256" t="str">
        <f>'Translation Table'!R2939 &amp; ""</f>
        <v/>
      </c>
      <c r="M101" s="256" t="str">
        <f>'Translation Table'!S2939 &amp; ""</f>
        <v/>
      </c>
      <c r="N101" s="256" t="str">
        <f>'Translation Table'!T2939 &amp; ""</f>
        <v/>
      </c>
      <c r="O101" s="256" t="str">
        <f>'Translation Table'!U2939 &amp; ""</f>
        <v/>
      </c>
      <c r="P101" s="256" t="str">
        <f>'Translation Table'!V2939 &amp; ""</f>
        <v/>
      </c>
    </row>
    <row r="102" spans="1:16" x14ac:dyDescent="0.3">
      <c r="A102" s="193"/>
      <c r="B102" s="193" t="str">
        <f>'Translation Table'!J3193  &amp; ""</f>
        <v>中文</v>
      </c>
      <c r="C102" s="193"/>
      <c r="D102" s="563"/>
      <c r="E102" s="193"/>
      <c r="F102" s="256" t="str">
        <f>'Translation Table'!L2940 &amp; ""</f>
        <v/>
      </c>
      <c r="G102" s="256" t="str">
        <f>'Translation Table'!M2940 &amp; ""</f>
        <v/>
      </c>
      <c r="H102" s="256" t="str">
        <f>'Translation Table'!N2940 &amp; ""</f>
        <v/>
      </c>
      <c r="I102" s="256" t="str">
        <f>'Translation Table'!O2940 &amp; ""</f>
        <v/>
      </c>
      <c r="J102" s="256" t="str">
        <f>'Translation Table'!P2940 &amp; ""</f>
        <v/>
      </c>
      <c r="K102" s="256" t="str">
        <f>'Translation Table'!Q2940 &amp; ""</f>
        <v/>
      </c>
      <c r="L102" s="256" t="str">
        <f>'Translation Table'!R2940 &amp; ""</f>
        <v/>
      </c>
      <c r="M102" s="256" t="str">
        <f>'Translation Table'!S2940 &amp; ""</f>
        <v/>
      </c>
      <c r="N102" s="256" t="str">
        <f>'Translation Table'!T2940 &amp; ""</f>
        <v/>
      </c>
      <c r="O102" s="256" t="str">
        <f>'Translation Table'!U2940 &amp; ""</f>
        <v/>
      </c>
      <c r="P102" s="256" t="str">
        <f>'Translation Table'!V2940 &amp; ""</f>
        <v/>
      </c>
    </row>
    <row r="103" spans="1:16" x14ac:dyDescent="0.3">
      <c r="A103" s="575"/>
      <c r="B103" s="575" t="str">
        <f>'Translation Table'!K3194 &amp; ""</f>
        <v>Español (Colombia)</v>
      </c>
      <c r="C103" s="575"/>
      <c r="D103" s="591"/>
      <c r="E103" s="575"/>
      <c r="F103" s="256" t="str">
        <f>'Translation Table'!L2941 &amp; ""</f>
        <v/>
      </c>
      <c r="G103" s="256" t="str">
        <f>'Translation Table'!M2941 &amp; ""</f>
        <v/>
      </c>
      <c r="H103" s="256" t="str">
        <f>'Translation Table'!N2941 &amp; ""</f>
        <v/>
      </c>
      <c r="I103" s="256" t="str">
        <f>'Translation Table'!O2941 &amp; ""</f>
        <v/>
      </c>
      <c r="J103" s="256" t="str">
        <f>'Translation Table'!P2941 &amp; ""</f>
        <v/>
      </c>
      <c r="K103" s="256" t="str">
        <f>'Translation Table'!Q2941 &amp; ""</f>
        <v/>
      </c>
      <c r="L103" s="256" t="str">
        <f>'Translation Table'!R2941 &amp; ""</f>
        <v/>
      </c>
      <c r="M103" s="256" t="str">
        <f>'Translation Table'!S2941 &amp; ""</f>
        <v/>
      </c>
      <c r="N103" s="256" t="str">
        <f>'Translation Table'!T2941 &amp; ""</f>
        <v/>
      </c>
      <c r="O103" s="256" t="str">
        <f>'Translation Table'!U2941 &amp; ""</f>
        <v/>
      </c>
      <c r="P103" s="256" t="str">
        <f>'Translation Table'!V2941 &amp; ""</f>
        <v/>
      </c>
    </row>
    <row r="104" spans="1:16" x14ac:dyDescent="0.3">
      <c r="B104" s="256" t="str">
        <f>'Translation Table'!L3195 &amp; ""</f>
        <v/>
      </c>
    </row>
    <row r="105" spans="1:16" x14ac:dyDescent="0.3">
      <c r="B105" s="256" t="str">
        <f>'Translation Table'!M3196 &amp; ""</f>
        <v/>
      </c>
    </row>
    <row r="106" spans="1:16" x14ac:dyDescent="0.3">
      <c r="B106" s="256" t="str">
        <f>'Translation Table'!N3197 &amp; ""</f>
        <v/>
      </c>
    </row>
    <row r="107" spans="1:16" x14ac:dyDescent="0.3">
      <c r="B107" s="256" t="str">
        <f>'Translation Table'!O3198 &amp; ""</f>
        <v/>
      </c>
    </row>
    <row r="108" spans="1:16" x14ac:dyDescent="0.3">
      <c r="B108" s="256" t="str">
        <f>'Translation Table'!P3199 &amp; ""</f>
        <v/>
      </c>
    </row>
    <row r="109" spans="1:16" x14ac:dyDescent="0.3">
      <c r="B109" s="256" t="str">
        <f>'Translation Table'!Q3200 &amp; ""</f>
        <v/>
      </c>
    </row>
    <row r="110" spans="1:16" x14ac:dyDescent="0.3">
      <c r="B110" s="256" t="str">
        <f>'Translation Table'!R3201 &amp; ""</f>
        <v/>
      </c>
    </row>
    <row r="111" spans="1:16" x14ac:dyDescent="0.3">
      <c r="B111" s="256" t="str">
        <f>'Translation Table'!S3202 &amp; ""</f>
        <v/>
      </c>
    </row>
    <row r="112" spans="1:16" x14ac:dyDescent="0.3">
      <c r="B112" s="256" t="str">
        <f>'Translation Table'!T3203 &amp; ""</f>
        <v/>
      </c>
    </row>
    <row r="113" spans="2:2" x14ac:dyDescent="0.3">
      <c r="B113" s="256" t="str">
        <f>'Translation Table'!U3204 &amp; ""</f>
        <v/>
      </c>
    </row>
    <row r="114" spans="2:2" x14ac:dyDescent="0.3">
      <c r="B114" s="256" t="str">
        <f>'Translation Table'!V3205 &amp; ""</f>
        <v/>
      </c>
    </row>
  </sheetData>
  <sheetProtection algorithmName="SHA-512" hashValue="X95MuAsZhqOQmtOKrWg+qNlabNoE2s/qYEpHAGYO1kCTGuPNlYQheA9Roh3thGUnrIkdSyPiXEcYktheB4bxqg==" saltValue="ui1kxIsSNVwfAvZiChUOyw==" spinCount="100000" sheet="1" objects="1" scenarios="1"/>
  <conditionalFormatting sqref="D2:P2">
    <cfRule type="notContainsBlanks" dxfId="0" priority="1">
      <formula>LEN(TRIM(D2))&gt;0</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1">
    <tabColor rgb="FF9873AC"/>
  </sheetPr>
  <dimension ref="A3:N150"/>
  <sheetViews>
    <sheetView showGridLines="0" zoomScaleNormal="100" workbookViewId="0">
      <selection activeCell="B3" sqref="B3:N3"/>
    </sheetView>
  </sheetViews>
  <sheetFormatPr defaultColWidth="9.1796875" defaultRowHeight="14" x14ac:dyDescent="0.3"/>
  <cols>
    <col min="1" max="1" width="14.81640625" style="256" customWidth="1"/>
    <col min="2" max="2" width="14" style="256" customWidth="1"/>
    <col min="3" max="3" width="23" style="256" customWidth="1"/>
    <col min="4" max="4" width="19.1796875" style="256" customWidth="1"/>
    <col min="5" max="7" width="10.81640625" style="256" customWidth="1"/>
    <col min="8" max="8" width="9.81640625" style="256" customWidth="1"/>
    <col min="9" max="11" width="9.1796875" style="256"/>
    <col min="12" max="12" width="9.1796875" style="256" customWidth="1"/>
    <col min="13" max="16384" width="9.1796875" style="256"/>
  </cols>
  <sheetData>
    <row r="3" spans="2:14" ht="30.5" x14ac:dyDescent="0.65">
      <c r="B3" s="1131" t="str">
        <f ca="1">'Translation Table'!H2942</f>
        <v>Estimation of Volumes of Gas Released by Blowdown &amp; Purging Events</v>
      </c>
      <c r="C3" s="1131"/>
      <c r="D3" s="1131"/>
      <c r="E3" s="1131"/>
      <c r="F3" s="1131"/>
      <c r="G3" s="1131"/>
      <c r="H3" s="1131"/>
      <c r="I3" s="1131"/>
      <c r="J3" s="1131"/>
      <c r="K3" s="1131"/>
      <c r="L3" s="1131"/>
      <c r="M3" s="1131"/>
      <c r="N3" s="1131"/>
    </row>
    <row r="15" spans="2:14" ht="48" customHeight="1" x14ac:dyDescent="0.3">
      <c r="B15" s="137" t="s">
        <v>484</v>
      </c>
      <c r="C15" s="227">
        <v>2</v>
      </c>
      <c r="D15" s="137" t="str">
        <f ca="1">'Translation Table'!H2943</f>
        <v>m3 at STP</v>
      </c>
      <c r="E15" s="138" t="s">
        <v>414</v>
      </c>
      <c r="F15" s="1129" t="str">
        <f ca="1">'Translation Table'!H2944</f>
        <v>Physical internal volume of the equipment or piping system to be depressurized.</v>
      </c>
      <c r="G15" s="1129"/>
      <c r="H15" s="1129"/>
    </row>
    <row r="16" spans="2:14" ht="15.5" x14ac:dyDescent="0.3">
      <c r="B16" s="137" t="s">
        <v>485</v>
      </c>
      <c r="C16" s="227">
        <v>90</v>
      </c>
      <c r="D16" s="137" t="s">
        <v>64</v>
      </c>
      <c r="E16" s="138" t="s">
        <v>414</v>
      </c>
      <c r="F16" s="1129" t="str">
        <f ca="1">'Translation Table'!H2946</f>
        <v>Local atmospheric pressure.</v>
      </c>
      <c r="G16" s="1129"/>
      <c r="H16" s="1129"/>
    </row>
    <row r="17" spans="2:8" ht="15.5" x14ac:dyDescent="0.35">
      <c r="B17" s="43"/>
      <c r="C17" s="43"/>
      <c r="D17" s="43"/>
      <c r="E17" s="139"/>
      <c r="F17" s="139"/>
      <c r="G17" s="139"/>
      <c r="H17" s="139"/>
    </row>
    <row r="18" spans="2:8" ht="15.5" x14ac:dyDescent="0.35">
      <c r="B18" s="140" t="str">
        <f ca="1">'Translation Table'!H2947</f>
        <v>Blowdown Events:</v>
      </c>
      <c r="C18" s="43"/>
      <c r="D18" s="43"/>
      <c r="E18" s="139"/>
      <c r="F18" s="139"/>
      <c r="G18" s="139"/>
      <c r="H18" s="139"/>
    </row>
    <row r="19" spans="2:8" ht="15.5" x14ac:dyDescent="0.3">
      <c r="B19" s="137" t="s">
        <v>486</v>
      </c>
      <c r="C19" s="227">
        <v>5000</v>
      </c>
      <c r="D19" s="137" t="str">
        <f ca="1">'Translation Table'!H2948</f>
        <v>kPag</v>
      </c>
      <c r="E19" s="138" t="s">
        <v>414</v>
      </c>
      <c r="F19" s="1129" t="str">
        <f ca="1">'Translation Table'!H2949</f>
        <v>Initial pressure of the system.</v>
      </c>
      <c r="G19" s="1129"/>
      <c r="H19" s="1129"/>
    </row>
    <row r="20" spans="2:8" ht="15.5" x14ac:dyDescent="0.3">
      <c r="B20" s="137" t="s">
        <v>487</v>
      </c>
      <c r="C20" s="227">
        <v>0</v>
      </c>
      <c r="D20" s="137" t="str">
        <f ca="1">'Translation Table'!H2950</f>
        <v>kPag</v>
      </c>
      <c r="E20" s="138" t="s">
        <v>414</v>
      </c>
      <c r="F20" s="1129" t="str">
        <f ca="1">'Translation Table'!H2951</f>
        <v>Final pressure of the system.</v>
      </c>
      <c r="G20" s="1129"/>
      <c r="H20" s="1129"/>
    </row>
    <row r="21" spans="2:8" ht="30" customHeight="1" x14ac:dyDescent="0.3">
      <c r="B21" s="137" t="s">
        <v>488</v>
      </c>
      <c r="C21" s="227">
        <v>15</v>
      </c>
      <c r="D21" s="137" t="str">
        <f ca="1">'Translation Table'!H2952</f>
        <v>°C</v>
      </c>
      <c r="E21" s="138" t="s">
        <v>414</v>
      </c>
      <c r="F21" s="1129" t="str">
        <f ca="1">'Translation Table'!H2953</f>
        <v>Initial temperature if the system.</v>
      </c>
      <c r="G21" s="1129"/>
      <c r="H21" s="1129"/>
    </row>
    <row r="22" spans="2:8" ht="31.5" customHeight="1" x14ac:dyDescent="0.3">
      <c r="B22" s="137" t="s">
        <v>489</v>
      </c>
      <c r="C22" s="227">
        <v>15</v>
      </c>
      <c r="D22" s="137" t="str">
        <f ca="1">'Translation Table'!H2954</f>
        <v>°C</v>
      </c>
      <c r="E22" s="138" t="s">
        <v>414</v>
      </c>
      <c r="F22" s="1129" t="str">
        <f ca="1">'Translation Table'!H2955</f>
        <v>Final temperature of the system.</v>
      </c>
      <c r="G22" s="1129"/>
      <c r="H22" s="1129"/>
    </row>
    <row r="23" spans="2:8" ht="47.25" customHeight="1" x14ac:dyDescent="0.3">
      <c r="B23" s="137" t="s">
        <v>490</v>
      </c>
      <c r="C23" s="227">
        <v>0.9</v>
      </c>
      <c r="D23" s="137" t="str">
        <f ca="1">'Translation Table'!H2956</f>
        <v>Dimensionless (See "Compressibility Factors" Worksheet</v>
      </c>
      <c r="E23" s="138" t="s">
        <v>414</v>
      </c>
      <c r="F23" s="1129" t="str">
        <f ca="1">'Translation Table'!H2957</f>
        <v>Compressibility factor of the gas at the initial conditions.</v>
      </c>
      <c r="G23" s="1129"/>
      <c r="H23" s="1129"/>
    </row>
    <row r="24" spans="2:8" ht="48" customHeight="1" x14ac:dyDescent="0.3">
      <c r="B24" s="137" t="s">
        <v>491</v>
      </c>
      <c r="C24" s="227">
        <v>1</v>
      </c>
      <c r="D24" s="137" t="str">
        <f ca="1">'Translation Table'!H2958</f>
        <v>Dimensionless (See "Compressibility Factors" Worksheet</v>
      </c>
      <c r="E24" s="138" t="s">
        <v>414</v>
      </c>
      <c r="F24" s="1129" t="str">
        <f ca="1">'Translation Table'!H2959</f>
        <v>Compressibility factor of the gas at the final conditions.</v>
      </c>
      <c r="G24" s="1129"/>
      <c r="H24" s="1129"/>
    </row>
    <row r="25" spans="2:8" ht="15.5" x14ac:dyDescent="0.3">
      <c r="B25" s="137"/>
      <c r="C25" s="137"/>
      <c r="D25" s="137"/>
      <c r="E25" s="139"/>
      <c r="F25" s="139"/>
      <c r="G25" s="139"/>
      <c r="H25" s="139"/>
    </row>
    <row r="26" spans="2:8" ht="31.15" customHeight="1" x14ac:dyDescent="0.3">
      <c r="B26" s="141" t="s">
        <v>492</v>
      </c>
      <c r="C26" s="142">
        <f>2.8438*C15*((C19+C16)/(C21+273.15)/C23-(C20+C16)/(C22+273.15)/C24)</f>
        <v>109.85477625465131</v>
      </c>
      <c r="D26" s="143" t="str">
        <f ca="1">'Translation Table'!H2960</f>
        <v>m3 at STP</v>
      </c>
      <c r="E26" s="138" t="s">
        <v>414</v>
      </c>
      <c r="F26" s="1129" t="str">
        <f ca="1">'Translation Table'!H2961</f>
        <v>Volume of gas vented by the blowdown event.</v>
      </c>
      <c r="G26" s="1129"/>
      <c r="H26" s="1129"/>
    </row>
    <row r="27" spans="2:8" x14ac:dyDescent="0.3">
      <c r="E27" s="257"/>
      <c r="F27" s="257"/>
      <c r="G27" s="257"/>
      <c r="H27" s="257"/>
    </row>
    <row r="28" spans="2:8" ht="22.5" x14ac:dyDescent="0.45">
      <c r="B28" s="37" t="str">
        <f ca="1">'Translation Table'!H2962</f>
        <v>Purge Events:</v>
      </c>
      <c r="E28" s="257"/>
      <c r="F28" s="257"/>
      <c r="G28" s="257"/>
      <c r="H28" s="257"/>
    </row>
    <row r="29" spans="2:8" x14ac:dyDescent="0.3">
      <c r="E29" s="257"/>
      <c r="F29" s="257"/>
      <c r="G29" s="257"/>
      <c r="H29" s="257"/>
    </row>
    <row r="30" spans="2:8" ht="45.4" customHeight="1" x14ac:dyDescent="0.3">
      <c r="B30" s="144" t="s">
        <v>390</v>
      </c>
      <c r="C30" s="145">
        <f>2.8438*C15*(C20+C16)/(C22+273.15)/C24</f>
        <v>1.7764497657470069</v>
      </c>
      <c r="D30" s="146" t="str">
        <f ca="1">'Translation Table'!H2963</f>
        <v>m3 at STP</v>
      </c>
      <c r="E30" s="297" t="s">
        <v>414</v>
      </c>
      <c r="F30" s="940" t="str">
        <f ca="1">'Translation Table'!H2964</f>
        <v>Volume of gas purged from a depressurized process unit or piping system.</v>
      </c>
      <c r="G30" s="940"/>
      <c r="H30" s="940"/>
    </row>
    <row r="33" spans="2:14" ht="30.5" x14ac:dyDescent="0.65">
      <c r="B33" s="1132" t="str">
        <f ca="1">'Translation Table'!H2965</f>
        <v>Calculation of Gas Consumption by Pneumatic Chemical Injection Pumps</v>
      </c>
      <c r="C33" s="1132"/>
      <c r="D33" s="1132"/>
      <c r="E33" s="1132"/>
      <c r="F33" s="1132"/>
      <c r="G33" s="1132"/>
      <c r="H33" s="1132"/>
      <c r="I33" s="1132"/>
      <c r="J33" s="1132"/>
      <c r="K33" s="1132"/>
      <c r="L33" s="1132"/>
      <c r="M33" s="1132"/>
      <c r="N33" s="1132"/>
    </row>
    <row r="41" spans="2:14" ht="17.5" x14ac:dyDescent="0.3">
      <c r="B41" s="139" t="s">
        <v>2533</v>
      </c>
      <c r="C41" s="150">
        <f>C47*C42*C44*C43*(1-C46)*C45</f>
        <v>2.4519186576000003</v>
      </c>
      <c r="D41" s="139" t="str">
        <f ca="1">'Translation Table'!H2966</f>
        <v>(tonne CH4/y)</v>
      </c>
      <c r="E41" s="147" t="s">
        <v>414</v>
      </c>
      <c r="F41" s="1129" t="str">
        <f ca="1">'Translation Table'!H2967</f>
        <v>Pneumatic venting emissions of substance i and pump j (t/y)</v>
      </c>
      <c r="G41" s="940"/>
      <c r="H41" s="940"/>
      <c r="I41" s="940"/>
      <c r="J41" s="940"/>
      <c r="K41" s="940"/>
      <c r="L41" s="940"/>
    </row>
    <row r="42" spans="2:14" ht="17.5" x14ac:dyDescent="0.3">
      <c r="B42" s="139" t="s">
        <v>2529</v>
      </c>
      <c r="C42" s="228">
        <v>2000</v>
      </c>
      <c r="D42" s="139" t="str">
        <f ca="1">'Translation Table'!H2968</f>
        <v>(Liters/y)</v>
      </c>
      <c r="E42" s="147" t="s">
        <v>414</v>
      </c>
      <c r="F42" s="1129" t="str">
        <f ca="1">'Translation Table'!H2969</f>
        <v xml:space="preserve">Annual volume of liquid chemical injected by pump, j (liters/y). </v>
      </c>
      <c r="G42" s="940"/>
      <c r="H42" s="940"/>
      <c r="I42" s="940"/>
      <c r="J42" s="940"/>
      <c r="K42" s="940"/>
      <c r="L42" s="940"/>
    </row>
    <row r="43" spans="2:14" ht="17.5" x14ac:dyDescent="0.3">
      <c r="B43" s="139" t="s">
        <v>2530</v>
      </c>
      <c r="C43" s="139">
        <v>0.67800000000000005</v>
      </c>
      <c r="D43" s="139" t="str">
        <f ca="1">'Translation Table'!H2970</f>
        <v>(kg/m3)</v>
      </c>
      <c r="E43" s="147" t="s">
        <v>414</v>
      </c>
      <c r="F43" s="1129" t="str">
        <f ca="1">'Translation Table'!H2971</f>
        <v>Density of CH4 at standard conditions of 101.325 kPa and 15°C).</v>
      </c>
      <c r="G43" s="940"/>
      <c r="H43" s="940"/>
      <c r="I43" s="940"/>
      <c r="J43" s="940"/>
      <c r="K43" s="940"/>
      <c r="L43" s="940"/>
    </row>
    <row r="44" spans="2:14" ht="17.5" x14ac:dyDescent="0.3">
      <c r="B44" s="139" t="s">
        <v>2531</v>
      </c>
      <c r="C44" s="228">
        <v>0.95</v>
      </c>
      <c r="D44" s="139" t="str">
        <f ca="1">'Translation Table'!H2972</f>
        <v>(mol fraction)</v>
      </c>
      <c r="E44" s="147" t="s">
        <v>414</v>
      </c>
      <c r="F44" s="1129" t="str">
        <f ca="1">'Translation Table'!H2973</f>
        <v>Mol fraction of CH4 in the vented gas.</v>
      </c>
      <c r="G44" s="940"/>
      <c r="H44" s="940"/>
      <c r="I44" s="940"/>
      <c r="J44" s="940"/>
      <c r="K44" s="940"/>
      <c r="L44" s="940"/>
    </row>
    <row r="45" spans="2:14" ht="17.5" x14ac:dyDescent="0.3">
      <c r="B45" s="148" t="s">
        <v>2532</v>
      </c>
      <c r="C45" s="139">
        <v>1E-3</v>
      </c>
      <c r="D45" s="139" t="str">
        <f ca="1">'Translation Table'!H2974</f>
        <v>(tonnes/kg)</v>
      </c>
      <c r="E45" s="147" t="s">
        <v>414</v>
      </c>
      <c r="F45" s="1129" t="str">
        <f ca="1">'Translation Table'!H2975</f>
        <v>Conversion factor (tonnes/kg).</v>
      </c>
      <c r="G45" s="940"/>
      <c r="H45" s="940"/>
      <c r="I45" s="940"/>
      <c r="J45" s="940"/>
      <c r="K45" s="940"/>
      <c r="L45" s="940"/>
    </row>
    <row r="46" spans="2:14" ht="33.75" customHeight="1" x14ac:dyDescent="0.3">
      <c r="B46" s="139" t="s">
        <v>508</v>
      </c>
      <c r="C46" s="228">
        <v>0</v>
      </c>
      <c r="D46" s="139" t="str">
        <f ca="1">'Translation Table'!H2976</f>
        <v>Dimensionless</v>
      </c>
      <c r="E46" s="147" t="s">
        <v>414</v>
      </c>
      <c r="F46" s="1129" t="str">
        <f ca="1">'Translation Table'!H2977</f>
        <v>Emission control factor (dimensionless fractional value between zero and 1.0)</v>
      </c>
      <c r="G46" s="940"/>
      <c r="H46" s="940"/>
      <c r="I46" s="940"/>
      <c r="J46" s="940"/>
      <c r="K46" s="940"/>
      <c r="L46" s="940"/>
    </row>
    <row r="47" spans="2:14" ht="64.5" customHeight="1" x14ac:dyDescent="0.3">
      <c r="B47" s="139" t="s">
        <v>509</v>
      </c>
      <c r="C47" s="149">
        <f>C54*C53^2+C55*C53+C56</f>
        <v>1.9033680000000002</v>
      </c>
      <c r="D47" s="139" t="str">
        <f ca="1">'Translation Table'!H2978</f>
        <v>(Sm3/Liter/pump)</v>
      </c>
      <c r="E47" s="147" t="s">
        <v>414</v>
      </c>
      <c r="F47" s="1129" t="str">
        <f ca="1">'Translation Table'!H2979</f>
        <v>Natural gas-driven pneumatic pump, j, volume rate (Sm3/liter/pump) determined from the following correlation and coefficients in Table 22 (derived from manufacturer specifications).</v>
      </c>
      <c r="G47" s="940"/>
      <c r="H47" s="940"/>
      <c r="I47" s="940"/>
      <c r="J47" s="940"/>
      <c r="K47" s="940"/>
      <c r="L47" s="940"/>
    </row>
    <row r="48" spans="2:14" x14ac:dyDescent="0.3">
      <c r="B48" s="257"/>
      <c r="C48" s="257"/>
      <c r="D48" s="257"/>
      <c r="E48" s="257"/>
      <c r="F48" s="257"/>
      <c r="G48" s="257"/>
      <c r="H48" s="257"/>
      <c r="I48" s="257"/>
      <c r="J48" s="257"/>
      <c r="K48" s="257"/>
      <c r="L48" s="257"/>
    </row>
    <row r="49" spans="1:12" x14ac:dyDescent="0.3">
      <c r="B49" s="257"/>
      <c r="C49" s="257"/>
      <c r="D49" s="257"/>
      <c r="E49" s="257"/>
      <c r="F49" s="257"/>
      <c r="G49" s="257"/>
      <c r="H49" s="257"/>
      <c r="I49" s="257"/>
      <c r="J49" s="257"/>
      <c r="K49" s="257"/>
      <c r="L49" s="257"/>
    </row>
    <row r="50" spans="1:12" x14ac:dyDescent="0.3">
      <c r="B50" s="257"/>
      <c r="C50" s="257"/>
      <c r="D50" s="257"/>
      <c r="E50" s="257"/>
      <c r="F50" s="257"/>
      <c r="G50" s="257"/>
      <c r="H50" s="257"/>
      <c r="I50" s="257"/>
      <c r="J50" s="257"/>
      <c r="K50" s="257"/>
      <c r="L50" s="257"/>
    </row>
    <row r="51" spans="1:12" x14ac:dyDescent="0.3">
      <c r="B51" s="257"/>
      <c r="C51" s="257"/>
      <c r="D51" s="257"/>
      <c r="E51" s="257"/>
      <c r="F51" s="257"/>
      <c r="G51" s="257"/>
      <c r="H51" s="257"/>
      <c r="I51" s="257"/>
      <c r="J51" s="257"/>
      <c r="K51" s="257"/>
      <c r="L51" s="257"/>
    </row>
    <row r="52" spans="1:12" x14ac:dyDescent="0.3">
      <c r="B52" s="257"/>
      <c r="C52" s="257"/>
      <c r="D52" s="257"/>
      <c r="E52" s="257"/>
      <c r="F52" s="257"/>
      <c r="G52" s="257"/>
      <c r="H52" s="257"/>
      <c r="I52" s="257"/>
      <c r="J52" s="257"/>
      <c r="K52" s="257"/>
      <c r="L52" s="257"/>
    </row>
    <row r="53" spans="1:12" ht="15.75" customHeight="1" x14ac:dyDescent="0.3">
      <c r="B53" s="139" t="s">
        <v>504</v>
      </c>
      <c r="C53" s="228">
        <v>5600</v>
      </c>
      <c r="D53" s="139" t="str">
        <f ca="1">'Translation Table'!H2980</f>
        <v>(kPag)</v>
      </c>
      <c r="E53" s="147" t="s">
        <v>414</v>
      </c>
      <c r="F53" s="1129" t="str">
        <f ca="1">'Translation Table'!H2981</f>
        <v>Chemical Injection Pressure (kPa gauge)</v>
      </c>
      <c r="G53" s="1129"/>
      <c r="H53" s="1129"/>
      <c r="I53" s="1129"/>
      <c r="J53" s="1129"/>
      <c r="K53" s="257"/>
      <c r="L53" s="257"/>
    </row>
    <row r="54" spans="1:12" ht="15.5" x14ac:dyDescent="0.3">
      <c r="B54" s="139" t="s">
        <v>505</v>
      </c>
      <c r="C54" s="228">
        <v>0</v>
      </c>
      <c r="D54" s="139"/>
      <c r="E54" s="147" t="s">
        <v>414</v>
      </c>
      <c r="F54" s="1129" t="str">
        <f ca="1">'Translation Table'!H2982</f>
        <v>Manufacturer P2 coefficient provided in the table below.</v>
      </c>
      <c r="G54" s="1129"/>
      <c r="H54" s="1129"/>
      <c r="I54" s="1129"/>
      <c r="J54" s="1129"/>
      <c r="K54" s="257"/>
      <c r="L54" s="257"/>
    </row>
    <row r="55" spans="1:12" ht="15.5" x14ac:dyDescent="0.3">
      <c r="B55" s="139" t="s">
        <v>506</v>
      </c>
      <c r="C55" s="229">
        <v>9.5300000000000002E-6</v>
      </c>
      <c r="D55" s="139"/>
      <c r="E55" s="147" t="s">
        <v>414</v>
      </c>
      <c r="F55" s="1129" t="str">
        <f ca="1">'Translation Table'!H2983</f>
        <v>Manufacturer P1 coefficient provided in the table below.</v>
      </c>
      <c r="G55" s="1129"/>
      <c r="H55" s="1129"/>
      <c r="I55" s="1129"/>
      <c r="J55" s="1129"/>
      <c r="K55" s="257"/>
      <c r="L55" s="257"/>
    </row>
    <row r="56" spans="1:12" ht="15.5" x14ac:dyDescent="0.3">
      <c r="B56" s="139" t="s">
        <v>507</v>
      </c>
      <c r="C56" s="228">
        <v>1.85</v>
      </c>
      <c r="D56" s="139"/>
      <c r="E56" s="147" t="s">
        <v>414</v>
      </c>
      <c r="F56" s="1129" t="str">
        <f ca="1">'Translation Table'!H2984</f>
        <v>Manufacturer P0 coefficient provided in the table below.</v>
      </c>
      <c r="G56" s="1129"/>
      <c r="H56" s="1129"/>
      <c r="I56" s="1129"/>
      <c r="J56" s="1129"/>
      <c r="K56" s="257"/>
      <c r="L56" s="257"/>
    </row>
    <row r="59" spans="1:12" ht="33.75" customHeight="1" x14ac:dyDescent="0.3">
      <c r="A59" s="1130" t="str">
        <f ca="1">'Translation Table'!H2985</f>
        <v>Pneumatic pump venting coefficients derived from manufacturer specifications for selected models</v>
      </c>
      <c r="B59" s="1130"/>
      <c r="C59" s="1130"/>
      <c r="D59" s="1130"/>
      <c r="E59" s="1130"/>
      <c r="F59" s="1130"/>
      <c r="G59" s="1130"/>
    </row>
    <row r="60" spans="1:12" ht="31" x14ac:dyDescent="0.3">
      <c r="A60" s="233" t="str">
        <f ca="1">'Translation Table'!H2986</f>
        <v>Manufacturer</v>
      </c>
      <c r="B60" s="233" t="str">
        <f ca="1">'Translation Table'!H2987</f>
        <v>Model</v>
      </c>
      <c r="C60" s="233" t="str">
        <f ca="1">'Translation Table'!H2988</f>
        <v>Plunger Diameter (in.)</v>
      </c>
      <c r="D60" s="233" t="str">
        <f ca="1">'Translation Table'!H2989</f>
        <v>Stroke length (in.)</v>
      </c>
      <c r="E60" s="233" t="str">
        <f ca="1">'Translation Table'!H2990</f>
        <v>P2 coefficient</v>
      </c>
      <c r="F60" s="233" t="str">
        <f ca="1">'Translation Table'!H2991</f>
        <v>P1 coefficient</v>
      </c>
      <c r="G60" s="233" t="str">
        <f ca="1">'Translation Table'!H2992</f>
        <v>P0 coefficient</v>
      </c>
    </row>
    <row r="61" spans="1:12" x14ac:dyDescent="0.3">
      <c r="A61" s="520" t="s">
        <v>424</v>
      </c>
      <c r="B61" s="521">
        <v>66610</v>
      </c>
      <c r="C61" s="522" t="s">
        <v>124</v>
      </c>
      <c r="D61" s="522" t="s">
        <v>124</v>
      </c>
      <c r="E61" s="523">
        <v>0</v>
      </c>
      <c r="F61" s="523" t="str">
        <f ca="1">'Translation Table'!H2991</f>
        <v>P1 coefficient</v>
      </c>
      <c r="G61" s="523">
        <v>7.7000000000000002E-3</v>
      </c>
    </row>
    <row r="62" spans="1:12" x14ac:dyDescent="0.3">
      <c r="A62" s="193" t="s">
        <v>425</v>
      </c>
      <c r="B62" s="193" t="s">
        <v>426</v>
      </c>
      <c r="C62" s="193">
        <v>0.25</v>
      </c>
      <c r="D62" s="193">
        <v>0.5</v>
      </c>
      <c r="E62" s="515">
        <v>0</v>
      </c>
      <c r="F62" s="515">
        <v>2.4479999999999999E-5</v>
      </c>
      <c r="G62" s="515">
        <v>4.6029999999999998</v>
      </c>
    </row>
    <row r="63" spans="1:12" x14ac:dyDescent="0.3">
      <c r="A63" s="520" t="s">
        <v>425</v>
      </c>
      <c r="B63" s="521" t="s">
        <v>426</v>
      </c>
      <c r="C63" s="522">
        <v>0.25</v>
      </c>
      <c r="D63" s="522">
        <v>1.25</v>
      </c>
      <c r="E63" s="523">
        <v>0</v>
      </c>
      <c r="F63" s="523">
        <v>9.5300000000000002E-6</v>
      </c>
      <c r="G63" s="523">
        <v>1.8480000000000001</v>
      </c>
    </row>
    <row r="64" spans="1:12" x14ac:dyDescent="0.3">
      <c r="A64" s="193" t="s">
        <v>425</v>
      </c>
      <c r="B64" s="193" t="s">
        <v>426</v>
      </c>
      <c r="C64" s="193">
        <v>0.375</v>
      </c>
      <c r="D64" s="193">
        <v>0.5</v>
      </c>
      <c r="E64" s="515">
        <v>0</v>
      </c>
      <c r="F64" s="515">
        <v>2.4669999999999999E-5</v>
      </c>
      <c r="G64" s="515">
        <v>2.0489999999999999</v>
      </c>
    </row>
    <row r="65" spans="1:7" x14ac:dyDescent="0.3">
      <c r="A65" s="520" t="s">
        <v>425</v>
      </c>
      <c r="B65" s="521" t="s">
        <v>426</v>
      </c>
      <c r="C65" s="522">
        <v>0.375</v>
      </c>
      <c r="D65" s="522">
        <v>1.25</v>
      </c>
      <c r="E65" s="523">
        <v>0</v>
      </c>
      <c r="F65" s="523">
        <v>9.6150000000000003E-6</v>
      </c>
      <c r="G65" s="523">
        <v>0.8266</v>
      </c>
    </row>
    <row r="66" spans="1:7" x14ac:dyDescent="0.3">
      <c r="A66" s="193" t="s">
        <v>425</v>
      </c>
      <c r="B66" s="193" t="s">
        <v>426</v>
      </c>
      <c r="C66" s="193">
        <v>0.5</v>
      </c>
      <c r="D66" s="193">
        <v>0.5</v>
      </c>
      <c r="E66" s="515">
        <v>0</v>
      </c>
      <c r="F66" s="515">
        <v>2.474E-5</v>
      </c>
      <c r="G66" s="515">
        <v>1.133</v>
      </c>
    </row>
    <row r="67" spans="1:7" x14ac:dyDescent="0.3">
      <c r="A67" s="520" t="s">
        <v>425</v>
      </c>
      <c r="B67" s="521" t="s">
        <v>426</v>
      </c>
      <c r="C67" s="522">
        <v>0.5</v>
      </c>
      <c r="D67" s="522">
        <v>1.25</v>
      </c>
      <c r="E67" s="523">
        <v>0</v>
      </c>
      <c r="F67" s="523">
        <v>9.7310000000000005E-6</v>
      </c>
      <c r="G67" s="523">
        <v>0.47110000000000002</v>
      </c>
    </row>
    <row r="68" spans="1:7" x14ac:dyDescent="0.3">
      <c r="A68" s="193" t="s">
        <v>425</v>
      </c>
      <c r="B68" s="193" t="s">
        <v>426</v>
      </c>
      <c r="C68" s="193">
        <v>0.75</v>
      </c>
      <c r="D68" s="193">
        <v>0.5</v>
      </c>
      <c r="E68" s="515">
        <v>0</v>
      </c>
      <c r="F68" s="515">
        <v>2.48E-5</v>
      </c>
      <c r="G68" s="515">
        <v>0.51019999999999999</v>
      </c>
    </row>
    <row r="69" spans="1:7" x14ac:dyDescent="0.3">
      <c r="A69" s="520" t="s">
        <v>425</v>
      </c>
      <c r="B69" s="521" t="s">
        <v>426</v>
      </c>
      <c r="C69" s="522">
        <v>0.75</v>
      </c>
      <c r="D69" s="522">
        <v>1.25</v>
      </c>
      <c r="E69" s="523">
        <v>0</v>
      </c>
      <c r="F69" s="523">
        <v>9.8989999999999996E-6</v>
      </c>
      <c r="G69" s="523">
        <v>0.20419999999999999</v>
      </c>
    </row>
    <row r="70" spans="1:7" x14ac:dyDescent="0.3">
      <c r="A70" s="193" t="s">
        <v>425</v>
      </c>
      <c r="B70" s="193" t="s">
        <v>426</v>
      </c>
      <c r="C70" s="193">
        <v>1</v>
      </c>
      <c r="D70" s="193">
        <v>0.5</v>
      </c>
      <c r="E70" s="515">
        <v>0</v>
      </c>
      <c r="F70" s="515">
        <v>2.48E-5</v>
      </c>
      <c r="G70" s="515">
        <v>0.2868</v>
      </c>
    </row>
    <row r="71" spans="1:7" x14ac:dyDescent="0.3">
      <c r="A71" s="520" t="s">
        <v>425</v>
      </c>
      <c r="B71" s="521" t="s">
        <v>426</v>
      </c>
      <c r="C71" s="522">
        <v>1</v>
      </c>
      <c r="D71" s="522">
        <v>1.25</v>
      </c>
      <c r="E71" s="523">
        <v>0</v>
      </c>
      <c r="F71" s="523">
        <v>9.9320000000000008E-6</v>
      </c>
      <c r="G71" s="523">
        <v>0.115</v>
      </c>
    </row>
    <row r="72" spans="1:7" x14ac:dyDescent="0.3">
      <c r="A72" s="193" t="s">
        <v>425</v>
      </c>
      <c r="B72" s="193" t="s">
        <v>426</v>
      </c>
      <c r="C72" s="193">
        <v>1.25</v>
      </c>
      <c r="D72" s="193">
        <v>0.5</v>
      </c>
      <c r="E72" s="515">
        <v>0</v>
      </c>
      <c r="F72" s="515">
        <v>2.4960000000000002E-5</v>
      </c>
      <c r="G72" s="515">
        <v>0.18210000000000001</v>
      </c>
    </row>
    <row r="73" spans="1:7" x14ac:dyDescent="0.3">
      <c r="A73" s="520" t="s">
        <v>425</v>
      </c>
      <c r="B73" s="521" t="s">
        <v>426</v>
      </c>
      <c r="C73" s="522">
        <v>1.25</v>
      </c>
      <c r="D73" s="522">
        <v>1.25</v>
      </c>
      <c r="E73" s="523">
        <v>0</v>
      </c>
      <c r="F73" s="523">
        <v>9.9229999999999997E-6</v>
      </c>
      <c r="G73" s="523">
        <v>7.2429999999999994E-2</v>
      </c>
    </row>
    <row r="74" spans="1:7" x14ac:dyDescent="0.3">
      <c r="A74" s="193" t="s">
        <v>425</v>
      </c>
      <c r="B74" s="193" t="s">
        <v>426</v>
      </c>
      <c r="C74" s="193">
        <v>0.1875</v>
      </c>
      <c r="D74" s="193">
        <v>1</v>
      </c>
      <c r="E74" s="515">
        <v>0</v>
      </c>
      <c r="F74" s="515">
        <v>9.9049999999999992E-6</v>
      </c>
      <c r="G74" s="515">
        <v>2.0539999999999998</v>
      </c>
    </row>
    <row r="75" spans="1:7" x14ac:dyDescent="0.3">
      <c r="A75" s="520" t="s">
        <v>425</v>
      </c>
      <c r="B75" s="521" t="s">
        <v>426</v>
      </c>
      <c r="C75" s="522">
        <v>0.25</v>
      </c>
      <c r="D75" s="522">
        <v>1</v>
      </c>
      <c r="E75" s="523">
        <v>0</v>
      </c>
      <c r="F75" s="523">
        <v>1.005E-5</v>
      </c>
      <c r="G75" s="523">
        <v>1.155</v>
      </c>
    </row>
    <row r="76" spans="1:7" x14ac:dyDescent="0.3">
      <c r="A76" s="193" t="s">
        <v>425</v>
      </c>
      <c r="B76" s="193" t="s">
        <v>426</v>
      </c>
      <c r="C76" s="193">
        <v>0.375</v>
      </c>
      <c r="D76" s="193">
        <v>1</v>
      </c>
      <c r="E76" s="515">
        <v>0</v>
      </c>
      <c r="F76" s="515">
        <v>1.009E-5</v>
      </c>
      <c r="G76" s="515">
        <v>0.51370000000000005</v>
      </c>
    </row>
    <row r="77" spans="1:7" x14ac:dyDescent="0.3">
      <c r="A77" s="520" t="s">
        <v>425</v>
      </c>
      <c r="B77" s="521" t="s">
        <v>427</v>
      </c>
      <c r="C77" s="522">
        <v>0.5</v>
      </c>
      <c r="D77" s="522">
        <v>1</v>
      </c>
      <c r="E77" s="523">
        <v>0</v>
      </c>
      <c r="F77" s="523">
        <v>1.008E-5</v>
      </c>
      <c r="G77" s="523">
        <v>0.28870000000000001</v>
      </c>
    </row>
    <row r="78" spans="1:7" x14ac:dyDescent="0.3">
      <c r="A78" s="193" t="s">
        <v>428</v>
      </c>
      <c r="B78" s="193">
        <v>1250</v>
      </c>
      <c r="C78" s="193">
        <v>0.125</v>
      </c>
      <c r="D78" s="193">
        <v>0.94</v>
      </c>
      <c r="E78" s="515">
        <v>2.3600000000000001E-10</v>
      </c>
      <c r="F78" s="515">
        <v>2.2779999999999999E-5</v>
      </c>
      <c r="G78" s="515">
        <v>1.1839999999999999</v>
      </c>
    </row>
    <row r="79" spans="1:7" x14ac:dyDescent="0.3">
      <c r="A79" s="520" t="s">
        <v>428</v>
      </c>
      <c r="B79" s="521">
        <v>1250</v>
      </c>
      <c r="C79" s="522">
        <v>0.25</v>
      </c>
      <c r="D79" s="522">
        <v>0.94</v>
      </c>
      <c r="E79" s="523">
        <v>2.224E-10</v>
      </c>
      <c r="F79" s="523">
        <v>1.129E-5</v>
      </c>
      <c r="G79" s="523">
        <v>0.27729999999999999</v>
      </c>
    </row>
    <row r="80" spans="1:7" x14ac:dyDescent="0.3">
      <c r="A80" s="193" t="s">
        <v>428</v>
      </c>
      <c r="B80" s="193">
        <v>1250</v>
      </c>
      <c r="C80" s="193">
        <v>0.375</v>
      </c>
      <c r="D80" s="193">
        <v>0.94</v>
      </c>
      <c r="E80" s="515">
        <v>1.2550000000000001E-10</v>
      </c>
      <c r="F80" s="515">
        <v>1.224E-5</v>
      </c>
      <c r="G80" s="515">
        <v>0.10249999999999999</v>
      </c>
    </row>
    <row r="81" spans="1:7" x14ac:dyDescent="0.3">
      <c r="A81" s="520" t="s">
        <v>428</v>
      </c>
      <c r="B81" s="521">
        <v>1250</v>
      </c>
      <c r="C81" s="522">
        <v>0.5</v>
      </c>
      <c r="D81" s="522">
        <v>0.94</v>
      </c>
      <c r="E81" s="523">
        <v>-1.2660000000000001E-12</v>
      </c>
      <c r="F81" s="523">
        <v>1.19E-5</v>
      </c>
      <c r="G81" s="523">
        <v>7.1040000000000006E-2</v>
      </c>
    </row>
    <row r="82" spans="1:7" x14ac:dyDescent="0.3">
      <c r="A82" s="193" t="s">
        <v>428</v>
      </c>
      <c r="B82" s="193">
        <v>1500</v>
      </c>
      <c r="C82" s="193">
        <v>0.5</v>
      </c>
      <c r="D82" s="193">
        <v>1</v>
      </c>
      <c r="E82" s="515">
        <v>4.0689999999999997E-11</v>
      </c>
      <c r="F82" s="515">
        <v>2.7330000000000001E-5</v>
      </c>
      <c r="G82" s="515">
        <v>0.51429999999999998</v>
      </c>
    </row>
    <row r="83" spans="1:7" x14ac:dyDescent="0.3">
      <c r="A83" s="520" t="s">
        <v>428</v>
      </c>
      <c r="B83" s="521">
        <v>1500</v>
      </c>
      <c r="C83" s="522">
        <v>0.75</v>
      </c>
      <c r="D83" s="522">
        <v>1</v>
      </c>
      <c r="E83" s="523">
        <v>1.335E-10</v>
      </c>
      <c r="F83" s="523">
        <v>1.9449999999999998E-5</v>
      </c>
      <c r="G83" s="523">
        <v>0.1729</v>
      </c>
    </row>
    <row r="84" spans="1:7" x14ac:dyDescent="0.3">
      <c r="A84" s="193" t="s">
        <v>428</v>
      </c>
      <c r="B84" s="193">
        <v>1500</v>
      </c>
      <c r="C84" s="193">
        <v>1</v>
      </c>
      <c r="D84" s="193">
        <v>1</v>
      </c>
      <c r="E84" s="515">
        <v>-9.8169999999999995E-11</v>
      </c>
      <c r="F84" s="515">
        <v>2.0829999999999999E-5</v>
      </c>
      <c r="G84" s="515">
        <v>0.1123</v>
      </c>
    </row>
    <row r="85" spans="1:7" x14ac:dyDescent="0.3">
      <c r="A85" s="520" t="s">
        <v>428</v>
      </c>
      <c r="B85" s="521" t="s">
        <v>429</v>
      </c>
      <c r="C85" s="522">
        <v>0.25</v>
      </c>
      <c r="D85" s="522"/>
      <c r="E85" s="523">
        <v>0</v>
      </c>
      <c r="F85" s="523">
        <v>0</v>
      </c>
      <c r="G85" s="523">
        <v>0.34639999999999999</v>
      </c>
    </row>
    <row r="86" spans="1:7" x14ac:dyDescent="0.3">
      <c r="A86" s="193" t="s">
        <v>428</v>
      </c>
      <c r="B86" s="193" t="s">
        <v>430</v>
      </c>
      <c r="C86" s="193">
        <v>0.125</v>
      </c>
      <c r="D86" s="193"/>
      <c r="E86" s="515">
        <v>0</v>
      </c>
      <c r="F86" s="515">
        <v>0</v>
      </c>
      <c r="G86" s="515">
        <v>1.409</v>
      </c>
    </row>
    <row r="87" spans="1:7" x14ac:dyDescent="0.3">
      <c r="A87" s="520" t="s">
        <v>431</v>
      </c>
      <c r="B87" s="521" t="s">
        <v>432</v>
      </c>
      <c r="C87" s="522">
        <v>2.25</v>
      </c>
      <c r="D87" s="522">
        <v>1</v>
      </c>
      <c r="E87" s="523">
        <v>0</v>
      </c>
      <c r="F87" s="523">
        <v>1.5130000000000001E-5</v>
      </c>
      <c r="G87" s="523">
        <v>0.38719999999999999</v>
      </c>
    </row>
    <row r="88" spans="1:7" x14ac:dyDescent="0.3">
      <c r="A88" s="193" t="s">
        <v>431</v>
      </c>
      <c r="B88" s="193" t="s">
        <v>433</v>
      </c>
      <c r="C88" s="193">
        <v>2.25</v>
      </c>
      <c r="D88" s="193">
        <v>1</v>
      </c>
      <c r="E88" s="515">
        <v>0</v>
      </c>
      <c r="F88" s="515">
        <v>1.0710000000000001E-5</v>
      </c>
      <c r="G88" s="515">
        <v>0.1646</v>
      </c>
    </row>
    <row r="89" spans="1:7" x14ac:dyDescent="0.3">
      <c r="A89" s="520" t="s">
        <v>431</v>
      </c>
      <c r="B89" s="521" t="s">
        <v>434</v>
      </c>
      <c r="C89" s="522">
        <v>3</v>
      </c>
      <c r="D89" s="522">
        <v>1</v>
      </c>
      <c r="E89" s="523">
        <v>0</v>
      </c>
      <c r="F89" s="523">
        <v>1.19E-5</v>
      </c>
      <c r="G89" s="523">
        <v>0.29249999999999998</v>
      </c>
    </row>
    <row r="90" spans="1:7" x14ac:dyDescent="0.3">
      <c r="A90" s="193" t="s">
        <v>431</v>
      </c>
      <c r="B90" s="193" t="s">
        <v>435</v>
      </c>
      <c r="C90" s="193">
        <v>3</v>
      </c>
      <c r="D90" s="193">
        <v>1</v>
      </c>
      <c r="E90" s="515">
        <v>0</v>
      </c>
      <c r="F90" s="515">
        <v>1.19E-5</v>
      </c>
      <c r="G90" s="515">
        <v>7.3130000000000001E-2</v>
      </c>
    </row>
    <row r="91" spans="1:7" x14ac:dyDescent="0.3">
      <c r="A91" s="520" t="s">
        <v>431</v>
      </c>
      <c r="B91" s="521" t="s">
        <v>436</v>
      </c>
      <c r="C91" s="522">
        <v>4</v>
      </c>
      <c r="D91" s="522">
        <v>1</v>
      </c>
      <c r="E91" s="523">
        <v>0</v>
      </c>
      <c r="F91" s="523">
        <v>1.058E-5</v>
      </c>
      <c r="G91" s="523">
        <v>0.13</v>
      </c>
    </row>
    <row r="92" spans="1:7" x14ac:dyDescent="0.3">
      <c r="A92" s="193" t="s">
        <v>431</v>
      </c>
      <c r="B92" s="193" t="s">
        <v>437</v>
      </c>
      <c r="C92" s="193">
        <v>4</v>
      </c>
      <c r="D92" s="193">
        <v>1</v>
      </c>
      <c r="E92" s="515">
        <v>0</v>
      </c>
      <c r="F92" s="515">
        <v>1.134E-5</v>
      </c>
      <c r="G92" s="515">
        <v>3.2500000000000001E-2</v>
      </c>
    </row>
    <row r="93" spans="1:7" x14ac:dyDescent="0.3">
      <c r="A93" s="520" t="s">
        <v>431</v>
      </c>
      <c r="B93" s="521" t="s">
        <v>438</v>
      </c>
      <c r="C93" s="522">
        <v>1.5</v>
      </c>
      <c r="D93" s="522">
        <v>1</v>
      </c>
      <c r="E93" s="523">
        <v>0</v>
      </c>
      <c r="F93" s="523">
        <v>9.9210000000000004E-6</v>
      </c>
      <c r="G93" s="523">
        <v>8.5449999999999998E-2</v>
      </c>
    </row>
    <row r="94" spans="1:7" x14ac:dyDescent="0.3">
      <c r="A94" s="193" t="s">
        <v>439</v>
      </c>
      <c r="B94" s="193" t="s">
        <v>440</v>
      </c>
      <c r="C94" s="193"/>
      <c r="D94" s="193">
        <v>0.5</v>
      </c>
      <c r="E94" s="515">
        <v>-3.0590000000000001E-11</v>
      </c>
      <c r="F94" s="515">
        <v>5.1919999999999998E-5</v>
      </c>
      <c r="G94" s="515">
        <v>0.35260000000000002</v>
      </c>
    </row>
    <row r="95" spans="1:7" x14ac:dyDescent="0.3">
      <c r="A95" s="520" t="s">
        <v>439</v>
      </c>
      <c r="B95" s="521" t="s">
        <v>441</v>
      </c>
      <c r="C95" s="522"/>
      <c r="D95" s="522">
        <v>0.5</v>
      </c>
      <c r="E95" s="523">
        <v>-1.049E-9</v>
      </c>
      <c r="F95" s="523">
        <v>7.4239999999999994E-5</v>
      </c>
      <c r="G95" s="523">
        <v>2.4940000000000001E-3</v>
      </c>
    </row>
    <row r="96" spans="1:7" x14ac:dyDescent="0.3">
      <c r="A96" s="193" t="s">
        <v>439</v>
      </c>
      <c r="B96" s="193" t="s">
        <v>442</v>
      </c>
      <c r="C96" s="193"/>
      <c r="D96" s="193">
        <v>1</v>
      </c>
      <c r="E96" s="515">
        <v>-4.0130000000000001E-25</v>
      </c>
      <c r="F96" s="515">
        <v>2.5579999999999999E-5</v>
      </c>
      <c r="G96" s="515">
        <v>0.10580000000000001</v>
      </c>
    </row>
    <row r="97" spans="1:7" x14ac:dyDescent="0.3">
      <c r="A97" s="520" t="s">
        <v>439</v>
      </c>
      <c r="B97" s="521" t="s">
        <v>443</v>
      </c>
      <c r="C97" s="522"/>
      <c r="D97" s="522">
        <v>1</v>
      </c>
      <c r="E97" s="523">
        <v>-2.368E-12</v>
      </c>
      <c r="F97" s="523">
        <v>2.5449999999999999E-5</v>
      </c>
      <c r="G97" s="523">
        <v>0.25459999999999999</v>
      </c>
    </row>
    <row r="98" spans="1:7" x14ac:dyDescent="0.3">
      <c r="A98" s="193" t="s">
        <v>439</v>
      </c>
      <c r="B98" s="193" t="s">
        <v>444</v>
      </c>
      <c r="C98" s="193"/>
      <c r="D98" s="193">
        <v>1</v>
      </c>
      <c r="E98" s="515">
        <v>2.655E-9</v>
      </c>
      <c r="F98" s="515">
        <v>2.198E-5</v>
      </c>
      <c r="G98" s="515">
        <v>-3.8679999999999999E-3</v>
      </c>
    </row>
    <row r="99" spans="1:7" x14ac:dyDescent="0.3">
      <c r="A99" s="520" t="s">
        <v>445</v>
      </c>
      <c r="B99" s="521" t="s">
        <v>446</v>
      </c>
      <c r="C99" s="522">
        <v>0.5</v>
      </c>
      <c r="D99" s="522"/>
      <c r="E99" s="523">
        <v>7.6350000000000002E-9</v>
      </c>
      <c r="F99" s="523">
        <v>2.563E-5</v>
      </c>
      <c r="G99" s="523">
        <v>6.3790000000000001E-3</v>
      </c>
    </row>
    <row r="100" spans="1:7" x14ac:dyDescent="0.3">
      <c r="A100" s="193" t="s">
        <v>445</v>
      </c>
      <c r="B100" s="193" t="s">
        <v>447</v>
      </c>
      <c r="C100" s="193">
        <v>1</v>
      </c>
      <c r="D100" s="193"/>
      <c r="E100" s="515">
        <v>3.2259999999999999E-8</v>
      </c>
      <c r="F100" s="515">
        <v>-1.0699999999999999E-5</v>
      </c>
      <c r="G100" s="515">
        <v>7.6880000000000004E-3</v>
      </c>
    </row>
    <row r="101" spans="1:7" x14ac:dyDescent="0.3">
      <c r="A101" s="520" t="s">
        <v>448</v>
      </c>
      <c r="B101" s="521">
        <v>5002</v>
      </c>
      <c r="C101" s="522">
        <v>1</v>
      </c>
      <c r="D101" s="522">
        <v>0.5</v>
      </c>
      <c r="E101" s="523">
        <v>-1.9489999999999999E-10</v>
      </c>
      <c r="F101" s="523">
        <v>5.9349999999999999E-5</v>
      </c>
      <c r="G101" s="523">
        <v>5.2220000000000004</v>
      </c>
    </row>
    <row r="102" spans="1:7" x14ac:dyDescent="0.3">
      <c r="A102" s="193" t="s">
        <v>448</v>
      </c>
      <c r="B102" s="193">
        <v>5002</v>
      </c>
      <c r="C102" s="193">
        <v>0.25</v>
      </c>
      <c r="D102" s="193">
        <v>1.25</v>
      </c>
      <c r="E102" s="515">
        <v>-2.6009999999999999E-11</v>
      </c>
      <c r="F102" s="515">
        <v>2.817E-5</v>
      </c>
      <c r="G102" s="515">
        <v>2.0870000000000002</v>
      </c>
    </row>
    <row r="103" spans="1:7" x14ac:dyDescent="0.3">
      <c r="A103" s="520" t="s">
        <v>448</v>
      </c>
      <c r="B103" s="521">
        <v>5003</v>
      </c>
      <c r="C103" s="522">
        <v>0.25</v>
      </c>
      <c r="D103" s="522">
        <v>0.5</v>
      </c>
      <c r="E103" s="523">
        <v>-1.0780000000000001E-11</v>
      </c>
      <c r="F103" s="523">
        <v>1.399E-5</v>
      </c>
      <c r="G103" s="523">
        <v>2.6520000000000001</v>
      </c>
    </row>
    <row r="104" spans="1:7" x14ac:dyDescent="0.3">
      <c r="A104" s="193" t="s">
        <v>448</v>
      </c>
      <c r="B104" s="193">
        <v>5003</v>
      </c>
      <c r="C104" s="193">
        <v>0.375</v>
      </c>
      <c r="D104" s="193">
        <v>1.25</v>
      </c>
      <c r="E104" s="515">
        <v>-1.075E-11</v>
      </c>
      <c r="F104" s="515">
        <v>1.398E-5</v>
      </c>
      <c r="G104" s="515">
        <v>1.044</v>
      </c>
    </row>
    <row r="105" spans="1:7" x14ac:dyDescent="0.3">
      <c r="A105" s="520" t="s">
        <v>448</v>
      </c>
      <c r="B105" s="521">
        <v>5004</v>
      </c>
      <c r="C105" s="522">
        <v>0.375</v>
      </c>
      <c r="D105" s="522">
        <v>0.5</v>
      </c>
      <c r="E105" s="523">
        <v>-4.7559999999999999E-10</v>
      </c>
      <c r="F105" s="523">
        <v>4.049E-5</v>
      </c>
      <c r="G105" s="523">
        <v>0.6351</v>
      </c>
    </row>
    <row r="106" spans="1:7" x14ac:dyDescent="0.3">
      <c r="A106" s="193" t="s">
        <v>448</v>
      </c>
      <c r="B106" s="193">
        <v>5004</v>
      </c>
      <c r="C106" s="193">
        <v>0.75</v>
      </c>
      <c r="D106" s="193">
        <v>1.25</v>
      </c>
      <c r="E106" s="515">
        <v>-2.1089999999999999E-10</v>
      </c>
      <c r="F106" s="515">
        <v>2.6970000000000001E-5</v>
      </c>
      <c r="G106" s="515">
        <v>0.2495</v>
      </c>
    </row>
    <row r="107" spans="1:7" x14ac:dyDescent="0.3">
      <c r="A107" s="520" t="s">
        <v>448</v>
      </c>
      <c r="B107" s="521">
        <v>5005</v>
      </c>
      <c r="C107" s="522">
        <v>0.75</v>
      </c>
      <c r="D107" s="522">
        <v>0.5</v>
      </c>
      <c r="E107" s="523">
        <v>-1.1600000000000001E-13</v>
      </c>
      <c r="F107" s="523">
        <v>1.3030000000000001E-5</v>
      </c>
      <c r="G107" s="523">
        <v>1.496</v>
      </c>
    </row>
    <row r="108" spans="1:7" x14ac:dyDescent="0.3">
      <c r="A108" s="193" t="s">
        <v>448</v>
      </c>
      <c r="B108" s="193">
        <v>5005</v>
      </c>
      <c r="C108" s="193">
        <v>0.5</v>
      </c>
      <c r="D108" s="193">
        <v>1.25</v>
      </c>
      <c r="E108" s="515">
        <v>3.4119999999999999E-26</v>
      </c>
      <c r="F108" s="515">
        <v>1.3020000000000001E-5</v>
      </c>
      <c r="G108" s="515">
        <v>0.59850000000000003</v>
      </c>
    </row>
    <row r="109" spans="1:7" x14ac:dyDescent="0.3">
      <c r="A109" s="520" t="s">
        <v>448</v>
      </c>
      <c r="B109" s="521">
        <v>5006</v>
      </c>
      <c r="C109" s="522">
        <v>0.5</v>
      </c>
      <c r="D109" s="522">
        <v>0.5</v>
      </c>
      <c r="E109" s="523">
        <v>-1.293E-25</v>
      </c>
      <c r="F109" s="523">
        <v>1.3020000000000001E-5</v>
      </c>
      <c r="G109" s="523">
        <v>0.37409999999999999</v>
      </c>
    </row>
    <row r="110" spans="1:7" x14ac:dyDescent="0.3">
      <c r="A110" s="193" t="s">
        <v>448</v>
      </c>
      <c r="B110" s="193">
        <v>5006</v>
      </c>
      <c r="C110" s="193">
        <v>1</v>
      </c>
      <c r="D110" s="193">
        <v>1.25</v>
      </c>
      <c r="E110" s="515">
        <v>1.6660000000000001E-25</v>
      </c>
      <c r="F110" s="515">
        <v>1.3020000000000001E-5</v>
      </c>
      <c r="G110" s="515">
        <v>0.14960000000000001</v>
      </c>
    </row>
    <row r="111" spans="1:7" x14ac:dyDescent="0.3">
      <c r="A111" s="520" t="s">
        <v>448</v>
      </c>
      <c r="B111" s="521">
        <v>5007</v>
      </c>
      <c r="C111" s="522">
        <v>1</v>
      </c>
      <c r="D111" s="522">
        <v>0.5</v>
      </c>
      <c r="E111" s="523">
        <v>-7.148E-25</v>
      </c>
      <c r="F111" s="523">
        <v>1.3020000000000001E-5</v>
      </c>
      <c r="G111" s="523">
        <v>0.2394</v>
      </c>
    </row>
    <row r="112" spans="1:7" x14ac:dyDescent="0.3">
      <c r="A112" s="193" t="s">
        <v>448</v>
      </c>
      <c r="B112" s="193">
        <v>5007</v>
      </c>
      <c r="C112" s="193">
        <v>1.25</v>
      </c>
      <c r="D112" s="193">
        <v>1.25</v>
      </c>
      <c r="E112" s="515">
        <v>-1.293E-25</v>
      </c>
      <c r="F112" s="515">
        <v>1.3020000000000001E-5</v>
      </c>
      <c r="G112" s="515">
        <v>9.7259999999999999E-2</v>
      </c>
    </row>
    <row r="113" spans="1:7" x14ac:dyDescent="0.3">
      <c r="A113" s="520" t="s">
        <v>448</v>
      </c>
      <c r="B113" s="521">
        <v>5101</v>
      </c>
      <c r="C113" s="522">
        <v>1.25</v>
      </c>
      <c r="D113" s="522">
        <v>0.33</v>
      </c>
      <c r="E113" s="523">
        <v>1.4990000000000001E-9</v>
      </c>
      <c r="F113" s="523">
        <v>6.724E-5</v>
      </c>
      <c r="G113" s="523">
        <v>5.4669999999999996</v>
      </c>
    </row>
    <row r="114" spans="1:7" x14ac:dyDescent="0.3">
      <c r="A114" s="193" t="s">
        <v>448</v>
      </c>
      <c r="B114" s="193">
        <v>5101</v>
      </c>
      <c r="C114" s="193">
        <v>0.25</v>
      </c>
      <c r="D114" s="193">
        <v>1</v>
      </c>
      <c r="E114" s="515">
        <v>4.9949999999999998E-10</v>
      </c>
      <c r="F114" s="515">
        <v>2.2410000000000001E-5</v>
      </c>
      <c r="G114" s="515">
        <v>1.8220000000000001</v>
      </c>
    </row>
    <row r="115" spans="1:7" x14ac:dyDescent="0.3">
      <c r="A115" s="520" t="s">
        <v>448</v>
      </c>
      <c r="B115" s="521">
        <v>5103</v>
      </c>
      <c r="C115" s="522">
        <v>0.25</v>
      </c>
      <c r="D115" s="522">
        <v>0.33</v>
      </c>
      <c r="E115" s="523">
        <v>1.2019999999999999E-11</v>
      </c>
      <c r="F115" s="523">
        <v>1.471E-4</v>
      </c>
      <c r="G115" s="523">
        <v>2.5920000000000001</v>
      </c>
    </row>
    <row r="116" spans="1:7" x14ac:dyDescent="0.3">
      <c r="A116" s="193" t="s">
        <v>448</v>
      </c>
      <c r="B116" s="193">
        <v>5103</v>
      </c>
      <c r="C116" s="193">
        <v>0.375</v>
      </c>
      <c r="D116" s="193">
        <v>1</v>
      </c>
      <c r="E116" s="515">
        <v>4.0070000000000002E-12</v>
      </c>
      <c r="F116" s="515">
        <v>4.9020000000000002E-5</v>
      </c>
      <c r="G116" s="515">
        <v>0.86409999999999998</v>
      </c>
    </row>
    <row r="117" spans="1:7" x14ac:dyDescent="0.3">
      <c r="A117" s="520" t="s">
        <v>448</v>
      </c>
      <c r="B117" s="521">
        <v>5104</v>
      </c>
      <c r="C117" s="522">
        <v>0.375</v>
      </c>
      <c r="D117" s="522">
        <v>0.33</v>
      </c>
      <c r="E117" s="523">
        <v>-1.076E-9</v>
      </c>
      <c r="F117" s="523">
        <v>1.2400000000000001E-4</v>
      </c>
      <c r="G117" s="523">
        <v>9.9960000000000004</v>
      </c>
    </row>
    <row r="118" spans="1:7" x14ac:dyDescent="0.3">
      <c r="A118" s="193" t="s">
        <v>448</v>
      </c>
      <c r="B118" s="193">
        <v>5104</v>
      </c>
      <c r="C118" s="193">
        <v>0.1875</v>
      </c>
      <c r="D118" s="193">
        <v>1</v>
      </c>
      <c r="E118" s="515">
        <v>-3.8509999999999999E-10</v>
      </c>
      <c r="F118" s="515">
        <v>4.2079999999999997E-5</v>
      </c>
      <c r="G118" s="515">
        <v>3.33</v>
      </c>
    </row>
    <row r="119" spans="1:7" x14ac:dyDescent="0.3">
      <c r="A119" s="520" t="s">
        <v>448</v>
      </c>
      <c r="B119" s="521">
        <v>5105</v>
      </c>
      <c r="C119" s="522">
        <v>0.1875</v>
      </c>
      <c r="D119" s="522">
        <v>0.33</v>
      </c>
      <c r="E119" s="523">
        <v>5.2410000000000003E-11</v>
      </c>
      <c r="F119" s="523">
        <v>3.7410000000000003E-5</v>
      </c>
      <c r="G119" s="523">
        <v>1.159</v>
      </c>
    </row>
    <row r="120" spans="1:7" x14ac:dyDescent="0.3">
      <c r="A120" s="193" t="s">
        <v>448</v>
      </c>
      <c r="B120" s="193">
        <v>5105</v>
      </c>
      <c r="C120" s="193">
        <v>0.5</v>
      </c>
      <c r="D120" s="193">
        <v>1</v>
      </c>
      <c r="E120" s="515">
        <v>1.7469999999999999E-11</v>
      </c>
      <c r="F120" s="515">
        <v>1.2469999999999999E-5</v>
      </c>
      <c r="G120" s="515">
        <v>0.38640000000000002</v>
      </c>
    </row>
    <row r="121" spans="1:7" x14ac:dyDescent="0.3">
      <c r="A121" s="520" t="s">
        <v>448</v>
      </c>
      <c r="B121" s="521">
        <v>9001</v>
      </c>
      <c r="C121" s="522" t="str">
        <f>'Translation Table'!I2993</f>
        <v>30 psi supply</v>
      </c>
      <c r="D121" s="522"/>
      <c r="E121" s="523">
        <v>1.475E-8</v>
      </c>
      <c r="F121" s="523">
        <v>8.5099999999999998E-7</v>
      </c>
      <c r="G121" s="523">
        <v>3.1670000000000001E-3</v>
      </c>
    </row>
    <row r="122" spans="1:7" x14ac:dyDescent="0.3">
      <c r="A122" s="193" t="s">
        <v>448</v>
      </c>
      <c r="B122" s="193">
        <v>9001</v>
      </c>
      <c r="C122" s="193" t="str">
        <f ca="1">'Translation Table'!H2994</f>
        <v>50 psi supply</v>
      </c>
      <c r="D122" s="193"/>
      <c r="E122" s="515">
        <v>1.102E-8</v>
      </c>
      <c r="F122" s="515">
        <v>8.2999999999999999E-7</v>
      </c>
      <c r="G122" s="515">
        <v>4.5529999999999998E-3</v>
      </c>
    </row>
    <row r="123" spans="1:7" x14ac:dyDescent="0.3">
      <c r="A123" s="520" t="s">
        <v>451</v>
      </c>
      <c r="B123" s="521">
        <v>2515</v>
      </c>
      <c r="C123" s="522"/>
      <c r="D123" s="522">
        <v>1</v>
      </c>
      <c r="E123" s="523">
        <v>0</v>
      </c>
      <c r="F123" s="523">
        <v>1.1759999999999999E-5</v>
      </c>
      <c r="G123" s="523">
        <v>5.212E-2</v>
      </c>
    </row>
    <row r="124" spans="1:7" x14ac:dyDescent="0.3">
      <c r="A124" s="193" t="s">
        <v>451</v>
      </c>
      <c r="B124" s="193">
        <v>2522</v>
      </c>
      <c r="C124" s="193"/>
      <c r="D124" s="193">
        <v>1</v>
      </c>
      <c r="E124" s="515">
        <v>0</v>
      </c>
      <c r="F124" s="515">
        <v>1.164E-5</v>
      </c>
      <c r="G124" s="515">
        <v>9.8790000000000003E-2</v>
      </c>
    </row>
    <row r="125" spans="1:7" x14ac:dyDescent="0.3">
      <c r="A125" s="520" t="s">
        <v>451</v>
      </c>
      <c r="B125" s="521">
        <v>2530</v>
      </c>
      <c r="C125" s="522"/>
      <c r="D125" s="522">
        <v>1</v>
      </c>
      <c r="E125" s="523">
        <v>0</v>
      </c>
      <c r="F125" s="523">
        <v>1.114E-5</v>
      </c>
      <c r="G125" s="523">
        <v>0.16270000000000001</v>
      </c>
    </row>
    <row r="126" spans="1:7" x14ac:dyDescent="0.3">
      <c r="A126" s="193" t="s">
        <v>451</v>
      </c>
      <c r="B126" s="193">
        <v>5030</v>
      </c>
      <c r="C126" s="193"/>
      <c r="D126" s="193">
        <v>1</v>
      </c>
      <c r="E126" s="515">
        <v>0</v>
      </c>
      <c r="F126" s="515">
        <v>1.1E-5</v>
      </c>
      <c r="G126" s="515">
        <v>5.1549999999999999E-2</v>
      </c>
    </row>
    <row r="127" spans="1:7" x14ac:dyDescent="0.3">
      <c r="A127" s="520" t="s">
        <v>451</v>
      </c>
      <c r="B127" s="521">
        <v>5040</v>
      </c>
      <c r="C127" s="522"/>
      <c r="D127" s="522">
        <v>1</v>
      </c>
      <c r="E127" s="523">
        <v>0</v>
      </c>
      <c r="F127" s="523">
        <v>1.255E-5</v>
      </c>
      <c r="G127" s="523">
        <v>3.3459999999999997E-2</v>
      </c>
    </row>
    <row r="128" spans="1:7" x14ac:dyDescent="0.3">
      <c r="A128" s="193" t="s">
        <v>452</v>
      </c>
      <c r="B128" s="193" t="s">
        <v>453</v>
      </c>
      <c r="C128" s="193">
        <v>0.375</v>
      </c>
      <c r="D128" s="193">
        <v>0.875</v>
      </c>
      <c r="E128" s="515">
        <v>0</v>
      </c>
      <c r="F128" s="515">
        <v>1.6359999999999999E-5</v>
      </c>
      <c r="G128" s="515">
        <v>0.77949999999999997</v>
      </c>
    </row>
    <row r="129" spans="1:7" x14ac:dyDescent="0.3">
      <c r="A129" s="520" t="s">
        <v>452</v>
      </c>
      <c r="B129" s="521" t="s">
        <v>453</v>
      </c>
      <c r="C129" s="522">
        <v>0.625</v>
      </c>
      <c r="D129" s="522">
        <v>0.875</v>
      </c>
      <c r="E129" s="523">
        <v>0</v>
      </c>
      <c r="F129" s="523">
        <v>1.7419999999999999E-5</v>
      </c>
      <c r="G129" s="523">
        <v>0.30969999999999998</v>
      </c>
    </row>
    <row r="130" spans="1:7" x14ac:dyDescent="0.3">
      <c r="A130" s="193" t="s">
        <v>454</v>
      </c>
      <c r="B130" s="193" t="s">
        <v>455</v>
      </c>
      <c r="C130" s="193" t="str">
        <f ca="1">'Translation Table'!H2995</f>
        <v>Rubber/PFTE fitted</v>
      </c>
      <c r="D130" s="515">
        <v>3.2859999999999998E-8</v>
      </c>
      <c r="E130" s="515">
        <v>-1.261E-5</v>
      </c>
      <c r="F130" s="515">
        <v>6.7080000000000004E-3</v>
      </c>
      <c r="G130" s="193"/>
    </row>
    <row r="131" spans="1:7" x14ac:dyDescent="0.3">
      <c r="A131" s="520" t="s">
        <v>457</v>
      </c>
      <c r="B131" s="521" t="s">
        <v>458</v>
      </c>
      <c r="C131" s="522">
        <v>1.25</v>
      </c>
      <c r="D131" s="522">
        <v>1</v>
      </c>
      <c r="E131" s="523">
        <v>0</v>
      </c>
      <c r="F131" s="523">
        <v>0</v>
      </c>
      <c r="G131" s="523">
        <v>0.77159999999999995</v>
      </c>
    </row>
    <row r="132" spans="1:7" x14ac:dyDescent="0.3">
      <c r="A132" s="193" t="s">
        <v>457</v>
      </c>
      <c r="B132" s="193" t="s">
        <v>459</v>
      </c>
      <c r="C132" s="193">
        <v>2.25</v>
      </c>
      <c r="D132" s="193">
        <v>1</v>
      </c>
      <c r="E132" s="515">
        <v>0</v>
      </c>
      <c r="F132" s="515">
        <v>0</v>
      </c>
      <c r="G132" s="515">
        <v>0.61729999999999996</v>
      </c>
    </row>
    <row r="133" spans="1:7" x14ac:dyDescent="0.3">
      <c r="A133" s="520" t="s">
        <v>457</v>
      </c>
      <c r="B133" s="521" t="s">
        <v>460</v>
      </c>
      <c r="C133" s="522">
        <v>3</v>
      </c>
      <c r="D133" s="522">
        <v>1</v>
      </c>
      <c r="E133" s="523">
        <v>0</v>
      </c>
      <c r="F133" s="523">
        <v>0</v>
      </c>
      <c r="G133" s="523">
        <v>1.1379999999999999</v>
      </c>
    </row>
    <row r="134" spans="1:7" x14ac:dyDescent="0.3">
      <c r="A134" s="193" t="s">
        <v>457</v>
      </c>
      <c r="B134" s="193" t="s">
        <v>461</v>
      </c>
      <c r="C134" s="193">
        <v>2.25</v>
      </c>
      <c r="D134" s="193">
        <v>1</v>
      </c>
      <c r="E134" s="515">
        <v>0</v>
      </c>
      <c r="F134" s="515">
        <v>0</v>
      </c>
      <c r="G134" s="515">
        <v>0.15310000000000001</v>
      </c>
    </row>
    <row r="135" spans="1:7" x14ac:dyDescent="0.3">
      <c r="A135" s="520" t="s">
        <v>457</v>
      </c>
      <c r="B135" s="521" t="s">
        <v>462</v>
      </c>
      <c r="C135" s="522">
        <v>3</v>
      </c>
      <c r="D135" s="522">
        <v>1</v>
      </c>
      <c r="E135" s="523">
        <v>0</v>
      </c>
      <c r="F135" s="523">
        <v>0</v>
      </c>
      <c r="G135" s="523">
        <v>0.28220000000000001</v>
      </c>
    </row>
    <row r="136" spans="1:7" x14ac:dyDescent="0.3">
      <c r="A136" s="193" t="s">
        <v>457</v>
      </c>
      <c r="B136" s="193" t="s">
        <v>463</v>
      </c>
      <c r="C136" s="193">
        <v>4</v>
      </c>
      <c r="D136" s="193">
        <v>1</v>
      </c>
      <c r="E136" s="515">
        <v>0</v>
      </c>
      <c r="F136" s="515">
        <v>0</v>
      </c>
      <c r="G136" s="515">
        <v>0.12239999999999999</v>
      </c>
    </row>
    <row r="137" spans="1:7" x14ac:dyDescent="0.3">
      <c r="A137" s="520" t="s">
        <v>457</v>
      </c>
      <c r="B137" s="521" t="s">
        <v>464</v>
      </c>
      <c r="C137" s="522">
        <v>6</v>
      </c>
      <c r="D137" s="522">
        <v>1</v>
      </c>
      <c r="E137" s="523">
        <v>0</v>
      </c>
      <c r="F137" s="523">
        <v>0</v>
      </c>
      <c r="G137" s="523">
        <v>0.2472</v>
      </c>
    </row>
    <row r="138" spans="1:7" x14ac:dyDescent="0.3">
      <c r="A138" s="193" t="s">
        <v>457</v>
      </c>
      <c r="B138" s="193" t="s">
        <v>465</v>
      </c>
      <c r="C138" s="193">
        <v>8</v>
      </c>
      <c r="D138" s="193">
        <v>1</v>
      </c>
      <c r="E138" s="515">
        <v>0</v>
      </c>
      <c r="F138" s="515">
        <v>0</v>
      </c>
      <c r="G138" s="515">
        <v>0.436</v>
      </c>
    </row>
    <row r="139" spans="1:7" x14ac:dyDescent="0.3">
      <c r="A139" s="520" t="s">
        <v>457</v>
      </c>
      <c r="B139" s="521" t="s">
        <v>466</v>
      </c>
      <c r="C139" s="522">
        <v>4</v>
      </c>
      <c r="D139" s="522">
        <v>1</v>
      </c>
      <c r="E139" s="523">
        <v>0</v>
      </c>
      <c r="F139" s="523">
        <v>0</v>
      </c>
      <c r="G139" s="523">
        <v>0.48320000000000002</v>
      </c>
    </row>
    <row r="140" spans="1:7" x14ac:dyDescent="0.3">
      <c r="A140" s="193" t="s">
        <v>457</v>
      </c>
      <c r="B140" s="193" t="s">
        <v>467</v>
      </c>
      <c r="C140" s="193">
        <v>4</v>
      </c>
      <c r="D140" s="193">
        <v>1</v>
      </c>
      <c r="E140" s="515">
        <v>0</v>
      </c>
      <c r="F140" s="515">
        <v>0</v>
      </c>
      <c r="G140" s="515">
        <v>0.22270000000000001</v>
      </c>
    </row>
    <row r="141" spans="1:7" x14ac:dyDescent="0.3">
      <c r="A141" s="520" t="s">
        <v>468</v>
      </c>
      <c r="B141" s="521" t="s">
        <v>469</v>
      </c>
      <c r="C141" s="522" t="str">
        <f ca="1">'Translation Table'!H2996</f>
        <v>0.02cc odorant/stroke</v>
      </c>
      <c r="D141" s="522">
        <v>0</v>
      </c>
      <c r="E141" s="523">
        <v>2.207E-4</v>
      </c>
      <c r="F141" s="523">
        <v>2.8159999999999998</v>
      </c>
      <c r="G141" s="523"/>
    </row>
    <row r="142" spans="1:7" x14ac:dyDescent="0.3">
      <c r="A142" s="193" t="s">
        <v>468</v>
      </c>
      <c r="B142" s="193" t="s">
        <v>471</v>
      </c>
      <c r="C142" s="193" t="str">
        <f ca="1">'Translation Table'!H2997</f>
        <v>0.04cc odorant/stroke</v>
      </c>
      <c r="D142" s="515">
        <v>0</v>
      </c>
      <c r="E142" s="515">
        <v>1.104E-4</v>
      </c>
      <c r="F142" s="515">
        <v>1.4079999999999999</v>
      </c>
      <c r="G142" s="193"/>
    </row>
    <row r="143" spans="1:7" x14ac:dyDescent="0.3">
      <c r="A143" s="520" t="s">
        <v>468</v>
      </c>
      <c r="B143" s="521" t="s">
        <v>473</v>
      </c>
      <c r="C143" s="522" t="str">
        <f ca="1">'Translation Table'!H2998</f>
        <v>0.06cc odorant/stroke</v>
      </c>
      <c r="D143" s="522">
        <v>0</v>
      </c>
      <c r="E143" s="523">
        <v>7.3570000000000002E-5</v>
      </c>
      <c r="F143" s="523">
        <v>0.93869999999999998</v>
      </c>
      <c r="G143" s="523"/>
    </row>
    <row r="144" spans="1:7" x14ac:dyDescent="0.3">
      <c r="A144" s="193" t="s">
        <v>468</v>
      </c>
      <c r="B144" s="193" t="s">
        <v>475</v>
      </c>
      <c r="C144" s="193" t="str">
        <f ca="1">'Translation Table'!H2999</f>
        <v>0.08cc odorant/stroke</v>
      </c>
      <c r="D144" s="515">
        <v>0</v>
      </c>
      <c r="E144" s="515">
        <v>5.5179999999999997E-5</v>
      </c>
      <c r="F144" s="515">
        <v>0.70399999999999996</v>
      </c>
      <c r="G144" s="193"/>
    </row>
    <row r="145" spans="1:7" x14ac:dyDescent="0.3">
      <c r="A145" s="520" t="s">
        <v>468</v>
      </c>
      <c r="B145" s="521" t="s">
        <v>477</v>
      </c>
      <c r="C145" s="522" t="str">
        <f ca="1">'Translation Table'!H3000</f>
        <v>0.10cc odorant/stroke</v>
      </c>
      <c r="D145" s="522">
        <v>0</v>
      </c>
      <c r="E145" s="523">
        <v>4.4140000000000001E-5</v>
      </c>
      <c r="F145" s="523">
        <v>0.56320000000000003</v>
      </c>
      <c r="G145" s="523"/>
    </row>
    <row r="146" spans="1:7" x14ac:dyDescent="0.3">
      <c r="A146" s="193" t="s">
        <v>468</v>
      </c>
      <c r="B146" s="193" t="s">
        <v>479</v>
      </c>
      <c r="C146" s="193" t="str">
        <f ca="1">'Translation Table'!H3001</f>
        <v>0.02cc odorant/stroke</v>
      </c>
      <c r="D146" s="515">
        <v>0</v>
      </c>
      <c r="E146" s="515">
        <v>2.207E-4</v>
      </c>
      <c r="F146" s="515">
        <v>2.8159999999999998</v>
      </c>
      <c r="G146" s="193"/>
    </row>
    <row r="147" spans="1:7" x14ac:dyDescent="0.3">
      <c r="A147" s="520" t="s">
        <v>468</v>
      </c>
      <c r="B147" s="521" t="s">
        <v>480</v>
      </c>
      <c r="C147" s="522" t="str">
        <f ca="1">'Translation Table'!H3002</f>
        <v>0.04cc odorant/stroke</v>
      </c>
      <c r="D147" s="522">
        <v>0</v>
      </c>
      <c r="E147" s="523">
        <v>1.104E-4</v>
      </c>
      <c r="F147" s="523">
        <v>1.4079999999999999</v>
      </c>
      <c r="G147" s="523"/>
    </row>
    <row r="148" spans="1:7" x14ac:dyDescent="0.3">
      <c r="A148" s="193" t="s">
        <v>468</v>
      </c>
      <c r="B148" s="193" t="s">
        <v>481</v>
      </c>
      <c r="C148" s="193" t="str">
        <f ca="1">'Translation Table'!H3003</f>
        <v>0.06cc odorant/stroke</v>
      </c>
      <c r="D148" s="515">
        <v>0</v>
      </c>
      <c r="E148" s="515">
        <v>7.3570000000000002E-5</v>
      </c>
      <c r="F148" s="515">
        <v>0.93869999999999998</v>
      </c>
      <c r="G148" s="193"/>
    </row>
    <row r="149" spans="1:7" x14ac:dyDescent="0.3">
      <c r="A149" s="520" t="s">
        <v>468</v>
      </c>
      <c r="B149" s="521" t="s">
        <v>482</v>
      </c>
      <c r="C149" s="522" t="str">
        <f ca="1">'Translation Table'!H3004</f>
        <v>0.08cc odorant/stroke</v>
      </c>
      <c r="D149" s="522">
        <v>0</v>
      </c>
      <c r="E149" s="523">
        <v>5.5179999999999997E-5</v>
      </c>
      <c r="F149" s="523">
        <v>0.70399999999999996</v>
      </c>
      <c r="G149" s="523"/>
    </row>
    <row r="150" spans="1:7" x14ac:dyDescent="0.3">
      <c r="A150" s="193" t="s">
        <v>468</v>
      </c>
      <c r="B150" s="193" t="s">
        <v>483</v>
      </c>
      <c r="C150" s="193" t="str">
        <f ca="1">'Translation Table'!H3005</f>
        <v>0.10cc odorant/stroke</v>
      </c>
      <c r="D150" s="515">
        <v>0</v>
      </c>
      <c r="E150" s="515">
        <v>4.4140000000000001E-5</v>
      </c>
      <c r="F150" s="515">
        <v>0.56320000000000003</v>
      </c>
      <c r="G150" s="193"/>
    </row>
  </sheetData>
  <sheetProtection algorithmName="SHA-512" hashValue="NrCqmd5mB9a/CR4+LLmV55JHQvtghvxAQLuVk+eIGKk2jvmBaQAI3IW+y6vxMX+seAwT/HbQYw3iEejNj8FXQg==" saltValue="RPwWHa6VKzgVFbJyWDt3xA==" spinCount="100000" sheet="1" objects="1" scenarios="1"/>
  <mergeCells count="24">
    <mergeCell ref="B3:N3"/>
    <mergeCell ref="B33:N33"/>
    <mergeCell ref="F22:H22"/>
    <mergeCell ref="F24:H24"/>
    <mergeCell ref="F26:H26"/>
    <mergeCell ref="F15:H15"/>
    <mergeCell ref="F16:H16"/>
    <mergeCell ref="F19:H19"/>
    <mergeCell ref="F20:H20"/>
    <mergeCell ref="F21:H21"/>
    <mergeCell ref="F46:L46"/>
    <mergeCell ref="F47:L47"/>
    <mergeCell ref="F30:H30"/>
    <mergeCell ref="A59:G59"/>
    <mergeCell ref="F23:H23"/>
    <mergeCell ref="F43:L43"/>
    <mergeCell ref="F44:L44"/>
    <mergeCell ref="F45:L45"/>
    <mergeCell ref="F53:J53"/>
    <mergeCell ref="F54:J54"/>
    <mergeCell ref="F55:J55"/>
    <mergeCell ref="F56:J56"/>
    <mergeCell ref="F41:L41"/>
    <mergeCell ref="F42:L42"/>
  </mergeCells>
  <dataValidations count="1">
    <dataValidation type="decimal" operator="greaterThan" allowBlank="1" showInputMessage="1" showErrorMessage="1" error="The value you entered is not valid._x000a__x000a_This cell accepts only positive numeric values." sqref="C15:C16 C19:C24 C42 C44 C46 C53:C56" xr:uid="{8ABA8FCC-BC4A-4F32-B66F-F4208E44DC15}">
      <formula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3" shapeId="19457" r:id="rId4">
          <objectPr defaultSize="0" autoPict="0" r:id="rId5">
            <anchor moveWithCells="1">
              <from>
                <xdr:col>1</xdr:col>
                <xdr:colOff>0</xdr:colOff>
                <xdr:row>35</xdr:row>
                <xdr:rowOff>0</xdr:rowOff>
              </from>
              <to>
                <xdr:col>8</xdr:col>
                <xdr:colOff>38100</xdr:colOff>
                <xdr:row>38</xdr:row>
                <xdr:rowOff>50800</xdr:rowOff>
              </to>
            </anchor>
          </objectPr>
        </oleObject>
      </mc:Choice>
      <mc:Fallback>
        <oleObject progId="Equation.3" shapeId="19457" r:id="rId4"/>
      </mc:Fallback>
    </mc:AlternateContent>
    <mc:AlternateContent xmlns:mc="http://schemas.openxmlformats.org/markup-compatibility/2006">
      <mc:Choice Requires="x14">
        <oleObject progId="Equation.3" shapeId="19458" r:id="rId6">
          <objectPr defaultSize="0" autoPict="0" r:id="rId7">
            <anchor moveWithCells="1">
              <from>
                <xdr:col>1</xdr:col>
                <xdr:colOff>12700</xdr:colOff>
                <xdr:row>47</xdr:row>
                <xdr:rowOff>76200</xdr:rowOff>
              </from>
              <to>
                <xdr:col>8</xdr:col>
                <xdr:colOff>38100</xdr:colOff>
                <xdr:row>51</xdr:row>
                <xdr:rowOff>19050</xdr:rowOff>
              </to>
            </anchor>
          </objectPr>
        </oleObject>
      </mc:Choice>
      <mc:Fallback>
        <oleObject progId="Equation.3" shapeId="19458" r:id="rId6"/>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9873AC"/>
  </sheetPr>
  <dimension ref="A1:E28"/>
  <sheetViews>
    <sheetView showGridLines="0" workbookViewId="0">
      <selection activeCell="B8" sqref="B8"/>
    </sheetView>
  </sheetViews>
  <sheetFormatPr defaultColWidth="9.1796875" defaultRowHeight="14" x14ac:dyDescent="0.3"/>
  <cols>
    <col min="1" max="1" width="24" style="256" customWidth="1"/>
    <col min="2" max="2" width="9.1796875" style="256"/>
    <col min="3" max="3" width="18.1796875" style="256" bestFit="1" customWidth="1"/>
    <col min="4" max="16384" width="9.1796875" style="256"/>
  </cols>
  <sheetData>
    <row r="1" spans="1:3" ht="22.5" x14ac:dyDescent="0.45">
      <c r="A1" s="1133" t="str">
        <f ca="1">'Translation Table'!H3006</f>
        <v>Gaseous Stream Input Composition:</v>
      </c>
      <c r="B1" s="1133"/>
      <c r="C1" s="1133"/>
    </row>
    <row r="3" spans="1:3" ht="15.5" x14ac:dyDescent="0.35">
      <c r="A3" s="1134" t="str">
        <f ca="1">'Translation Table'!H3007</f>
        <v>Component</v>
      </c>
      <c r="B3" s="1135"/>
      <c r="C3" s="231" t="str">
        <f ca="1">'Translation Table'!H3008</f>
        <v xml:space="preserve">Process </v>
      </c>
    </row>
    <row r="4" spans="1:3" ht="15.5" x14ac:dyDescent="0.35">
      <c r="A4" s="1136" t="str">
        <f ca="1">'Translation Table'!H3009</f>
        <v>Name</v>
      </c>
      <c r="B4" s="1136" t="str">
        <f ca="1">'Translation Table'!H3010</f>
        <v>Formula</v>
      </c>
      <c r="C4" s="232" t="str">
        <f ca="1">'Translation Table'!H3011</f>
        <v>Stream</v>
      </c>
    </row>
    <row r="5" spans="1:3" ht="15.5" x14ac:dyDescent="0.35">
      <c r="A5" s="1137"/>
      <c r="B5" s="1137"/>
      <c r="C5" s="232" t="str">
        <f ca="1">'Translation Table'!H3012</f>
        <v>(Mol%)</v>
      </c>
    </row>
    <row r="6" spans="1:3" x14ac:dyDescent="0.3">
      <c r="A6" s="520" t="str">
        <f ca="1">Constants!A5</f>
        <v>Methane</v>
      </c>
      <c r="B6" s="520" t="str">
        <f>Constants!B5</f>
        <v>CH4</v>
      </c>
      <c r="C6" s="524">
        <v>0.92</v>
      </c>
    </row>
    <row r="7" spans="1:3" x14ac:dyDescent="0.3">
      <c r="A7" s="193" t="str">
        <f ca="1">Constants!A6</f>
        <v>Ethane</v>
      </c>
      <c r="B7" s="193" t="str">
        <f>Constants!B6</f>
        <v>C2H6</v>
      </c>
      <c r="C7" s="524">
        <v>0</v>
      </c>
    </row>
    <row r="8" spans="1:3" x14ac:dyDescent="0.3">
      <c r="A8" s="520" t="str">
        <f ca="1">Constants!A7</f>
        <v>Propane</v>
      </c>
      <c r="B8" s="520" t="str">
        <f>Constants!B7</f>
        <v>C3H8</v>
      </c>
      <c r="C8" s="524">
        <v>0</v>
      </c>
    </row>
    <row r="9" spans="1:3" x14ac:dyDescent="0.3">
      <c r="A9" s="193" t="str">
        <f ca="1">Constants!A8</f>
        <v>iso-Butane</v>
      </c>
      <c r="B9" s="193" t="str">
        <f>Constants!B8</f>
        <v>C4H10</v>
      </c>
      <c r="C9" s="524">
        <v>0</v>
      </c>
    </row>
    <row r="10" spans="1:3" x14ac:dyDescent="0.3">
      <c r="A10" s="520" t="str">
        <f ca="1">Constants!A9</f>
        <v>n-Butane</v>
      </c>
      <c r="B10" s="520" t="str">
        <f>Constants!B9</f>
        <v>C4H10</v>
      </c>
      <c r="C10" s="524">
        <v>0</v>
      </c>
    </row>
    <row r="11" spans="1:3" x14ac:dyDescent="0.3">
      <c r="A11" s="193" t="str">
        <f ca="1">Constants!A10</f>
        <v>iso-Pentane</v>
      </c>
      <c r="B11" s="193" t="str">
        <f>Constants!B10</f>
        <v>C5H12</v>
      </c>
      <c r="C11" s="524">
        <v>0</v>
      </c>
    </row>
    <row r="12" spans="1:3" x14ac:dyDescent="0.3">
      <c r="A12" s="520" t="str">
        <f ca="1">Constants!A11</f>
        <v>n-Pentane</v>
      </c>
      <c r="B12" s="520" t="str">
        <f>Constants!B11</f>
        <v>C5H12</v>
      </c>
      <c r="C12" s="524">
        <v>0</v>
      </c>
    </row>
    <row r="13" spans="1:3" x14ac:dyDescent="0.3">
      <c r="A13" s="193" t="str">
        <f ca="1">Constants!A12</f>
        <v>Hexane</v>
      </c>
      <c r="B13" s="193" t="str">
        <f>Constants!B12</f>
        <v>C6H14</v>
      </c>
      <c r="C13" s="524">
        <v>0</v>
      </c>
    </row>
    <row r="14" spans="1:3" x14ac:dyDescent="0.3">
      <c r="A14" s="520" t="str">
        <f ca="1">Constants!A13</f>
        <v>Heptane</v>
      </c>
      <c r="B14" s="520" t="str">
        <f>Constants!B13</f>
        <v>C7H16</v>
      </c>
      <c r="C14" s="524">
        <v>0</v>
      </c>
    </row>
    <row r="15" spans="1:3" x14ac:dyDescent="0.3">
      <c r="A15" s="193" t="str">
        <f ca="1">Constants!A14</f>
        <v>Octane</v>
      </c>
      <c r="B15" s="193" t="str">
        <f>Constants!B14</f>
        <v>C8H18</v>
      </c>
      <c r="C15" s="524">
        <v>0</v>
      </c>
    </row>
    <row r="16" spans="1:3" x14ac:dyDescent="0.3">
      <c r="A16" s="520" t="str">
        <f ca="1">Constants!A15</f>
        <v>Nonane</v>
      </c>
      <c r="B16" s="520" t="str">
        <f>Constants!B15</f>
        <v>C9H20</v>
      </c>
      <c r="C16" s="524">
        <v>0</v>
      </c>
    </row>
    <row r="17" spans="1:5" x14ac:dyDescent="0.3">
      <c r="A17" s="193" t="str">
        <f ca="1">Constants!A16</f>
        <v>Decane</v>
      </c>
      <c r="B17" s="193" t="str">
        <f>Constants!B16</f>
        <v>C10H22</v>
      </c>
      <c r="C17" s="524">
        <v>0</v>
      </c>
    </row>
    <row r="18" spans="1:5" x14ac:dyDescent="0.3">
      <c r="A18" s="520" t="str">
        <f ca="1">Constants!A17</f>
        <v>Hydrogen Sulphide</v>
      </c>
      <c r="B18" s="520" t="str">
        <f>Constants!B17</f>
        <v>H2S</v>
      </c>
      <c r="C18" s="524">
        <v>0</v>
      </c>
    </row>
    <row r="19" spans="1:5" x14ac:dyDescent="0.3">
      <c r="A19" s="193" t="str">
        <f ca="1">Constants!A18</f>
        <v>Carbon Dioxide</v>
      </c>
      <c r="B19" s="193" t="str">
        <f>Constants!B18</f>
        <v>CO2</v>
      </c>
      <c r="C19" s="524">
        <v>0.08</v>
      </c>
    </row>
    <row r="20" spans="1:5" x14ac:dyDescent="0.3">
      <c r="A20" s="520" t="str">
        <f ca="1">Constants!A19</f>
        <v>Nitrogen</v>
      </c>
      <c r="B20" s="520" t="str">
        <f>Constants!B19</f>
        <v>N2</v>
      </c>
      <c r="C20" s="524">
        <v>0</v>
      </c>
    </row>
    <row r="21" spans="1:5" x14ac:dyDescent="0.3">
      <c r="A21" s="1138" t="str">
        <f ca="1">'Translation Table'!H3013</f>
        <v>Total</v>
      </c>
      <c r="B21" s="1139"/>
      <c r="C21" s="151">
        <f>SUM(C6:C20)</f>
        <v>1</v>
      </c>
    </row>
    <row r="23" spans="1:5" ht="22.5" x14ac:dyDescent="0.45">
      <c r="A23" s="1133" t="str">
        <f ca="1">'Translation Table'!H3014</f>
        <v>Calculated Properties of the Specified Gas Stream:</v>
      </c>
      <c r="B23" s="1133"/>
      <c r="C23" s="1133"/>
      <c r="D23" s="1133"/>
      <c r="E23" s="1133"/>
    </row>
    <row r="25" spans="1:5" x14ac:dyDescent="0.3">
      <c r="A25" s="230" t="str">
        <f ca="1">'Translation Table'!H3015</f>
        <v>Molecular Weight</v>
      </c>
      <c r="B25" s="520">
        <f>IF(C21&gt;0,SUMPRODUCT(C$6:C$20,Constants!C$5:C$19)/C$21,0)</f>
        <v>18.280360000000002</v>
      </c>
      <c r="C25" s="520" t="str">
        <f ca="1">'Translation Table'!H3016</f>
        <v>kg/kmol</v>
      </c>
    </row>
    <row r="26" spans="1:5" x14ac:dyDescent="0.3">
      <c r="A26" s="230" t="str">
        <f ca="1">'Translation Table'!H3017</f>
        <v>Carbon Content</v>
      </c>
      <c r="B26" s="520">
        <f>IF(C21&gt;0,SUMPRODUCT(C$6:C$20,Constants!X$5:X$19)/C$21,0)</f>
        <v>0.46732616510122293</v>
      </c>
      <c r="C26" s="520" t="str">
        <f ca="1">'Translation Table'!H3018</f>
        <v>tonnes/10^3 Nm3</v>
      </c>
    </row>
    <row r="27" spans="1:5" x14ac:dyDescent="0.3">
      <c r="A27" s="230" t="str">
        <f ca="1">'Translation Table'!H3019</f>
        <v>Lower Heating Value</v>
      </c>
      <c r="B27" s="520">
        <f>IF(C$21&gt;0,SUMPRODUCT(C$6:C$20,Constants!N$5:N$19)/C$21,0)</f>
        <v>31.221120000000003</v>
      </c>
      <c r="C27" s="520" t="str">
        <f ca="1">'Translation Table'!H3020</f>
        <v>GJ/10^3 Nm3</v>
      </c>
    </row>
    <row r="28" spans="1:5" x14ac:dyDescent="0.3">
      <c r="A28" s="230" t="str">
        <f ca="1">'Translation Table'!H3021</f>
        <v>Higher Heating Value</v>
      </c>
      <c r="B28" s="520">
        <f>IF(C$21&gt;0,SUMPRODUCT(C$6:C$20,Constants!R$5:R$19)/C$21,0)</f>
        <v>34.67848</v>
      </c>
      <c r="C28" s="520" t="str">
        <f ca="1">'Translation Table'!H3022</f>
        <v>GJ/10^3 Nm3</v>
      </c>
    </row>
  </sheetData>
  <sheetProtection algorithmName="SHA-512" hashValue="MxkGLLBNJnJWZ7JeX7YXi+gp3V2/Iq+/OpYQY/4WRmKCujHlM8tVNy7XAugttf3TwAALJUScxvDQZ65RA/D32Q==" saltValue="TMlRsGWwqZXTrFq0j5Uiyw==" spinCount="100000" sheet="1" objects="1" scenarios="1"/>
  <mergeCells count="6">
    <mergeCell ref="A1:C1"/>
    <mergeCell ref="A23:E23"/>
    <mergeCell ref="A3:B3"/>
    <mergeCell ref="A4:A5"/>
    <mergeCell ref="B4:B5"/>
    <mergeCell ref="A21:B21"/>
  </mergeCells>
  <dataValidations count="1">
    <dataValidation type="decimal" allowBlank="1" showInputMessage="1" showErrorMessage="1" error="Value must be between 0 and 100%" sqref="C6:C20" xr:uid="{00000000-0002-0000-0C00-000000000000}">
      <formula1>0</formula1>
      <formula2>100</formula2>
    </dataValidation>
  </dataValidations>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A9B5"/>
  </sheetPr>
  <dimension ref="A1:S39"/>
  <sheetViews>
    <sheetView showGridLines="0" workbookViewId="0">
      <selection activeCell="A6" sqref="A6:N6"/>
    </sheetView>
  </sheetViews>
  <sheetFormatPr defaultColWidth="9.1796875" defaultRowHeight="14" x14ac:dyDescent="0.3"/>
  <cols>
    <col min="1" max="1" width="35.81640625" style="256" customWidth="1"/>
    <col min="2" max="2" width="10.81640625" style="256" customWidth="1"/>
    <col min="3" max="3" width="45.81640625" style="256" customWidth="1"/>
    <col min="4" max="18" width="9.1796875" style="256"/>
    <col min="19" max="19" width="12.1796875" style="256" hidden="1" customWidth="1"/>
    <col min="20" max="16384" width="9.1796875" style="256"/>
  </cols>
  <sheetData>
    <row r="1" spans="1:19" ht="40.15" customHeight="1" x14ac:dyDescent="0.3">
      <c r="A1" s="714" t="str">
        <f ca="1">'Translation Table'!H5</f>
        <v>Which language would you like to pick?</v>
      </c>
      <c r="B1" s="715"/>
      <c r="C1" s="716"/>
      <c r="S1" s="325" t="str">
        <f>SUBSTITUTE(SUBSTITUTE(SUBSTITUTE(SUBSTITUTE(C2,"/",""),"(",""),")","")," ","")</f>
        <v>English</v>
      </c>
    </row>
    <row r="2" spans="1:19" ht="35.15" customHeight="1" x14ac:dyDescent="0.3">
      <c r="A2" s="185" t="str">
        <f ca="1">'Translation Table'!H6</f>
        <v>Language:</v>
      </c>
      <c r="B2" s="186"/>
      <c r="C2" s="155" t="s">
        <v>2245</v>
      </c>
    </row>
    <row r="5" spans="1:19" ht="20" x14ac:dyDescent="0.3">
      <c r="A5" s="713" t="str">
        <f ca="1">'Translation Table'!H7</f>
        <v>Introduction:</v>
      </c>
      <c r="B5" s="713"/>
      <c r="C5" s="713"/>
    </row>
    <row r="6" spans="1:19" ht="57.75" customHeight="1" x14ac:dyDescent="0.3">
      <c r="A6" s="701" t="str">
        <f ca="1">'Translation Table'!H8</f>
        <v xml:space="preserve">This spreadsheet tool assesses atmospheric emissions of greenhouses gases (GHG) (i.e., CH4, CO2, N2O and CO2E) for a single user specified oil or natural gas facility. In addition to specifying the type of facility, the user must define the process activity levels as well as the type and amount of process infrastructure used at the facility. The spreadsheet program then uses this information to assess the annual amount of GHG emissions for the facility. A different instance of the spreadsheet needs to be created to estimate emissions for each facility of interest. </v>
      </c>
      <c r="B6" s="702"/>
      <c r="C6" s="703"/>
      <c r="D6" s="703"/>
      <c r="E6" s="703"/>
      <c r="F6" s="703"/>
      <c r="G6" s="703"/>
      <c r="H6" s="703"/>
      <c r="I6" s="703"/>
      <c r="J6" s="703"/>
      <c r="K6" s="703"/>
      <c r="L6" s="703"/>
      <c r="M6" s="703"/>
      <c r="N6" s="704"/>
    </row>
    <row r="7" spans="1:19" ht="10.5" customHeight="1" x14ac:dyDescent="0.3">
      <c r="A7" s="326"/>
      <c r="B7" s="327"/>
      <c r="N7" s="328"/>
    </row>
    <row r="8" spans="1:19" x14ac:dyDescent="0.3">
      <c r="A8" s="697" t="str">
        <f ca="1">'Translation Table'!H9</f>
        <v>The assessment results are summarized on the “Results (Tabular) - Facility” worksheet by primary source category and type of GHG.</v>
      </c>
      <c r="B8" s="698"/>
      <c r="C8" s="699"/>
      <c r="D8" s="699"/>
      <c r="E8" s="699"/>
      <c r="F8" s="699"/>
      <c r="G8" s="699"/>
      <c r="H8" s="699"/>
      <c r="I8" s="699"/>
      <c r="J8" s="699"/>
      <c r="K8" s="699"/>
      <c r="L8" s="699"/>
      <c r="M8" s="699"/>
      <c r="N8" s="700"/>
    </row>
    <row r="9" spans="1:19" x14ac:dyDescent="0.3">
      <c r="A9" s="326"/>
      <c r="B9" s="327"/>
      <c r="N9" s="328"/>
    </row>
    <row r="10" spans="1:19" ht="42" customHeight="1" x14ac:dyDescent="0.3">
      <c r="A10" s="697" t="str">
        <f ca="1">'Translation Table'!H10</f>
        <v>The tool can be used to assess GHG emissions for a specific oil or natural gas facility (e.g., for environmental reporting purposes or as a check of the results determined using other methodologies). Alternatively, the tool may be used to estimate emissions for an “average” facility of a specified type. In these cases, it may be reasonable to multiple the “average facility” results by the total count of all facilities of the specified type to estimate their combined GHG emissions contribution.</v>
      </c>
      <c r="B10" s="698"/>
      <c r="C10" s="699"/>
      <c r="D10" s="699"/>
      <c r="E10" s="699"/>
      <c r="F10" s="699"/>
      <c r="G10" s="699"/>
      <c r="H10" s="699"/>
      <c r="I10" s="699"/>
      <c r="J10" s="699"/>
      <c r="K10" s="699"/>
      <c r="L10" s="699"/>
      <c r="M10" s="699"/>
      <c r="N10" s="700"/>
    </row>
    <row r="11" spans="1:19" ht="9" customHeight="1" x14ac:dyDescent="0.3">
      <c r="A11" s="326"/>
      <c r="B11" s="327"/>
      <c r="N11" s="328"/>
    </row>
    <row r="12" spans="1:19" ht="17.25" customHeight="1" x14ac:dyDescent="0.3">
      <c r="A12" s="709" t="str">
        <f ca="1">'Translation Table'!H11</f>
        <v xml:space="preserve">Additional information on this spreadsheet tool is provided in the user's manual. </v>
      </c>
      <c r="B12" s="710"/>
      <c r="C12" s="711"/>
      <c r="D12" s="711"/>
      <c r="E12" s="711"/>
      <c r="F12" s="711"/>
      <c r="G12" s="711"/>
      <c r="H12" s="711"/>
      <c r="I12" s="711"/>
      <c r="J12" s="711"/>
      <c r="K12" s="711"/>
      <c r="L12" s="711"/>
      <c r="M12" s="711"/>
      <c r="N12" s="712"/>
    </row>
    <row r="13" spans="1:19" ht="15.5" x14ac:dyDescent="0.3">
      <c r="A13" s="187"/>
      <c r="B13" s="187"/>
    </row>
    <row r="14" spans="1:19" ht="20" x14ac:dyDescent="0.3">
      <c r="A14" s="713" t="str">
        <f ca="1">'Translation Table'!H12</f>
        <v>Language Options:</v>
      </c>
      <c r="B14" s="713"/>
      <c r="C14" s="713"/>
    </row>
    <row r="15" spans="1:19" ht="29.25" customHeight="1" x14ac:dyDescent="0.3">
      <c r="A15" s="705" t="str">
        <f ca="1">'Translation Table'!H13</f>
        <v>This tool currently supports English, Mandarin Chinese and Spanish. The language of choice may be selected using the selection feature presented at the top of this worksheet.</v>
      </c>
      <c r="B15" s="706"/>
      <c r="C15" s="707"/>
      <c r="D15" s="707"/>
      <c r="E15" s="707"/>
      <c r="F15" s="707"/>
      <c r="G15" s="707"/>
      <c r="H15" s="707"/>
      <c r="I15" s="707"/>
      <c r="J15" s="707"/>
      <c r="K15" s="707"/>
      <c r="L15" s="707"/>
      <c r="M15" s="707"/>
      <c r="N15" s="708"/>
    </row>
    <row r="16" spans="1:19" ht="15.5" x14ac:dyDescent="0.3">
      <c r="A16" s="188"/>
      <c r="B16" s="188"/>
    </row>
    <row r="17" spans="1:14" ht="20.25" customHeight="1" x14ac:dyDescent="0.3">
      <c r="A17" s="713" t="str">
        <f ca="1">'Translation Table'!H14</f>
        <v>Navigation and Colour Coding Rules:</v>
      </c>
      <c r="B17" s="713"/>
      <c r="C17" s="713"/>
    </row>
    <row r="18" spans="1:14" ht="39" customHeight="1" x14ac:dyDescent="0.3">
      <c r="A18" s="705" t="str">
        <f ca="1">'Translation Table'!H15</f>
        <v>All cells that either require user input information or contain information that the user may change are highlighted in yellow. All other cells are password protected to prevent calculation formulas from being inadvertently corrupted or erased, and to prevent critical information from being overwritten.</v>
      </c>
      <c r="B18" s="706"/>
      <c r="C18" s="707"/>
      <c r="D18" s="707"/>
      <c r="E18" s="707"/>
      <c r="F18" s="707"/>
      <c r="G18" s="707"/>
      <c r="H18" s="707"/>
      <c r="I18" s="707"/>
      <c r="J18" s="707"/>
      <c r="K18" s="707"/>
      <c r="L18" s="707"/>
      <c r="M18" s="707"/>
      <c r="N18" s="708"/>
    </row>
    <row r="19" spans="1:14" ht="15.5" x14ac:dyDescent="0.3">
      <c r="A19" s="188"/>
      <c r="B19" s="188"/>
    </row>
    <row r="20" spans="1:14" ht="22.5" customHeight="1" x14ac:dyDescent="0.3">
      <c r="A20" s="713" t="str">
        <f ca="1">'Translation Table'!H16</f>
        <v>Facility Selection and Setup</v>
      </c>
      <c r="B20" s="713"/>
      <c r="C20" s="713"/>
    </row>
    <row r="21" spans="1:14" ht="35.25" customHeight="1" x14ac:dyDescent="0.3">
      <c r="A21" s="701" t="str">
        <f ca="1">'Translation Table'!H17</f>
        <v xml:space="preserve">The “Setup - Facility Details” worksheet is where the user defines the type of facility and provides the basic information needed to assess the amount of GHG emissions at the facility. The required input information is divided into the following sections: </v>
      </c>
      <c r="B21" s="702"/>
      <c r="C21" s="703"/>
      <c r="D21" s="703"/>
      <c r="E21" s="703"/>
      <c r="F21" s="703"/>
      <c r="G21" s="703"/>
      <c r="H21" s="703"/>
      <c r="I21" s="703"/>
      <c r="J21" s="703"/>
      <c r="K21" s="703"/>
      <c r="L21" s="703"/>
      <c r="M21" s="703"/>
      <c r="N21" s="704"/>
    </row>
    <row r="22" spans="1:14" ht="38.25" customHeight="1" x14ac:dyDescent="0.3">
      <c r="A22" s="697" t="str">
        <f ca="1">'Translation Table'!H18</f>
        <v>•  Facility Definition: this section is where the user specifies the industry segment and type of facility to be assessed. These choices will determine the specific emission factors used for some source types such as fugitive equipment leaks. The user may also enter certain and administrative data to uniquely identify the facility.</v>
      </c>
      <c r="B22" s="698"/>
      <c r="C22" s="699"/>
      <c r="D22" s="699"/>
      <c r="E22" s="699"/>
      <c r="F22" s="699"/>
      <c r="G22" s="699"/>
      <c r="H22" s="699"/>
      <c r="I22" s="699"/>
      <c r="J22" s="699"/>
      <c r="K22" s="699"/>
      <c r="L22" s="699"/>
      <c r="M22" s="699"/>
      <c r="N22" s="700"/>
    </row>
    <row r="23" spans="1:14" ht="30" customHeight="1" x14ac:dyDescent="0.3">
      <c r="A23" s="697" t="str">
        <f ca="1">'Translation Table'!H19</f>
        <v>•  Facility Activity Levels: This section captures typical production accounting data for the specified facility such as receipt volumes and disposition of the produced products.</v>
      </c>
      <c r="B23" s="698"/>
      <c r="C23" s="699"/>
      <c r="D23" s="699"/>
      <c r="E23" s="699"/>
      <c r="F23" s="699"/>
      <c r="G23" s="699"/>
      <c r="H23" s="699"/>
      <c r="I23" s="699"/>
      <c r="J23" s="699"/>
      <c r="K23" s="699"/>
      <c r="L23" s="699"/>
      <c r="M23" s="699"/>
      <c r="N23" s="700"/>
    </row>
    <row r="24" spans="1:14" ht="30.75" customHeight="1" x14ac:dyDescent="0.3">
      <c r="A24" s="697" t="str">
        <f ca="1">'Translation Table'!H20</f>
        <v>•  Emissions Measurement Results (Where Available): If any site-specific emission measurements have been performed, then these results may be entered in this section. If no emission measurement results are entered for a given source category, then the spreadsheet automatically estimates the applicable emission contributions for that source category.</v>
      </c>
      <c r="B24" s="698"/>
      <c r="C24" s="699"/>
      <c r="D24" s="699"/>
      <c r="E24" s="699"/>
      <c r="F24" s="699"/>
      <c r="G24" s="699"/>
      <c r="H24" s="699"/>
      <c r="I24" s="699"/>
      <c r="J24" s="699"/>
      <c r="K24" s="699"/>
      <c r="L24" s="699"/>
      <c r="M24" s="699"/>
      <c r="N24" s="700"/>
    </row>
    <row r="25" spans="1:14" ht="27.75" customHeight="1" x14ac:dyDescent="0.3">
      <c r="A25" s="697" t="str">
        <f ca="1">'Translation Table'!H21</f>
        <v>•  Processes Used at the Facility: This is where the quantity and types of process packages used at the facility are declared. Additionally, the user may provide certain operational data and information concerning pneumatic devices.</v>
      </c>
      <c r="B25" s="698"/>
      <c r="C25" s="699"/>
      <c r="D25" s="699"/>
      <c r="E25" s="699"/>
      <c r="F25" s="699"/>
      <c r="G25" s="699"/>
      <c r="H25" s="699"/>
      <c r="I25" s="699"/>
      <c r="J25" s="699"/>
      <c r="K25" s="699"/>
      <c r="L25" s="699"/>
      <c r="M25" s="699"/>
      <c r="N25" s="700"/>
    </row>
    <row r="26" spans="1:14" ht="29.25" customHeight="1" x14ac:dyDescent="0.3">
      <c r="A26" s="709" t="str">
        <f ca="1">'Translation Table'!H22</f>
        <v>•  Gas Compositions: The chemical composition for the primary gas streams at the facility is specified in this section. To simplify this task, the user only needs to enter the CH4 content and content of the main impurities (i.e., CO2, N2 and H2S). The spreadsheet estimates the content of all other compounds as needed.</v>
      </c>
      <c r="B26" s="710"/>
      <c r="C26" s="711"/>
      <c r="D26" s="711"/>
      <c r="E26" s="711"/>
      <c r="F26" s="711"/>
      <c r="G26" s="711"/>
      <c r="H26" s="711"/>
      <c r="I26" s="711"/>
      <c r="J26" s="711"/>
      <c r="K26" s="711"/>
      <c r="L26" s="711"/>
      <c r="M26" s="711"/>
      <c r="N26" s="712"/>
    </row>
    <row r="27" spans="1:14" ht="15.5" x14ac:dyDescent="0.3">
      <c r="A27" s="188"/>
      <c r="B27" s="188"/>
    </row>
    <row r="28" spans="1:14" ht="20.25" customHeight="1" x14ac:dyDescent="0.3">
      <c r="A28" s="713" t="str">
        <f ca="1">'Translation Table'!H23</f>
        <v>Applied Assessment Methodology:</v>
      </c>
      <c r="B28" s="713"/>
      <c r="C28" s="713"/>
    </row>
    <row r="29" spans="1:14" ht="46.5" customHeight="1" x14ac:dyDescent="0.3">
      <c r="A29" s="717" t="str">
        <f ca="1">'Translation Table'!H24</f>
        <v>Total GHG emissions for the facility are assessed using a bottom-up approach that determines the emissions contributions for each applicable emissions source category and then aggregates these results. The results are report by type of climate pollutant and primary source category. The applied methodology for each source category is generally based on the guidance provided in the API Compendium (2021) (Source:</v>
      </c>
      <c r="B29" s="718"/>
      <c r="C29" s="718"/>
      <c r="D29" s="718"/>
      <c r="E29" s="718"/>
      <c r="F29" s="718"/>
      <c r="G29" s="718"/>
      <c r="H29" s="718"/>
      <c r="I29" s="718"/>
      <c r="J29" s="718"/>
      <c r="K29" s="718"/>
      <c r="L29" s="718"/>
      <c r="M29" s="718"/>
      <c r="N29" s="719"/>
    </row>
    <row r="30" spans="1:14" ht="15.75" customHeight="1" x14ac:dyDescent="0.3">
      <c r="A30" s="189" t="s">
        <v>2193</v>
      </c>
      <c r="B30" s="190"/>
      <c r="C30" s="329"/>
      <c r="D30" s="329"/>
      <c r="E30" s="329"/>
      <c r="F30" s="329"/>
      <c r="G30" s="329"/>
      <c r="H30" s="329"/>
      <c r="I30" s="329"/>
      <c r="J30" s="329"/>
      <c r="K30" s="329"/>
      <c r="L30" s="329"/>
      <c r="M30" s="329"/>
      <c r="N30" s="330"/>
    </row>
    <row r="31" spans="1:14" ht="44.25" customHeight="1" x14ac:dyDescent="0.3">
      <c r="A31" s="697" t="str">
        <f ca="1">'Translation Table'!H25</f>
        <v>Details of applied calculations are shown on the Calculation worksheets. The sources of the applied emission factors are documented on the EF worksheets. Default equipment component counts for the range of potential types of process packages are given on the “Equipment Schedule” worksheet. All constants and conversion factors used by the tool are presented on the “Constants” worksheet.</v>
      </c>
      <c r="B31" s="698"/>
      <c r="C31" s="699"/>
      <c r="D31" s="699"/>
      <c r="E31" s="699"/>
      <c r="F31" s="699"/>
      <c r="G31" s="699"/>
      <c r="H31" s="699"/>
      <c r="I31" s="699"/>
      <c r="J31" s="699"/>
      <c r="K31" s="699"/>
      <c r="L31" s="699"/>
      <c r="M31" s="699"/>
      <c r="N31" s="700"/>
    </row>
    <row r="32" spans="1:14" ht="27" customHeight="1" x14ac:dyDescent="0.3">
      <c r="A32" s="697" t="str">
        <f ca="1">'Translation Table'!H26</f>
        <v>The Utilities worksheets provides tools for estimating volumes of gas released from blowdown and purging events and for calculating properties of specified gas streams.</v>
      </c>
      <c r="B32" s="698"/>
      <c r="C32" s="699"/>
      <c r="D32" s="699"/>
      <c r="E32" s="699"/>
      <c r="F32" s="699"/>
      <c r="G32" s="699"/>
      <c r="H32" s="699"/>
      <c r="I32" s="699"/>
      <c r="J32" s="699"/>
      <c r="K32" s="699"/>
      <c r="L32" s="699"/>
      <c r="M32" s="699"/>
      <c r="N32" s="700"/>
    </row>
    <row r="33" spans="1:14" ht="15.75" customHeight="1" x14ac:dyDescent="0.3">
      <c r="A33" s="697" t="str">
        <f ca="1">'Translation Table'!H27</f>
        <v>A lookup table for natural gas compressibility factors is presented on the Compressibility Factors Worksheet.</v>
      </c>
      <c r="B33" s="698"/>
      <c r="C33" s="699"/>
      <c r="D33" s="699"/>
      <c r="E33" s="699"/>
      <c r="F33" s="699"/>
      <c r="G33" s="699"/>
      <c r="H33" s="699"/>
      <c r="I33" s="699"/>
      <c r="J33" s="699"/>
      <c r="K33" s="699"/>
      <c r="L33" s="699"/>
      <c r="M33" s="699"/>
      <c r="N33" s="700"/>
    </row>
    <row r="34" spans="1:14" ht="18" customHeight="1" x14ac:dyDescent="0.3">
      <c r="A34" s="709" t="str">
        <f ca="1">'Translation Table'!H28</f>
        <v>The Translation Table worksheet is used by the spreadsheet program for switching between languages. The Lookup Tables worksheet defines all the menu lists.</v>
      </c>
      <c r="B34" s="710"/>
      <c r="C34" s="711"/>
      <c r="D34" s="711"/>
      <c r="E34" s="711"/>
      <c r="F34" s="711"/>
      <c r="G34" s="711"/>
      <c r="H34" s="711"/>
      <c r="I34" s="711"/>
      <c r="J34" s="711"/>
      <c r="K34" s="711"/>
      <c r="L34" s="711"/>
      <c r="M34" s="711"/>
      <c r="N34" s="712"/>
    </row>
    <row r="35" spans="1:14" ht="15.5" x14ac:dyDescent="0.3">
      <c r="A35" s="188"/>
      <c r="B35" s="188"/>
    </row>
    <row r="36" spans="1:14" ht="15.5" x14ac:dyDescent="0.3">
      <c r="A36" s="188"/>
      <c r="B36" s="188"/>
    </row>
    <row r="39" spans="1:14" ht="15" customHeight="1" x14ac:dyDescent="0.3"/>
  </sheetData>
  <sheetProtection algorithmName="SHA-512" hashValue="7RL3Jg/abgx1qdGMC5oJAiFB+0fss8OxxeY3KNNRGK0EjA76YyielLZ1LFVrWhjpNygI+4nDd/6hmerGl7FdcQ==" saltValue="vHuAAPN38OBbv6sev3CCLQ==" spinCount="100000" sheet="1" objects="1" scenarios="1"/>
  <mergeCells count="23">
    <mergeCell ref="A1:C1"/>
    <mergeCell ref="A33:N33"/>
    <mergeCell ref="A34:N34"/>
    <mergeCell ref="A17:C17"/>
    <mergeCell ref="A20:C20"/>
    <mergeCell ref="A28:C28"/>
    <mergeCell ref="A25:N25"/>
    <mergeCell ref="A26:N26"/>
    <mergeCell ref="A29:N29"/>
    <mergeCell ref="A31:N31"/>
    <mergeCell ref="A32:N32"/>
    <mergeCell ref="A18:N18"/>
    <mergeCell ref="A21:N21"/>
    <mergeCell ref="A22:N22"/>
    <mergeCell ref="A23:N23"/>
    <mergeCell ref="A5:C5"/>
    <mergeCell ref="A24:N24"/>
    <mergeCell ref="A6:N6"/>
    <mergeCell ref="A8:N8"/>
    <mergeCell ref="A10:N10"/>
    <mergeCell ref="A15:N15"/>
    <mergeCell ref="A12:N12"/>
    <mergeCell ref="A14:C14"/>
  </mergeCells>
  <hyperlinks>
    <hyperlink ref="A30" r:id="rId1" xr:uid="{00000000-0004-0000-0000-000000000000}"/>
  </hyperlinks>
  <pageMargins left="0.7" right="0.7" top="0.75" bottom="0.75" header="0.3" footer="0.3"/>
  <pageSetup orientation="portrait"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'Lookup Lists'!$B$101:$B$106</xm:f>
          </x14:formula1>
          <xm:sqref>C2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C8B5D3"/>
  </sheetPr>
  <dimension ref="A1:E82"/>
  <sheetViews>
    <sheetView showGridLines="0" workbookViewId="0">
      <selection sqref="A1:E1"/>
    </sheetView>
  </sheetViews>
  <sheetFormatPr defaultColWidth="9.1796875" defaultRowHeight="14" x14ac:dyDescent="0.3"/>
  <cols>
    <col min="1" max="1" width="10.54296875" style="256" customWidth="1"/>
    <col min="2" max="2" width="14.453125" style="256" customWidth="1"/>
    <col min="3" max="5" width="15.453125" style="256" bestFit="1" customWidth="1"/>
    <col min="6" max="16384" width="9.1796875" style="256"/>
  </cols>
  <sheetData>
    <row r="1" spans="1:5" ht="45.75" customHeight="1" x14ac:dyDescent="0.3">
      <c r="A1" s="1140" t="str">
        <f ca="1">'Translation Table'!H3023</f>
        <v>Compressibility factors for "Rich Processed Natural Gas" at various temperatures and pressures1.</v>
      </c>
      <c r="B1" s="1141"/>
      <c r="C1" s="1141"/>
      <c r="D1" s="1141"/>
      <c r="E1" s="1141"/>
    </row>
    <row r="2" spans="1:5" ht="15.5" x14ac:dyDescent="0.35">
      <c r="A2" s="234" t="str">
        <f ca="1">'Translation Table'!H3024</f>
        <v>Absolute</v>
      </c>
      <c r="B2" s="234" t="str">
        <f ca="1">'Translation Table'!H3025</f>
        <v>0 °C</v>
      </c>
      <c r="C2" s="234" t="str">
        <f ca="1">'Translation Table'!H3026</f>
        <v>5 °C</v>
      </c>
      <c r="D2" s="234" t="str">
        <f ca="1">'Translation Table'!H3027</f>
        <v>10 °C</v>
      </c>
      <c r="E2" s="234" t="str">
        <f ca="1">'Translation Table'!H3028</f>
        <v>15 °C</v>
      </c>
    </row>
    <row r="3" spans="1:5" ht="15.5" x14ac:dyDescent="0.35">
      <c r="A3" s="234" t="str">
        <f ca="1">'Translation Table'!H3029</f>
        <v>Pressure</v>
      </c>
      <c r="B3" s="234" t="str">
        <f ca="1">'Translation Table'!H3030</f>
        <v>(dimensionless)</v>
      </c>
      <c r="C3" s="234" t="str">
        <f ca="1">'Translation Table'!H3031</f>
        <v>(dimensionless)</v>
      </c>
      <c r="D3" s="234" t="str">
        <f ca="1">'Translation Table'!H3032</f>
        <v>(dimensionless)</v>
      </c>
      <c r="E3" s="234" t="str">
        <f ca="1">'Translation Table'!H3033</f>
        <v>(dimensionless)</v>
      </c>
    </row>
    <row r="4" spans="1:5" ht="15.5" x14ac:dyDescent="0.35">
      <c r="A4" s="234" t="str">
        <f ca="1">'Translation Table'!H3034</f>
        <v>kPa</v>
      </c>
      <c r="B4" s="234"/>
      <c r="C4" s="234"/>
      <c r="D4" s="234"/>
      <c r="E4" s="234"/>
    </row>
    <row r="5" spans="1:5" x14ac:dyDescent="0.3">
      <c r="A5" s="525">
        <v>100</v>
      </c>
      <c r="B5" s="526">
        <v>0.99634599999999995</v>
      </c>
      <c r="C5" s="526">
        <v>0.99654299999999996</v>
      </c>
      <c r="D5" s="526">
        <v>0.99672799999999995</v>
      </c>
      <c r="E5" s="526">
        <v>0.99690100000000004</v>
      </c>
    </row>
    <row r="6" spans="1:5" x14ac:dyDescent="0.3">
      <c r="A6" s="527">
        <v>200</v>
      </c>
      <c r="B6" s="528">
        <v>0.99269399999999997</v>
      </c>
      <c r="C6" s="528">
        <v>0.993089</v>
      </c>
      <c r="D6" s="528">
        <v>0.99345899999999998</v>
      </c>
      <c r="E6" s="528">
        <v>0.99380599999999997</v>
      </c>
    </row>
    <row r="7" spans="1:5" x14ac:dyDescent="0.3">
      <c r="A7" s="525">
        <v>300</v>
      </c>
      <c r="B7" s="526">
        <v>0.98904400000000003</v>
      </c>
      <c r="C7" s="526">
        <v>0.98963699999999999</v>
      </c>
      <c r="D7" s="526">
        <v>0.99019400000000002</v>
      </c>
      <c r="E7" s="526">
        <v>0.99071600000000004</v>
      </c>
    </row>
    <row r="8" spans="1:5" x14ac:dyDescent="0.3">
      <c r="A8" s="527">
        <v>400</v>
      </c>
      <c r="B8" s="528">
        <v>0.98539500000000002</v>
      </c>
      <c r="C8" s="528">
        <v>0.98618799999999995</v>
      </c>
      <c r="D8" s="528">
        <v>0.98693200000000003</v>
      </c>
      <c r="E8" s="528">
        <v>0.98763000000000001</v>
      </c>
    </row>
    <row r="9" spans="1:5" x14ac:dyDescent="0.3">
      <c r="A9" s="525">
        <v>500</v>
      </c>
      <c r="B9" s="526">
        <v>0.98174700000000004</v>
      </c>
      <c r="C9" s="526">
        <v>0.982742</v>
      </c>
      <c r="D9" s="526">
        <v>0.98367499999999997</v>
      </c>
      <c r="E9" s="526">
        <v>0.98454900000000001</v>
      </c>
    </row>
    <row r="10" spans="1:5" x14ac:dyDescent="0.3">
      <c r="A10" s="527">
        <v>600</v>
      </c>
      <c r="B10" s="528">
        <v>0.97810200000000003</v>
      </c>
      <c r="C10" s="528">
        <v>0.97929999999999995</v>
      </c>
      <c r="D10" s="528">
        <v>0.98042099999999999</v>
      </c>
      <c r="E10" s="528">
        <v>0.98147300000000004</v>
      </c>
    </row>
    <row r="11" spans="1:5" x14ac:dyDescent="0.3">
      <c r="A11" s="525">
        <v>700</v>
      </c>
      <c r="B11" s="526">
        <v>0.97445899999999996</v>
      </c>
      <c r="C11" s="526">
        <v>0.97585999999999995</v>
      </c>
      <c r="D11" s="526">
        <v>0.97717200000000004</v>
      </c>
      <c r="E11" s="526">
        <v>0.97840199999999999</v>
      </c>
    </row>
    <row r="12" spans="1:5" x14ac:dyDescent="0.3">
      <c r="A12" s="527">
        <v>800</v>
      </c>
      <c r="B12" s="528">
        <v>0.97081799999999996</v>
      </c>
      <c r="C12" s="528">
        <v>0.97242399999999996</v>
      </c>
      <c r="D12" s="528">
        <v>0.97392699999999999</v>
      </c>
      <c r="E12" s="528">
        <v>0.97533599999999998</v>
      </c>
    </row>
    <row r="13" spans="1:5" x14ac:dyDescent="0.3">
      <c r="A13" s="525">
        <v>900</v>
      </c>
      <c r="B13" s="526">
        <v>0.96717900000000001</v>
      </c>
      <c r="C13" s="526">
        <v>0.96899100000000005</v>
      </c>
      <c r="D13" s="526">
        <v>0.97068699999999997</v>
      </c>
      <c r="E13" s="526">
        <v>0.972275</v>
      </c>
    </row>
    <row r="14" spans="1:5" x14ac:dyDescent="0.3">
      <c r="A14" s="527" t="s">
        <v>399</v>
      </c>
      <c r="B14" s="528">
        <v>0.96354300000000004</v>
      </c>
      <c r="C14" s="528">
        <v>0.96556200000000003</v>
      </c>
      <c r="D14" s="528">
        <v>0.96745099999999995</v>
      </c>
      <c r="E14" s="528">
        <v>0.96921999999999997</v>
      </c>
    </row>
    <row r="15" spans="1:5" x14ac:dyDescent="0.3">
      <c r="A15" s="525" t="s">
        <v>400</v>
      </c>
      <c r="B15" s="526">
        <v>0.92735599999999996</v>
      </c>
      <c r="C15" s="526">
        <v>0.93151200000000001</v>
      </c>
      <c r="D15" s="526">
        <v>0.93538600000000005</v>
      </c>
      <c r="E15" s="526">
        <v>0.93900099999999997</v>
      </c>
    </row>
    <row r="16" spans="1:5" x14ac:dyDescent="0.3">
      <c r="A16" s="527" t="s">
        <v>401</v>
      </c>
      <c r="B16" s="528">
        <v>0.891629</v>
      </c>
      <c r="C16" s="528">
        <v>0.89803900000000003</v>
      </c>
      <c r="D16" s="528">
        <v>0.90398500000000004</v>
      </c>
      <c r="E16" s="528">
        <v>0.90951400000000004</v>
      </c>
    </row>
    <row r="17" spans="1:5" x14ac:dyDescent="0.3">
      <c r="A17" s="525" t="s">
        <v>402</v>
      </c>
      <c r="B17" s="526">
        <v>0.85662700000000003</v>
      </c>
      <c r="C17" s="526">
        <v>0.86538899999999996</v>
      </c>
      <c r="D17" s="526">
        <v>0.87348099999999995</v>
      </c>
      <c r="E17" s="526">
        <v>0.88097199999999998</v>
      </c>
    </row>
    <row r="18" spans="1:5" x14ac:dyDescent="0.3">
      <c r="A18" s="527" t="s">
        <v>403</v>
      </c>
      <c r="B18" s="528">
        <v>0.82270699999999997</v>
      </c>
      <c r="C18" s="528">
        <v>0.83388600000000002</v>
      </c>
      <c r="D18" s="528">
        <v>0.84416000000000002</v>
      </c>
      <c r="E18" s="528">
        <v>0.853634</v>
      </c>
    </row>
    <row r="19" spans="1:5" x14ac:dyDescent="0.3">
      <c r="A19" s="525" t="s">
        <v>404</v>
      </c>
      <c r="B19" s="526">
        <v>0.79033699999999996</v>
      </c>
      <c r="C19" s="526">
        <v>0.80393199999999998</v>
      </c>
      <c r="D19" s="526">
        <v>0.81637099999999996</v>
      </c>
      <c r="E19" s="526">
        <v>0.82779800000000003</v>
      </c>
    </row>
    <row r="20" spans="1:5" x14ac:dyDescent="0.3">
      <c r="A20" s="527" t="s">
        <v>405</v>
      </c>
      <c r="B20" s="528">
        <v>0.76010299999999997</v>
      </c>
      <c r="C20" s="528">
        <v>0.77600999999999998</v>
      </c>
      <c r="D20" s="528">
        <v>0.790516</v>
      </c>
      <c r="E20" s="528">
        <v>0.80380099999999999</v>
      </c>
    </row>
    <row r="21" spans="1:5" x14ac:dyDescent="0.3">
      <c r="A21" s="525" t="s">
        <v>406</v>
      </c>
      <c r="B21" s="526">
        <v>0.73267700000000002</v>
      </c>
      <c r="C21" s="526">
        <v>0.75065800000000005</v>
      </c>
      <c r="D21" s="526">
        <v>0.76702700000000001</v>
      </c>
      <c r="E21" s="526">
        <v>0.78199399999999997</v>
      </c>
    </row>
    <row r="22" spans="1:5" x14ac:dyDescent="0.3">
      <c r="A22" s="527" t="s">
        <v>407</v>
      </c>
      <c r="B22" s="528">
        <v>0.70875200000000005</v>
      </c>
      <c r="C22" s="528">
        <v>0.72841199999999995</v>
      </c>
      <c r="D22" s="528">
        <v>0.74632699999999996</v>
      </c>
      <c r="E22" s="528">
        <v>0.76271699999999998</v>
      </c>
    </row>
    <row r="23" spans="1:5" x14ac:dyDescent="0.3">
      <c r="A23" s="525" t="s">
        <v>408</v>
      </c>
      <c r="B23" s="526">
        <v>0.688913</v>
      </c>
      <c r="C23" s="526">
        <v>0.70972900000000005</v>
      </c>
      <c r="D23" s="526">
        <v>0.72877599999999998</v>
      </c>
      <c r="E23" s="526">
        <v>0.746251</v>
      </c>
    </row>
    <row r="24" spans="1:5" x14ac:dyDescent="0.3">
      <c r="A24" s="527" t="s">
        <v>409</v>
      </c>
      <c r="B24" s="528">
        <v>0.673516</v>
      </c>
      <c r="C24" s="528">
        <v>0.69489999999999996</v>
      </c>
      <c r="D24" s="528">
        <v>0.71460800000000002</v>
      </c>
      <c r="E24" s="528">
        <v>0.73278799999999999</v>
      </c>
    </row>
    <row r="25" spans="1:5" x14ac:dyDescent="0.3">
      <c r="A25" s="525" t="s">
        <v>410</v>
      </c>
      <c r="B25" s="526">
        <v>0.66260600000000003</v>
      </c>
      <c r="C25" s="526">
        <v>0.68399500000000002</v>
      </c>
      <c r="D25" s="526">
        <v>0.70389699999999999</v>
      </c>
      <c r="E25" s="526">
        <v>0.72239500000000001</v>
      </c>
    </row>
    <row r="26" spans="1:5" ht="77.25" customHeight="1" x14ac:dyDescent="0.3">
      <c r="A26" s="529">
        <v>1</v>
      </c>
      <c r="B26" s="939" t="str">
        <f ca="1">'Translation Table'!H3035</f>
        <v>Values calculated using the Peng and Robinson equation of state (1976) for the following gas mixture (mol percent): 88.41% C1, 7.45% C2, 1.91% C3, 0.17% iC4, 0.24% nC4, 0.06% iC5, 0.04% nC5, 0.10% nC6+, 0.72% N2 and 0.90% CO2.</v>
      </c>
      <c r="C26" s="939"/>
      <c r="D26" s="939"/>
      <c r="E26" s="939"/>
    </row>
    <row r="28" spans="1:5" ht="45.75" customHeight="1" x14ac:dyDescent="0.3">
      <c r="A28" s="1140" t="str">
        <f ca="1">'Translation Table'!H3036</f>
        <v>Compressibility factors for "Typical Processed Natural Gas Mixture 1" at various temperatures and pressures1.</v>
      </c>
      <c r="B28" s="1140"/>
      <c r="C28" s="1140"/>
      <c r="D28" s="1140"/>
      <c r="E28" s="1140"/>
    </row>
    <row r="29" spans="1:5" ht="15.5" x14ac:dyDescent="0.35">
      <c r="A29" s="234" t="str">
        <f ca="1">'Translation Table'!H3037</f>
        <v>Absolute</v>
      </c>
      <c r="B29" s="234" t="str">
        <f ca="1">'Translation Table'!H3038</f>
        <v>0 °C</v>
      </c>
      <c r="C29" s="234" t="str">
        <f ca="1">'Translation Table'!H3039</f>
        <v>5 °C</v>
      </c>
      <c r="D29" s="234" t="str">
        <f ca="1">'Translation Table'!H3040</f>
        <v>10 °C</v>
      </c>
      <c r="E29" s="234" t="str">
        <f ca="1">'Translation Table'!H3041</f>
        <v>15 °C</v>
      </c>
    </row>
    <row r="30" spans="1:5" ht="15.5" x14ac:dyDescent="0.35">
      <c r="A30" s="234" t="str">
        <f ca="1">'Translation Table'!H3042</f>
        <v>Pressure</v>
      </c>
      <c r="B30" s="234" t="str">
        <f ca="1">'Translation Table'!H3043</f>
        <v>(dimensionless)</v>
      </c>
      <c r="C30" s="234" t="str">
        <f ca="1">'Translation Table'!H3044</f>
        <v>(dimensionless)</v>
      </c>
      <c r="D30" s="234" t="str">
        <f ca="1">'Translation Table'!H3045</f>
        <v>(dimensionless)</v>
      </c>
      <c r="E30" s="234" t="str">
        <f ca="1">'Translation Table'!H3046</f>
        <v>(dimensionless)</v>
      </c>
    </row>
    <row r="31" spans="1:5" ht="15.5" x14ac:dyDescent="0.35">
      <c r="A31" s="234" t="str">
        <f ca="1">'Translation Table'!H3047</f>
        <v>kPa</v>
      </c>
      <c r="B31" s="234"/>
      <c r="C31" s="234"/>
      <c r="D31" s="234"/>
      <c r="E31" s="234"/>
    </row>
    <row r="32" spans="1:5" x14ac:dyDescent="0.3">
      <c r="A32" s="525">
        <v>100</v>
      </c>
      <c r="B32" s="526">
        <v>0.99666299999999997</v>
      </c>
      <c r="C32" s="526">
        <v>0.99684499999999998</v>
      </c>
      <c r="D32" s="526">
        <v>0.99701499999999998</v>
      </c>
      <c r="E32" s="526">
        <v>0.99717599999999995</v>
      </c>
    </row>
    <row r="33" spans="1:5" x14ac:dyDescent="0.3">
      <c r="A33" s="527">
        <v>200</v>
      </c>
      <c r="B33" s="528">
        <v>0.99333000000000005</v>
      </c>
      <c r="C33" s="528">
        <v>0.99369399999999997</v>
      </c>
      <c r="D33" s="528">
        <v>0.99403600000000003</v>
      </c>
      <c r="E33" s="528">
        <v>0.99435700000000005</v>
      </c>
    </row>
    <row r="34" spans="1:5" x14ac:dyDescent="0.3">
      <c r="A34" s="525">
        <v>300</v>
      </c>
      <c r="B34" s="526">
        <v>0.99</v>
      </c>
      <c r="C34" s="526">
        <v>0.99054699999999996</v>
      </c>
      <c r="D34" s="526">
        <v>0.99106099999999997</v>
      </c>
      <c r="E34" s="526">
        <v>0.99154299999999995</v>
      </c>
    </row>
    <row r="35" spans="1:5" x14ac:dyDescent="0.3">
      <c r="A35" s="527">
        <v>400</v>
      </c>
      <c r="B35" s="528">
        <v>0.98667300000000002</v>
      </c>
      <c r="C35" s="528">
        <v>0.98740499999999998</v>
      </c>
      <c r="D35" s="528">
        <v>0.98809100000000005</v>
      </c>
      <c r="E35" s="528">
        <v>0.98873500000000003</v>
      </c>
    </row>
    <row r="36" spans="1:5" x14ac:dyDescent="0.3">
      <c r="A36" s="525">
        <v>500</v>
      </c>
      <c r="B36" s="526">
        <v>0.98334999999999995</v>
      </c>
      <c r="C36" s="526">
        <v>0.98426800000000003</v>
      </c>
      <c r="D36" s="526">
        <v>0.98512699999999997</v>
      </c>
      <c r="E36" s="526">
        <v>0.98593299999999995</v>
      </c>
    </row>
    <row r="37" spans="1:5" x14ac:dyDescent="0.3">
      <c r="A37" s="527">
        <v>600</v>
      </c>
      <c r="B37" s="528">
        <v>0.98003099999999999</v>
      </c>
      <c r="C37" s="528">
        <v>0.98113499999999998</v>
      </c>
      <c r="D37" s="528">
        <v>0.98216800000000004</v>
      </c>
      <c r="E37" s="528">
        <v>0.98313700000000004</v>
      </c>
    </row>
    <row r="38" spans="1:5" x14ac:dyDescent="0.3">
      <c r="A38" s="525">
        <v>700</v>
      </c>
      <c r="B38" s="526">
        <v>0.97671600000000003</v>
      </c>
      <c r="C38" s="526">
        <v>0.97800600000000004</v>
      </c>
      <c r="D38" s="526">
        <v>0.97921499999999995</v>
      </c>
      <c r="E38" s="526">
        <v>0.98034699999999997</v>
      </c>
    </row>
    <row r="39" spans="1:5" x14ac:dyDescent="0.3">
      <c r="A39" s="527">
        <v>800</v>
      </c>
      <c r="B39" s="528">
        <v>0.97340499999999996</v>
      </c>
      <c r="C39" s="528">
        <v>0.97488300000000006</v>
      </c>
      <c r="D39" s="528">
        <v>0.976267</v>
      </c>
      <c r="E39" s="528">
        <v>0.97756399999999999</v>
      </c>
    </row>
    <row r="40" spans="1:5" x14ac:dyDescent="0.3">
      <c r="A40" s="525">
        <v>900</v>
      </c>
      <c r="B40" s="526">
        <v>0.97009900000000004</v>
      </c>
      <c r="C40" s="526">
        <v>0.97176499999999999</v>
      </c>
      <c r="D40" s="526">
        <v>0.973325</v>
      </c>
      <c r="E40" s="526">
        <v>0.97478600000000004</v>
      </c>
    </row>
    <row r="41" spans="1:5" x14ac:dyDescent="0.3">
      <c r="A41" s="527" t="s">
        <v>399</v>
      </c>
      <c r="B41" s="528">
        <v>0.96679700000000002</v>
      </c>
      <c r="C41" s="528">
        <v>0.96865199999999996</v>
      </c>
      <c r="D41" s="528">
        <v>0.97038899999999995</v>
      </c>
      <c r="E41" s="528">
        <v>0.97201499999999996</v>
      </c>
    </row>
    <row r="42" spans="1:5" x14ac:dyDescent="0.3">
      <c r="A42" s="525" t="s">
        <v>400</v>
      </c>
      <c r="B42" s="526">
        <v>0.93405400000000005</v>
      </c>
      <c r="C42" s="526">
        <v>0.93784999999999996</v>
      </c>
      <c r="D42" s="526">
        <v>0.94138900000000003</v>
      </c>
      <c r="E42" s="526">
        <v>0.944693</v>
      </c>
    </row>
    <row r="43" spans="1:5" x14ac:dyDescent="0.3">
      <c r="A43" s="527" t="s">
        <v>401</v>
      </c>
      <c r="B43" s="528">
        <v>0.90195800000000004</v>
      </c>
      <c r="C43" s="528">
        <v>0.90776900000000005</v>
      </c>
      <c r="D43" s="528">
        <v>0.91316699999999995</v>
      </c>
      <c r="E43" s="528">
        <v>0.91819099999999998</v>
      </c>
    </row>
    <row r="44" spans="1:5" x14ac:dyDescent="0.3">
      <c r="A44" s="525" t="s">
        <v>402</v>
      </c>
      <c r="B44" s="526">
        <v>0.87074799999999997</v>
      </c>
      <c r="C44" s="526">
        <v>0.87863000000000002</v>
      </c>
      <c r="D44" s="526">
        <v>0.88592400000000004</v>
      </c>
      <c r="E44" s="526">
        <v>0.89268899999999995</v>
      </c>
    </row>
    <row r="45" spans="1:5" x14ac:dyDescent="0.3">
      <c r="A45" s="527" t="s">
        <v>403</v>
      </c>
      <c r="B45" s="528">
        <v>0.84072400000000003</v>
      </c>
      <c r="C45" s="528">
        <v>0.85070100000000004</v>
      </c>
      <c r="D45" s="528">
        <v>0.85989899999999997</v>
      </c>
      <c r="E45" s="528">
        <v>0.86840099999999998</v>
      </c>
    </row>
    <row r="46" spans="1:5" x14ac:dyDescent="0.3">
      <c r="A46" s="525" t="s">
        <v>404</v>
      </c>
      <c r="B46" s="526">
        <v>0.81225599999999998</v>
      </c>
      <c r="C46" s="526">
        <v>0.824299</v>
      </c>
      <c r="D46" s="526">
        <v>0.83536299999999997</v>
      </c>
      <c r="E46" s="526">
        <v>0.84555800000000003</v>
      </c>
    </row>
    <row r="47" spans="1:5" x14ac:dyDescent="0.3">
      <c r="A47" s="527" t="s">
        <v>405</v>
      </c>
      <c r="B47" s="528">
        <v>0.78577200000000003</v>
      </c>
      <c r="C47" s="528">
        <v>0.79978000000000005</v>
      </c>
      <c r="D47" s="528">
        <v>0.81261300000000003</v>
      </c>
      <c r="E47" s="528">
        <v>0.82441200000000003</v>
      </c>
    </row>
    <row r="48" spans="1:5" x14ac:dyDescent="0.3">
      <c r="A48" s="525" t="s">
        <v>406</v>
      </c>
      <c r="B48" s="526">
        <v>0.761737</v>
      </c>
      <c r="C48" s="526">
        <v>0.77519000000000005</v>
      </c>
      <c r="D48" s="526">
        <v>0.79195700000000002</v>
      </c>
      <c r="E48" s="526">
        <v>0.80521299999999996</v>
      </c>
    </row>
    <row r="49" spans="1:5" x14ac:dyDescent="0.3">
      <c r="A49" s="527" t="s">
        <v>407</v>
      </c>
      <c r="B49" s="528">
        <v>0.74060899999999996</v>
      </c>
      <c r="C49" s="528">
        <v>0.75787800000000005</v>
      </c>
      <c r="D49" s="528">
        <v>0.77368099999999995</v>
      </c>
      <c r="E49" s="528">
        <v>0.78819300000000003</v>
      </c>
    </row>
    <row r="50" spans="1:5" x14ac:dyDescent="0.3">
      <c r="A50" s="525" t="s">
        <v>408</v>
      </c>
      <c r="B50" s="526">
        <v>0.72277400000000003</v>
      </c>
      <c r="C50" s="526">
        <v>0.74116000000000004</v>
      </c>
      <c r="D50" s="526">
        <v>0.75802700000000001</v>
      </c>
      <c r="E50" s="526">
        <v>0.77354400000000001</v>
      </c>
    </row>
    <row r="51" spans="1:5" x14ac:dyDescent="0.3">
      <c r="A51" s="527" t="s">
        <v>409</v>
      </c>
      <c r="B51" s="528">
        <v>0.70848</v>
      </c>
      <c r="C51" s="528">
        <v>0.72756399999999999</v>
      </c>
      <c r="D51" s="528">
        <v>0.74515299999999995</v>
      </c>
      <c r="E51" s="528">
        <v>0.76139199999999996</v>
      </c>
    </row>
    <row r="52" spans="1:5" x14ac:dyDescent="0.3">
      <c r="A52" s="525" t="s">
        <v>410</v>
      </c>
      <c r="B52" s="526">
        <v>0.69779400000000003</v>
      </c>
      <c r="C52" s="526">
        <v>0.71715600000000002</v>
      </c>
      <c r="D52" s="526">
        <v>0.73511800000000005</v>
      </c>
      <c r="E52" s="526">
        <v>0.75178699999999998</v>
      </c>
    </row>
    <row r="53" spans="1:5" ht="79.5" customHeight="1" x14ac:dyDescent="0.3">
      <c r="A53" s="529">
        <v>1</v>
      </c>
      <c r="B53" s="939" t="str">
        <f ca="1">'Translation Table'!H3048</f>
        <v>Values calculated using the Peng and Robinson equation of state (1976) for the following gas mixture (mol percent): 92.8693% C1, 4.0556% C2, 1.1112% C3, 0.1601% iC4, 0.2180% nC4, 0.0496% iC5, 0.0389% nC5, 0.0225% nC6+, 0.8291% N2 and 0.6334% CO2.</v>
      </c>
      <c r="C53" s="939"/>
      <c r="D53" s="939"/>
      <c r="E53" s="939"/>
    </row>
    <row r="57" spans="1:5" ht="45.4" customHeight="1" x14ac:dyDescent="0.3">
      <c r="A57" s="1140" t="str">
        <f ca="1">'Translation Table'!H3049</f>
        <v>Compressibility factors for "Typical Processed Natural Gas Mixture 2" at various temperatures and pressures1.</v>
      </c>
      <c r="B57" s="1140"/>
      <c r="C57" s="1140"/>
      <c r="D57" s="1140"/>
      <c r="E57" s="1140"/>
    </row>
    <row r="58" spans="1:5" ht="15.5" x14ac:dyDescent="0.35">
      <c r="A58" s="234" t="str">
        <f ca="1">'Translation Table'!H3050</f>
        <v>Absolute</v>
      </c>
      <c r="B58" s="234" t="str">
        <f ca="1">'Translation Table'!H3051</f>
        <v>0 °C</v>
      </c>
      <c r="C58" s="234" t="str">
        <f ca="1">'Translation Table'!H3052</f>
        <v>5 °C</v>
      </c>
      <c r="D58" s="234" t="str">
        <f ca="1">'Translation Table'!H3053</f>
        <v>10 °C</v>
      </c>
      <c r="E58" s="234" t="str">
        <f ca="1">'Translation Table'!H3054</f>
        <v>15 °C</v>
      </c>
    </row>
    <row r="59" spans="1:5" ht="15.5" x14ac:dyDescent="0.35">
      <c r="A59" s="234" t="str">
        <f ca="1">'Translation Table'!H3055</f>
        <v>Pressure</v>
      </c>
      <c r="B59" s="234" t="str">
        <f ca="1">'Translation Table'!H3056</f>
        <v>(dimensionless)</v>
      </c>
      <c r="C59" s="234" t="str">
        <f ca="1">'Translation Table'!H3057</f>
        <v>(dimensionless)</v>
      </c>
      <c r="D59" s="234" t="str">
        <f ca="1">'Translation Table'!H3058</f>
        <v>(dimensionless)</v>
      </c>
      <c r="E59" s="234" t="str">
        <f ca="1">'Translation Table'!H3059</f>
        <v>(dimensionless)</v>
      </c>
    </row>
    <row r="60" spans="1:5" ht="15.5" x14ac:dyDescent="0.35">
      <c r="A60" s="234" t="str">
        <f ca="1">'Translation Table'!H3060</f>
        <v>kPa</v>
      </c>
      <c r="B60" s="234"/>
      <c r="C60" s="234"/>
      <c r="D60" s="234"/>
      <c r="E60" s="234"/>
    </row>
    <row r="61" spans="1:5" x14ac:dyDescent="0.3">
      <c r="A61" s="525">
        <v>100</v>
      </c>
      <c r="B61" s="530">
        <v>0.99695599999999995</v>
      </c>
      <c r="C61" s="530">
        <v>0.99712400000000001</v>
      </c>
      <c r="D61" s="530">
        <v>0.997282</v>
      </c>
      <c r="E61" s="530">
        <v>0.99743000000000004</v>
      </c>
    </row>
    <row r="62" spans="1:5" x14ac:dyDescent="0.3">
      <c r="A62" s="527">
        <v>200</v>
      </c>
      <c r="B62" s="531">
        <v>0.99391700000000005</v>
      </c>
      <c r="C62" s="531">
        <v>0.99425399999999997</v>
      </c>
      <c r="D62" s="531">
        <v>0.99456900000000004</v>
      </c>
      <c r="E62" s="531">
        <v>0.994865</v>
      </c>
    </row>
    <row r="63" spans="1:5" x14ac:dyDescent="0.3">
      <c r="A63" s="525">
        <v>300</v>
      </c>
      <c r="B63" s="530">
        <v>0.99088299999999996</v>
      </c>
      <c r="C63" s="530">
        <v>0.99138800000000005</v>
      </c>
      <c r="D63" s="530">
        <v>0.99186200000000002</v>
      </c>
      <c r="E63" s="530">
        <v>0.99230700000000005</v>
      </c>
    </row>
    <row r="64" spans="1:5" x14ac:dyDescent="0.3">
      <c r="A64" s="527">
        <v>400</v>
      </c>
      <c r="B64" s="531">
        <v>0.98785299999999998</v>
      </c>
      <c r="C64" s="531">
        <v>0.98852899999999999</v>
      </c>
      <c r="D64" s="531">
        <v>0.98916199999999999</v>
      </c>
      <c r="E64" s="531">
        <v>0.98975599999999997</v>
      </c>
    </row>
    <row r="65" spans="1:5" x14ac:dyDescent="0.3">
      <c r="A65" s="525">
        <v>500</v>
      </c>
      <c r="B65" s="530">
        <v>0.98482899999999995</v>
      </c>
      <c r="C65" s="530">
        <v>0.98567499999999997</v>
      </c>
      <c r="D65" s="530">
        <v>0.98646699999999998</v>
      </c>
      <c r="E65" s="530">
        <v>0.98721099999999995</v>
      </c>
    </row>
    <row r="66" spans="1:5" x14ac:dyDescent="0.3">
      <c r="A66" s="527">
        <v>600</v>
      </c>
      <c r="B66" s="531">
        <v>0.98180999999999996</v>
      </c>
      <c r="C66" s="531">
        <v>0.98282700000000001</v>
      </c>
      <c r="D66" s="531">
        <v>0.98377899999999996</v>
      </c>
      <c r="E66" s="531">
        <v>0.98467199999999999</v>
      </c>
    </row>
    <row r="67" spans="1:5" x14ac:dyDescent="0.3">
      <c r="A67" s="525">
        <v>700</v>
      </c>
      <c r="B67" s="530">
        <v>0.978796</v>
      </c>
      <c r="C67" s="530">
        <v>0.97998399999999997</v>
      </c>
      <c r="D67" s="530">
        <v>0.981097</v>
      </c>
      <c r="E67" s="530">
        <v>0.98214100000000004</v>
      </c>
    </row>
    <row r="68" spans="1:5" x14ac:dyDescent="0.3">
      <c r="A68" s="527">
        <v>800</v>
      </c>
      <c r="B68" s="531">
        <v>0.97578799999999999</v>
      </c>
      <c r="C68" s="531">
        <v>0.97714800000000002</v>
      </c>
      <c r="D68" s="531">
        <v>0.97842200000000001</v>
      </c>
      <c r="E68" s="531">
        <v>0.97961600000000004</v>
      </c>
    </row>
    <row r="69" spans="1:5" x14ac:dyDescent="0.3">
      <c r="A69" s="525">
        <v>900</v>
      </c>
      <c r="B69" s="530">
        <v>0.97278500000000001</v>
      </c>
      <c r="C69" s="530">
        <v>0.97431800000000002</v>
      </c>
      <c r="D69" s="530">
        <v>0.97575400000000001</v>
      </c>
      <c r="E69" s="530">
        <v>0.97709800000000002</v>
      </c>
    </row>
    <row r="70" spans="1:5" x14ac:dyDescent="0.3">
      <c r="A70" s="527" t="s">
        <v>399</v>
      </c>
      <c r="B70" s="531">
        <v>0.96978799999999998</v>
      </c>
      <c r="C70" s="531">
        <v>0.971495</v>
      </c>
      <c r="D70" s="531">
        <v>0.97309199999999996</v>
      </c>
      <c r="E70" s="531">
        <v>0.97458800000000001</v>
      </c>
    </row>
    <row r="71" spans="1:5" x14ac:dyDescent="0.3">
      <c r="A71" s="525" t="s">
        <v>400</v>
      </c>
      <c r="B71" s="530">
        <v>0.94016999999999995</v>
      </c>
      <c r="C71" s="530">
        <v>0.94364099999999995</v>
      </c>
      <c r="D71" s="530">
        <v>0.94687900000000003</v>
      </c>
      <c r="E71" s="530">
        <v>0.94990399999999997</v>
      </c>
    </row>
    <row r="72" spans="1:5" x14ac:dyDescent="0.3">
      <c r="A72" s="527" t="s">
        <v>401</v>
      </c>
      <c r="B72" s="531">
        <v>0.91131700000000004</v>
      </c>
      <c r="C72" s="531">
        <v>0.91659800000000002</v>
      </c>
      <c r="D72" s="531">
        <v>0.92150900000000002</v>
      </c>
      <c r="E72" s="531">
        <v>0.92608400000000002</v>
      </c>
    </row>
    <row r="73" spans="1:5" x14ac:dyDescent="0.3">
      <c r="A73" s="525" t="s">
        <v>402</v>
      </c>
      <c r="B73" s="530">
        <v>0.88343700000000003</v>
      </c>
      <c r="C73" s="530">
        <v>0.89055600000000001</v>
      </c>
      <c r="D73" s="530">
        <v>0.89715400000000001</v>
      </c>
      <c r="E73" s="530">
        <v>0.90328299999999995</v>
      </c>
    </row>
    <row r="74" spans="1:5" x14ac:dyDescent="0.3">
      <c r="A74" s="527" t="s">
        <v>403</v>
      </c>
      <c r="B74" s="531">
        <v>0.85677999999999999</v>
      </c>
      <c r="C74" s="531">
        <v>0.865734</v>
      </c>
      <c r="D74" s="531">
        <v>0.87400699999999998</v>
      </c>
      <c r="E74" s="531">
        <v>0.88166999999999995</v>
      </c>
    </row>
    <row r="75" spans="1:5" x14ac:dyDescent="0.3">
      <c r="A75" s="525" t="s">
        <v>404</v>
      </c>
      <c r="B75" s="530">
        <v>0.83163200000000004</v>
      </c>
      <c r="C75" s="530">
        <v>0.84237799999999996</v>
      </c>
      <c r="D75" s="530">
        <v>0.85227900000000001</v>
      </c>
      <c r="E75" s="530">
        <v>0.86142700000000005</v>
      </c>
    </row>
    <row r="76" spans="1:5" x14ac:dyDescent="0.3">
      <c r="A76" s="527" t="s">
        <v>405</v>
      </c>
      <c r="B76" s="531">
        <v>0.808311</v>
      </c>
      <c r="C76" s="531">
        <v>0.82075299999999995</v>
      </c>
      <c r="D76" s="531">
        <v>0.83219200000000004</v>
      </c>
      <c r="E76" s="531">
        <v>0.84274000000000004</v>
      </c>
    </row>
    <row r="77" spans="1:5" x14ac:dyDescent="0.3">
      <c r="A77" s="525" t="s">
        <v>406</v>
      </c>
      <c r="B77" s="530">
        <v>0.78714499999999998</v>
      </c>
      <c r="C77" s="530">
        <v>0.80112700000000003</v>
      </c>
      <c r="D77" s="530">
        <v>0.81396500000000005</v>
      </c>
      <c r="E77" s="530">
        <v>0.825789</v>
      </c>
    </row>
    <row r="78" spans="1:5" x14ac:dyDescent="0.3">
      <c r="A78" s="527" t="s">
        <v>407</v>
      </c>
      <c r="B78" s="531">
        <v>0.76844599999999996</v>
      </c>
      <c r="C78" s="531">
        <v>0.78374699999999997</v>
      </c>
      <c r="D78" s="531">
        <v>0.79779699999999998</v>
      </c>
      <c r="E78" s="531">
        <v>0.81073700000000004</v>
      </c>
    </row>
    <row r="79" spans="1:5" x14ac:dyDescent="0.3">
      <c r="A79" s="525" t="s">
        <v>408</v>
      </c>
      <c r="B79" s="530">
        <v>0.75247200000000003</v>
      </c>
      <c r="C79" s="530">
        <v>0.768818</v>
      </c>
      <c r="D79" s="530">
        <v>0.78385000000000005</v>
      </c>
      <c r="E79" s="530">
        <v>0.79771199999999998</v>
      </c>
    </row>
    <row r="80" spans="1:5" x14ac:dyDescent="0.3">
      <c r="A80" s="527" t="s">
        <v>409</v>
      </c>
      <c r="B80" s="531">
        <v>0.73939299999999997</v>
      </c>
      <c r="C80" s="531">
        <v>0.75647500000000001</v>
      </c>
      <c r="D80" s="531">
        <v>0.77223299999999995</v>
      </c>
      <c r="E80" s="531">
        <v>0.78679900000000003</v>
      </c>
    </row>
    <row r="81" spans="1:5" x14ac:dyDescent="0.3">
      <c r="A81" s="525" t="s">
        <v>410</v>
      </c>
      <c r="B81" s="530">
        <v>0.72926999999999997</v>
      </c>
      <c r="C81" s="530">
        <v>0.74676900000000002</v>
      </c>
      <c r="D81" s="530">
        <v>0.76298699999999997</v>
      </c>
      <c r="E81" s="530">
        <v>0.77803199999999995</v>
      </c>
    </row>
    <row r="82" spans="1:5" ht="78.75" customHeight="1" x14ac:dyDescent="0.3">
      <c r="A82" s="257">
        <v>1</v>
      </c>
      <c r="B82" s="939" t="str">
        <f ca="1">'Translation Table'!H3061</f>
        <v>Values calculated using the Peng and Robinson equation of state (1976) for the following gas mixture (mol percent): 95.213% C1, 2.4306% C2, 0.1374% C3, 0.0043% iC4, 0.0043% nC4, 0.0013% iC5, 0.0010% nC5, 0.0012% nC6+, 1.6519% N2 and 0.5552% CO2.</v>
      </c>
      <c r="C82" s="939"/>
      <c r="D82" s="939"/>
      <c r="E82" s="939"/>
    </row>
  </sheetData>
  <sheetProtection algorithmName="SHA-512" hashValue="CPZ4/o+8WCtaEzXCcsYoPoUZlatVMaRlR4krOAObL5ZjEI2nMzNKHWYzvTe2WjG7GHsFzs9xCOL6yP1RbI//zw==" saltValue="Qp9pa4zj2INtMs5s7XGO6A==" spinCount="100000" sheet="1" objects="1" scenarios="1"/>
  <mergeCells count="6">
    <mergeCell ref="B82:E82"/>
    <mergeCell ref="B53:E53"/>
    <mergeCell ref="B26:E26"/>
    <mergeCell ref="A28:E28"/>
    <mergeCell ref="A1:E1"/>
    <mergeCell ref="A57:E57"/>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2" tint="-0.249977111117893"/>
  </sheetPr>
  <dimension ref="A1:AJ3194"/>
  <sheetViews>
    <sheetView workbookViewId="0"/>
  </sheetViews>
  <sheetFormatPr defaultColWidth="9.1796875" defaultRowHeight="14.5" x14ac:dyDescent="0.35"/>
  <cols>
    <col min="1" max="1" width="23" bestFit="1" customWidth="1"/>
    <col min="2" max="2" width="16.81640625" style="254" bestFit="1" customWidth="1"/>
    <col min="3" max="3" width="36.81640625" customWidth="1"/>
    <col min="4" max="4" width="17.453125" style="15" bestFit="1" customWidth="1"/>
    <col min="7" max="7" width="15.453125" bestFit="1" customWidth="1"/>
    <col min="8" max="8" width="42.453125" customWidth="1"/>
    <col min="9" max="9" width="48.81640625" customWidth="1"/>
    <col min="10" max="10" width="31.1796875" customWidth="1"/>
    <col min="11" max="11" width="49.81640625" customWidth="1"/>
    <col min="12" max="12" width="15.81640625" customWidth="1"/>
    <col min="13" max="13" width="13" customWidth="1"/>
    <col min="14" max="14" width="14.1796875" customWidth="1"/>
    <col min="15" max="15" width="25.81640625" customWidth="1"/>
  </cols>
  <sheetData>
    <row r="1" spans="1:15" x14ac:dyDescent="0.35">
      <c r="A1" t="str">
        <f ca="1">H3183</f>
        <v>Language</v>
      </c>
      <c r="B1" s="254" t="str">
        <f>'Setup - Facility Details'!J1</f>
        <v>English</v>
      </c>
      <c r="C1" t="str">
        <f ca="1">CHAR(64+D1)</f>
        <v>I</v>
      </c>
      <c r="D1" s="15" cm="1">
        <f t="array" aca="1" ref="D1" ca="1">MIN(IF(I3192:INDIRECT("Z" &amp;3500)=B1,COLUMN(INDIRECT("I:Z"))))</f>
        <v>9</v>
      </c>
      <c r="H1" cm="1">
        <f t="array" aca="1" ref="H1" ca="1">MATCH(ColName&amp;"1", ADDRESS(1,COLUMN($1:$1), 4), 0)-8</f>
        <v>1</v>
      </c>
    </row>
    <row r="3" spans="1:15" x14ac:dyDescent="0.35">
      <c r="A3" s="7" t="str">
        <f ca="1">H3184</f>
        <v>Worksheet</v>
      </c>
      <c r="B3" s="7" t="str">
        <f ca="1">H3185</f>
        <v>Worksheet No.</v>
      </c>
      <c r="C3" s="7" t="str">
        <f ca="1">H3186</f>
        <v>Table/Block</v>
      </c>
      <c r="D3" s="34" t="str">
        <f ca="1">H3187</f>
        <v>Table/Block No.</v>
      </c>
      <c r="E3" s="7" t="str">
        <f ca="1">H3188</f>
        <v>Row</v>
      </c>
      <c r="F3" s="7" t="str">
        <f ca="1">H3189</f>
        <v>Column</v>
      </c>
      <c r="G3" s="7" t="str">
        <f ca="1">H3190</f>
        <v>Type</v>
      </c>
      <c r="H3" s="7" t="str">
        <f ca="1">H3191</f>
        <v>Active</v>
      </c>
      <c r="I3" s="7" t="str">
        <f ca="1">H3192</f>
        <v>English</v>
      </c>
      <c r="J3" s="7" t="str">
        <f ca="1">H3193</f>
        <v>Chinese</v>
      </c>
      <c r="K3" s="7" t="str">
        <f ca="1">H3194</f>
        <v>Spanish (Colombia)</v>
      </c>
      <c r="L3" s="19"/>
      <c r="M3" s="19"/>
      <c r="N3" s="19"/>
      <c r="O3" s="19"/>
    </row>
    <row r="4" spans="1:15" x14ac:dyDescent="0.35">
      <c r="A4" s="2" t="s">
        <v>2712</v>
      </c>
      <c r="B4" s="255">
        <v>0</v>
      </c>
      <c r="C4" s="2" t="s">
        <v>2188</v>
      </c>
      <c r="D4" s="10">
        <v>1</v>
      </c>
      <c r="E4" s="5">
        <v>1</v>
      </c>
      <c r="F4" s="5" t="s">
        <v>687</v>
      </c>
      <c r="G4" s="10" t="s">
        <v>695</v>
      </c>
      <c r="H4" s="10" t="str" cm="1">
        <f t="array" aca="1" ref="H4" ca="1">IF(INDEX(I4:Z4,$H$1)=0,"",INDEX(I4:Z4,$H$1))</f>
        <v>Prepared for US Environmental Protection Agency by Tetra Tech and Clearstone Engineering Ltd.</v>
      </c>
      <c r="I4" s="2" t="s">
        <v>2584</v>
      </c>
      <c r="J4" s="2" t="s">
        <v>2584</v>
      </c>
      <c r="K4" s="2" t="s">
        <v>2584</v>
      </c>
      <c r="L4" s="19"/>
      <c r="M4" s="19"/>
      <c r="N4" s="19"/>
      <c r="O4" s="19"/>
    </row>
    <row r="5" spans="1:15" x14ac:dyDescent="0.35">
      <c r="A5" s="2" t="s">
        <v>2748</v>
      </c>
      <c r="B5" s="255">
        <v>1</v>
      </c>
      <c r="C5" s="2" t="s">
        <v>2188</v>
      </c>
      <c r="D5" s="10">
        <v>1</v>
      </c>
      <c r="E5" s="5">
        <v>1</v>
      </c>
      <c r="F5" s="5" t="s">
        <v>687</v>
      </c>
      <c r="G5" s="10" t="s">
        <v>695</v>
      </c>
      <c r="H5" s="10" t="str" cm="1">
        <f t="array" aca="1" ref="H5" ca="1">IF(INDEX(I5:Z5,$H$1)=0,"",INDEX(I5:Z5,$H$1))</f>
        <v>Which language would you like to pick?</v>
      </c>
      <c r="I5" s="2" t="s">
        <v>1922</v>
      </c>
      <c r="J5" s="2" t="s">
        <v>2248</v>
      </c>
      <c r="K5" s="2" t="s">
        <v>2249</v>
      </c>
      <c r="L5" s="19"/>
      <c r="M5" s="19"/>
      <c r="N5" s="19"/>
      <c r="O5" s="19"/>
    </row>
    <row r="6" spans="1:15" x14ac:dyDescent="0.35">
      <c r="A6" s="2" t="s">
        <v>2748</v>
      </c>
      <c r="B6" s="255">
        <v>1</v>
      </c>
      <c r="C6" s="2" t="s">
        <v>2188</v>
      </c>
      <c r="D6" s="10">
        <v>1</v>
      </c>
      <c r="E6" s="5">
        <v>2</v>
      </c>
      <c r="F6" s="5" t="s">
        <v>687</v>
      </c>
      <c r="G6" s="10" t="s">
        <v>695</v>
      </c>
      <c r="H6" s="10" t="str" cm="1">
        <f t="array" aca="1" ref="H6" ca="1">IF(INDEX(I6:Z6,$H$1)=0,"",INDEX(I6:Z6,$H$1))</f>
        <v>Language:</v>
      </c>
      <c r="I6" s="2" t="s">
        <v>2246</v>
      </c>
      <c r="J6" s="2" t="s">
        <v>2247</v>
      </c>
      <c r="K6" s="2" t="s">
        <v>2250</v>
      </c>
      <c r="L6" s="19"/>
      <c r="M6" s="19"/>
      <c r="N6" s="19"/>
      <c r="O6" s="19"/>
    </row>
    <row r="7" spans="1:15" x14ac:dyDescent="0.35">
      <c r="A7" s="2" t="s">
        <v>2748</v>
      </c>
      <c r="B7" s="255">
        <v>1</v>
      </c>
      <c r="C7" s="2" t="s">
        <v>2188</v>
      </c>
      <c r="D7" s="10">
        <v>1</v>
      </c>
      <c r="E7" s="2">
        <v>4</v>
      </c>
      <c r="F7" s="2" t="s">
        <v>687</v>
      </c>
      <c r="G7" s="10" t="s">
        <v>695</v>
      </c>
      <c r="H7" s="10" t="str" cm="1">
        <f t="array" aca="1" ref="H7" ca="1">IF(INDEX(I7:Z7,$H$1)=0,"",INDEX(I7:Z7,$H$1))</f>
        <v>Introduction:</v>
      </c>
      <c r="I7" s="2" t="s">
        <v>2177</v>
      </c>
      <c r="J7" s="2" t="s">
        <v>2240</v>
      </c>
      <c r="K7" s="2" t="s">
        <v>2194</v>
      </c>
      <c r="L7" s="19"/>
      <c r="M7" s="19"/>
      <c r="N7" s="19"/>
      <c r="O7" s="19"/>
    </row>
    <row r="8" spans="1:15" x14ac:dyDescent="0.35">
      <c r="A8" s="2" t="s">
        <v>2748</v>
      </c>
      <c r="B8" s="255">
        <v>1</v>
      </c>
      <c r="C8" s="2" t="s">
        <v>2188</v>
      </c>
      <c r="D8" s="10">
        <v>1</v>
      </c>
      <c r="E8" s="2">
        <v>6</v>
      </c>
      <c r="F8" s="2" t="s">
        <v>687</v>
      </c>
      <c r="G8" s="10" t="s">
        <v>695</v>
      </c>
      <c r="H8" s="10" t="str" cm="1">
        <f t="array" aca="1" ref="H8" ca="1">IF(INDEX(I8:Z8,$H$1)=0,"",INDEX(I8:Z8,$H$1))</f>
        <v xml:space="preserve">This spreadsheet tool assesses atmospheric emissions of greenhouses gases (GHG) (i.e., CH4, CO2, N2O and CO2E) for a single user specified oil or natural gas facility. In addition to specifying the type of facility, the user must define the process activity levels as well as the type and amount of process infrastructure used at the facility. The spreadsheet program then uses this information to assess the annual amount of GHG emissions for the facility. A different instance of the spreadsheet needs to be created to estimate emissions for each facility of interest. </v>
      </c>
      <c r="I8" s="2" t="s">
        <v>2189</v>
      </c>
      <c r="J8" s="2" t="s">
        <v>2219</v>
      </c>
      <c r="K8" s="2" t="s">
        <v>2195</v>
      </c>
      <c r="L8" s="19"/>
      <c r="M8" s="19"/>
      <c r="N8" s="19"/>
      <c r="O8" s="19"/>
    </row>
    <row r="9" spans="1:15" x14ac:dyDescent="0.35">
      <c r="A9" s="2" t="s">
        <v>2748</v>
      </c>
      <c r="B9" s="255">
        <v>1</v>
      </c>
      <c r="C9" s="2" t="s">
        <v>2188</v>
      </c>
      <c r="D9" s="10">
        <v>1</v>
      </c>
      <c r="E9" s="2">
        <v>8</v>
      </c>
      <c r="F9" s="2" t="s">
        <v>687</v>
      </c>
      <c r="G9" s="10" t="s">
        <v>695</v>
      </c>
      <c r="H9" s="10" t="str" cm="1">
        <f t="array" aca="1" ref="H9" ca="1">IF(INDEX(I9:Z9,$H$1)=0,"",INDEX(I9:Z9,$H$1))</f>
        <v>The assessment results are summarized on the “Results (Tabular) - Facility” worksheet by primary source category and type of GHG.</v>
      </c>
      <c r="I9" t="s">
        <v>2716</v>
      </c>
      <c r="J9" s="2" t="s">
        <v>2220</v>
      </c>
      <c r="K9" s="2" t="s">
        <v>2715</v>
      </c>
      <c r="L9" s="19"/>
      <c r="M9" s="19"/>
      <c r="N9" s="19"/>
      <c r="O9" s="19"/>
    </row>
    <row r="10" spans="1:15" x14ac:dyDescent="0.35">
      <c r="A10" s="2" t="s">
        <v>2748</v>
      </c>
      <c r="B10" s="255">
        <v>1</v>
      </c>
      <c r="C10" s="2" t="s">
        <v>2188</v>
      </c>
      <c r="D10" s="10">
        <v>1</v>
      </c>
      <c r="E10" s="2">
        <v>10</v>
      </c>
      <c r="F10" s="2" t="s">
        <v>687</v>
      </c>
      <c r="G10" s="10" t="s">
        <v>695</v>
      </c>
      <c r="H10" s="10" t="str" cm="1">
        <f t="array" aca="1" ref="H10" ca="1">IF(INDEX(I10:Z10,$H$1)=0,"",INDEX(I10:Z10,$H$1))</f>
        <v>The tool can be used to assess GHG emissions for a specific oil or natural gas facility (e.g., for environmental reporting purposes or as a check of the results determined using other methodologies). Alternatively, the tool may be used to estimate emissions for an “average” facility of a specified type. In these cases, it may be reasonable to multiple the “average facility” results by the total count of all facilities of the specified type to estimate their combined GHG emissions contribution.</v>
      </c>
      <c r="I10" s="2" t="s">
        <v>2178</v>
      </c>
      <c r="J10" s="2" t="s">
        <v>2221</v>
      </c>
      <c r="K10" s="2" t="s">
        <v>2196</v>
      </c>
      <c r="L10" s="19"/>
      <c r="M10" s="19"/>
      <c r="N10" s="19"/>
      <c r="O10" s="19"/>
    </row>
    <row r="11" spans="1:15" x14ac:dyDescent="0.35">
      <c r="A11" s="2" t="s">
        <v>2748</v>
      </c>
      <c r="B11" s="255">
        <v>1</v>
      </c>
      <c r="C11" s="2" t="s">
        <v>2188</v>
      </c>
      <c r="D11" s="10">
        <v>1</v>
      </c>
      <c r="E11" s="2">
        <v>12</v>
      </c>
      <c r="F11" s="2" t="s">
        <v>687</v>
      </c>
      <c r="G11" s="10" t="s">
        <v>695</v>
      </c>
      <c r="H11" s="10" t="str" cm="1">
        <f t="array" aca="1" ref="H11" ca="1">IF(INDEX(I11:Z11,$H$1)=0,"",INDEX(I11:Z11,$H$1))</f>
        <v xml:space="preserve">Additional information on this spreadsheet tool is provided in the user's manual. </v>
      </c>
      <c r="I11" s="2" t="s">
        <v>2190</v>
      </c>
      <c r="J11" s="2" t="s">
        <v>2222</v>
      </c>
      <c r="K11" s="2" t="s">
        <v>2197</v>
      </c>
      <c r="L11" s="19"/>
      <c r="M11" s="19"/>
      <c r="N11" s="19"/>
      <c r="O11" s="19"/>
    </row>
    <row r="12" spans="1:15" x14ac:dyDescent="0.35">
      <c r="A12" s="2" t="s">
        <v>2748</v>
      </c>
      <c r="B12" s="255">
        <v>1</v>
      </c>
      <c r="C12" s="2" t="s">
        <v>2188</v>
      </c>
      <c r="D12" s="10">
        <v>1</v>
      </c>
      <c r="E12" s="2">
        <v>14</v>
      </c>
      <c r="F12" s="2" t="s">
        <v>687</v>
      </c>
      <c r="G12" s="10" t="s">
        <v>695</v>
      </c>
      <c r="H12" s="10" t="str" cm="1">
        <f t="array" aca="1" ref="H12" ca="1">IF(INDEX(I12:Z12,$H$1)=0,"",INDEX(I12:Z12,$H$1))</f>
        <v>Language Options:</v>
      </c>
      <c r="I12" s="2" t="s">
        <v>2179</v>
      </c>
      <c r="J12" s="2" t="s">
        <v>2223</v>
      </c>
      <c r="K12" s="2" t="s">
        <v>2198</v>
      </c>
      <c r="L12" s="19"/>
      <c r="M12" s="19"/>
      <c r="N12" s="19"/>
      <c r="O12" s="19"/>
    </row>
    <row r="13" spans="1:15" x14ac:dyDescent="0.35">
      <c r="A13" s="2" t="s">
        <v>2748</v>
      </c>
      <c r="B13" s="255">
        <v>1</v>
      </c>
      <c r="C13" s="2" t="s">
        <v>2188</v>
      </c>
      <c r="D13" s="10">
        <v>1</v>
      </c>
      <c r="E13" s="2">
        <v>16</v>
      </c>
      <c r="F13" s="2" t="s">
        <v>687</v>
      </c>
      <c r="G13" s="10" t="s">
        <v>695</v>
      </c>
      <c r="H13" s="10" t="str" cm="1">
        <f t="array" aca="1" ref="H13" ca="1">IF(INDEX(I13:Z13,$H$1)=0,"",INDEX(I13:Z13,$H$1))</f>
        <v>This tool currently supports English, Mandarin Chinese and Spanish. The language of choice may be selected using the selection feature presented at the top of this worksheet.</v>
      </c>
      <c r="I13" s="2" t="s">
        <v>2180</v>
      </c>
      <c r="J13" s="2" t="s">
        <v>2224</v>
      </c>
      <c r="K13" s="2" t="s">
        <v>2199</v>
      </c>
      <c r="L13" s="19"/>
      <c r="M13" s="19"/>
      <c r="N13" s="19"/>
      <c r="O13" s="19"/>
    </row>
    <row r="14" spans="1:15" x14ac:dyDescent="0.35">
      <c r="A14" s="2" t="s">
        <v>2748</v>
      </c>
      <c r="B14" s="255">
        <v>1</v>
      </c>
      <c r="C14" s="2" t="s">
        <v>2188</v>
      </c>
      <c r="D14" s="10">
        <v>1</v>
      </c>
      <c r="E14" s="2">
        <v>18</v>
      </c>
      <c r="F14" s="2" t="s">
        <v>687</v>
      </c>
      <c r="G14" s="10" t="s">
        <v>695</v>
      </c>
      <c r="H14" s="10" t="str" cm="1">
        <f t="array" aca="1" ref="H14" ca="1">IF(INDEX(I14:Z14,$H$1)=0,"",INDEX(I14:Z14,$H$1))</f>
        <v>Navigation and Colour Coding Rules:</v>
      </c>
      <c r="I14" s="2" t="s">
        <v>2181</v>
      </c>
      <c r="J14" s="2" t="s">
        <v>2225</v>
      </c>
      <c r="K14" s="2" t="s">
        <v>2200</v>
      </c>
      <c r="L14" s="19"/>
      <c r="M14" s="19"/>
      <c r="N14" s="19"/>
      <c r="O14" s="19"/>
    </row>
    <row r="15" spans="1:15" x14ac:dyDescent="0.35">
      <c r="A15" s="2" t="s">
        <v>2748</v>
      </c>
      <c r="B15" s="255">
        <v>1</v>
      </c>
      <c r="C15" s="2" t="s">
        <v>2188</v>
      </c>
      <c r="D15" s="10">
        <v>1</v>
      </c>
      <c r="E15" s="2">
        <v>20</v>
      </c>
      <c r="F15" s="2" t="s">
        <v>687</v>
      </c>
      <c r="G15" s="10" t="s">
        <v>695</v>
      </c>
      <c r="H15" s="10" t="str" cm="1">
        <f t="array" aca="1" ref="H15" ca="1">IF(INDEX(I15:Z15,$H$1)=0,"",INDEX(I15:Z15,$H$1))</f>
        <v>All cells that either require user input information or contain information that the user may change are highlighted in yellow. All other cells are password protected to prevent calculation formulas from being inadvertently corrupted or erased, and to prevent critical information from being overwritten.</v>
      </c>
      <c r="I15" s="2" t="s">
        <v>2182</v>
      </c>
      <c r="J15" s="2" t="s">
        <v>2226</v>
      </c>
      <c r="K15" s="2" t="s">
        <v>2201</v>
      </c>
      <c r="L15" s="19"/>
      <c r="M15" s="19"/>
      <c r="N15" s="19"/>
      <c r="O15" s="19"/>
    </row>
    <row r="16" spans="1:15" x14ac:dyDescent="0.35">
      <c r="A16" s="2" t="s">
        <v>2748</v>
      </c>
      <c r="B16" s="255">
        <v>1</v>
      </c>
      <c r="C16" s="2" t="s">
        <v>2188</v>
      </c>
      <c r="D16" s="10">
        <v>1</v>
      </c>
      <c r="E16" s="2">
        <v>22</v>
      </c>
      <c r="F16" s="2" t="s">
        <v>687</v>
      </c>
      <c r="G16" s="10" t="s">
        <v>695</v>
      </c>
      <c r="H16" s="10" t="str" cm="1">
        <f t="array" aca="1" ref="H16" ca="1">IF(INDEX(I16:Z16,$H$1)=0,"",INDEX(I16:Z16,$H$1))</f>
        <v>Facility Selection and Setup</v>
      </c>
      <c r="I16" s="2" t="s">
        <v>2183</v>
      </c>
      <c r="J16" s="2" t="s">
        <v>2227</v>
      </c>
      <c r="K16" s="2" t="s">
        <v>2202</v>
      </c>
      <c r="L16" s="19"/>
      <c r="M16" s="19"/>
      <c r="N16" s="19"/>
      <c r="O16" s="19"/>
    </row>
    <row r="17" spans="1:22" x14ac:dyDescent="0.35">
      <c r="A17" s="2" t="s">
        <v>2748</v>
      </c>
      <c r="B17" s="255">
        <v>1</v>
      </c>
      <c r="C17" s="2" t="s">
        <v>2188</v>
      </c>
      <c r="D17" s="10">
        <v>1</v>
      </c>
      <c r="E17" s="2">
        <v>24</v>
      </c>
      <c r="F17" s="2" t="s">
        <v>687</v>
      </c>
      <c r="G17" s="10" t="s">
        <v>695</v>
      </c>
      <c r="H17" s="10" t="str" cm="1">
        <f t="array" aca="1" ref="H17" ca="1">IF(INDEX(I17:Z17,$H$1)=0,"",INDEX(I17:Z17,$H$1))</f>
        <v xml:space="preserve">The “Setup - Facility Details” worksheet is where the user defines the type of facility and provides the basic information needed to assess the amount of GHG emissions at the facility. The required input information is divided into the following sections: </v>
      </c>
      <c r="I17" s="2" t="s">
        <v>2752</v>
      </c>
      <c r="J17" s="2" t="s">
        <v>2228</v>
      </c>
      <c r="K17" s="2" t="s">
        <v>2753</v>
      </c>
      <c r="L17" s="19"/>
      <c r="M17" s="19"/>
      <c r="N17" s="19"/>
      <c r="O17" s="19"/>
    </row>
    <row r="18" spans="1:22" x14ac:dyDescent="0.35">
      <c r="A18" s="2" t="s">
        <v>2748</v>
      </c>
      <c r="B18" s="255">
        <v>1</v>
      </c>
      <c r="C18" s="2" t="s">
        <v>2188</v>
      </c>
      <c r="D18" s="10">
        <v>1</v>
      </c>
      <c r="E18" s="2">
        <v>25</v>
      </c>
      <c r="F18" s="2" t="s">
        <v>687</v>
      </c>
      <c r="G18" s="10" t="s">
        <v>695</v>
      </c>
      <c r="H18" s="10" t="str" cm="1">
        <f t="array" aca="1" ref="H18" ca="1">IF(INDEX(I18:Z18,$H$1)=0,"",INDEX(I18:Z18,$H$1))</f>
        <v>•  Facility Definition: this section is where the user specifies the industry segment and type of facility to be assessed. These choices will determine the specific emission factors used for some source types such as fugitive equipment leaks. The user may also enter certain and administrative data to uniquely identify the facility.</v>
      </c>
      <c r="I18" s="2" t="s">
        <v>2214</v>
      </c>
      <c r="J18" s="2" t="s">
        <v>2229</v>
      </c>
      <c r="K18" s="2" t="s">
        <v>2203</v>
      </c>
      <c r="L18" s="2"/>
      <c r="M18" s="2"/>
      <c r="N18" s="2"/>
      <c r="O18" s="2"/>
      <c r="P18" s="2"/>
      <c r="Q18" s="2"/>
      <c r="R18" s="2"/>
      <c r="S18" s="2"/>
      <c r="T18" s="2"/>
      <c r="U18" s="2"/>
      <c r="V18" s="2"/>
    </row>
    <row r="19" spans="1:22" x14ac:dyDescent="0.35">
      <c r="A19" s="2" t="s">
        <v>2748</v>
      </c>
      <c r="B19" s="255">
        <v>1</v>
      </c>
      <c r="C19" s="2" t="s">
        <v>2188</v>
      </c>
      <c r="D19" s="10">
        <v>1</v>
      </c>
      <c r="E19" s="2">
        <v>26</v>
      </c>
      <c r="F19" s="2" t="s">
        <v>687</v>
      </c>
      <c r="G19" s="10" t="s">
        <v>695</v>
      </c>
      <c r="H19" s="10" t="str" cm="1">
        <f t="array" aca="1" ref="H19" ca="1">IF(INDEX(I19:Z19,$H$1)=0,"",INDEX(I19:Z19,$H$1))</f>
        <v>•  Facility Activity Levels: This section captures typical production accounting data for the specified facility such as receipt volumes and disposition of the produced products.</v>
      </c>
      <c r="I19" s="2" t="s">
        <v>2215</v>
      </c>
      <c r="J19" s="2" t="s">
        <v>2230</v>
      </c>
      <c r="K19" s="2" t="s">
        <v>2204</v>
      </c>
      <c r="L19" s="2"/>
      <c r="M19" s="2"/>
      <c r="N19" s="2"/>
      <c r="O19" s="2"/>
      <c r="P19" s="2"/>
      <c r="Q19" s="2"/>
      <c r="R19" s="2"/>
      <c r="S19" s="2"/>
      <c r="T19" s="2"/>
      <c r="U19" s="2"/>
      <c r="V19" s="2"/>
    </row>
    <row r="20" spans="1:22" x14ac:dyDescent="0.35">
      <c r="A20" s="2" t="s">
        <v>2748</v>
      </c>
      <c r="B20" s="255">
        <v>1</v>
      </c>
      <c r="C20" s="2" t="s">
        <v>2188</v>
      </c>
      <c r="D20" s="10">
        <v>1</v>
      </c>
      <c r="E20" s="2">
        <v>27</v>
      </c>
      <c r="F20" s="2" t="s">
        <v>687</v>
      </c>
      <c r="G20" s="10" t="s">
        <v>695</v>
      </c>
      <c r="H20" s="10" t="str" cm="1">
        <f t="array" aca="1" ref="H20" ca="1">IF(INDEX(I20:Z20,$H$1)=0,"",INDEX(I20:Z20,$H$1))</f>
        <v>•  Emissions Measurement Results (Where Available): If any site-specific emission measurements have been performed, then these results may be entered in this section. If no emission measurement results are entered for a given source category, then the spreadsheet automatically estimates the applicable emission contributions for that source category.</v>
      </c>
      <c r="I20" s="2" t="s">
        <v>2216</v>
      </c>
      <c r="J20" s="2" t="s">
        <v>2231</v>
      </c>
      <c r="K20" s="2" t="s">
        <v>2205</v>
      </c>
      <c r="L20" s="2"/>
      <c r="M20" s="2"/>
      <c r="N20" s="2"/>
      <c r="O20" s="2"/>
      <c r="P20" s="2"/>
      <c r="Q20" s="2"/>
      <c r="R20" s="2"/>
      <c r="S20" s="2"/>
      <c r="T20" s="2"/>
      <c r="U20" s="2"/>
      <c r="V20" s="2"/>
    </row>
    <row r="21" spans="1:22" x14ac:dyDescent="0.35">
      <c r="A21" s="2" t="s">
        <v>2748</v>
      </c>
      <c r="B21" s="255">
        <v>1</v>
      </c>
      <c r="C21" s="2" t="s">
        <v>2188</v>
      </c>
      <c r="D21" s="10">
        <v>1</v>
      </c>
      <c r="E21" s="2">
        <v>28</v>
      </c>
      <c r="F21" s="2" t="s">
        <v>687</v>
      </c>
      <c r="G21" s="10" t="s">
        <v>695</v>
      </c>
      <c r="H21" s="10" t="str" cm="1">
        <f t="array" aca="1" ref="H21" ca="1">IF(INDEX(I21:Z21,$H$1)=0,"",INDEX(I21:Z21,$H$1))</f>
        <v>•  Processes Used at the Facility: This is where the quantity and types of process packages used at the facility are declared. Additionally, the user may provide certain operational data and information concerning pneumatic devices.</v>
      </c>
      <c r="I21" s="2" t="s">
        <v>2218</v>
      </c>
      <c r="J21" s="2" t="s">
        <v>2232</v>
      </c>
      <c r="K21" s="2" t="s">
        <v>2206</v>
      </c>
      <c r="L21" s="2"/>
      <c r="M21" s="2"/>
      <c r="N21" s="2"/>
      <c r="O21" s="2"/>
      <c r="P21" s="2"/>
      <c r="Q21" s="2"/>
      <c r="R21" s="2"/>
      <c r="S21" s="2"/>
      <c r="T21" s="2"/>
      <c r="U21" s="2"/>
      <c r="V21" s="2"/>
    </row>
    <row r="22" spans="1:22" ht="16.5" x14ac:dyDescent="0.45">
      <c r="A22" s="2" t="s">
        <v>2748</v>
      </c>
      <c r="B22" s="255">
        <v>1</v>
      </c>
      <c r="C22" s="2" t="s">
        <v>2188</v>
      </c>
      <c r="D22" s="10">
        <v>1</v>
      </c>
      <c r="E22" s="2">
        <v>29</v>
      </c>
      <c r="F22" s="2" t="s">
        <v>687</v>
      </c>
      <c r="G22" s="10" t="s">
        <v>695</v>
      </c>
      <c r="H22" s="10" t="str" cm="1">
        <f t="array" aca="1" ref="H22" ca="1">IF(INDEX(I22:Z22,$H$1)=0,"",INDEX(I22:Z22,$H$1))</f>
        <v>•  Gas Compositions: The chemical composition for the primary gas streams at the facility is specified in this section. To simplify this task, the user only needs to enter the CH4 content and content of the main impurities (i.e., CO2, N2 and H2S). The spreadsheet estimates the content of all other compounds as needed.</v>
      </c>
      <c r="I22" s="2" t="s">
        <v>2217</v>
      </c>
      <c r="J22" s="2" t="s">
        <v>2233</v>
      </c>
      <c r="K22" s="2" t="s">
        <v>2207</v>
      </c>
      <c r="L22" s="2"/>
      <c r="M22" s="2"/>
      <c r="N22" s="2"/>
      <c r="O22" s="2"/>
      <c r="P22" s="2"/>
      <c r="Q22" s="2"/>
      <c r="R22" s="2"/>
      <c r="S22" s="2"/>
      <c r="T22" s="2"/>
      <c r="U22" s="2"/>
      <c r="V22" s="2"/>
    </row>
    <row r="23" spans="1:22" x14ac:dyDescent="0.35">
      <c r="A23" s="2" t="s">
        <v>2748</v>
      </c>
      <c r="B23" s="255">
        <v>1</v>
      </c>
      <c r="C23" s="2" t="s">
        <v>2188</v>
      </c>
      <c r="D23" s="10">
        <v>1</v>
      </c>
      <c r="E23" s="2">
        <v>31</v>
      </c>
      <c r="F23" s="2" t="s">
        <v>687</v>
      </c>
      <c r="G23" s="10" t="s">
        <v>695</v>
      </c>
      <c r="H23" s="10" t="str" cm="1">
        <f t="array" aca="1" ref="H23" ca="1">IF(INDEX(I23:Z23,$H$1)=0,"",INDEX(I23:Z23,$H$1))</f>
        <v>Applied Assessment Methodology:</v>
      </c>
      <c r="I23" s="2" t="s">
        <v>2191</v>
      </c>
      <c r="J23" s="2" t="s">
        <v>2234</v>
      </c>
      <c r="K23" s="2" t="s">
        <v>2208</v>
      </c>
      <c r="L23" s="19"/>
      <c r="M23" s="19"/>
      <c r="N23" s="19"/>
      <c r="O23" s="19"/>
    </row>
    <row r="24" spans="1:22" x14ac:dyDescent="0.35">
      <c r="A24" s="2" t="s">
        <v>2748</v>
      </c>
      <c r="B24" s="255">
        <v>1</v>
      </c>
      <c r="C24" s="2" t="s">
        <v>2188</v>
      </c>
      <c r="D24" s="10">
        <v>1</v>
      </c>
      <c r="E24" s="2">
        <v>33</v>
      </c>
      <c r="F24" s="2" t="s">
        <v>687</v>
      </c>
      <c r="G24" s="10" t="s">
        <v>695</v>
      </c>
      <c r="H24" s="10" t="str" cm="1">
        <f t="array" aca="1" ref="H24" ca="1">IF(INDEX(I24:Z24,$H$1)=0,"",INDEX(I24:Z24,$H$1))</f>
        <v>Total GHG emissions for the facility are assessed using a bottom-up approach that determines the emissions contributions for each applicable emissions source category and then aggregates these results. The results are report by type of climate pollutant and primary source category. The applied methodology for each source category is generally based on the guidance provided in the API Compendium (2021) (Source:</v>
      </c>
      <c r="I24" t="s">
        <v>2192</v>
      </c>
      <c r="J24" t="s">
        <v>2235</v>
      </c>
      <c r="K24" s="33" t="s">
        <v>2209</v>
      </c>
    </row>
    <row r="25" spans="1:22" x14ac:dyDescent="0.35">
      <c r="A25" s="2" t="s">
        <v>2748</v>
      </c>
      <c r="B25" s="255">
        <v>1</v>
      </c>
      <c r="C25" s="2" t="s">
        <v>2188</v>
      </c>
      <c r="D25" s="10">
        <v>1</v>
      </c>
      <c r="E25" s="2">
        <v>36</v>
      </c>
      <c r="F25" s="2" t="s">
        <v>687</v>
      </c>
      <c r="G25" s="10" t="s">
        <v>695</v>
      </c>
      <c r="H25" s="10" t="str" cm="1">
        <f t="array" aca="1" ref="H25" ca="1">IF(INDEX(I25:Z25,$H$1)=0,"",INDEX(I25:Z25,$H$1))</f>
        <v>Details of applied calculations are shown on the Calculation worksheets. The sources of the applied emission factors are documented on the EF worksheets. Default equipment component counts for the range of potential types of process packages are given on the “Equipment Schedule” worksheet. All constants and conversion factors used by the tool are presented on the “Constants” worksheet.</v>
      </c>
      <c r="I25" s="32" t="s">
        <v>2184</v>
      </c>
      <c r="J25" t="s">
        <v>2236</v>
      </c>
      <c r="K25" s="33" t="s">
        <v>2210</v>
      </c>
    </row>
    <row r="26" spans="1:22" x14ac:dyDescent="0.35">
      <c r="A26" s="2" t="s">
        <v>2748</v>
      </c>
      <c r="B26" s="255">
        <v>1</v>
      </c>
      <c r="C26" s="2" t="s">
        <v>2188</v>
      </c>
      <c r="D26" s="10">
        <v>1</v>
      </c>
      <c r="E26" s="2">
        <v>38</v>
      </c>
      <c r="F26" s="2" t="s">
        <v>687</v>
      </c>
      <c r="G26" s="10" t="s">
        <v>695</v>
      </c>
      <c r="H26" s="10" t="str" cm="1">
        <f t="array" aca="1" ref="H26" ca="1">IF(INDEX(I26:Z26,$H$1)=0,"",INDEX(I26:Z26,$H$1))</f>
        <v>The Utilities worksheets provides tools for estimating volumes of gas released from blowdown and purging events and for calculating properties of specified gas streams.</v>
      </c>
      <c r="I26" s="32" t="s">
        <v>2185</v>
      </c>
      <c r="J26" t="s">
        <v>2237</v>
      </c>
      <c r="K26" s="33" t="s">
        <v>2211</v>
      </c>
    </row>
    <row r="27" spans="1:22" x14ac:dyDescent="0.35">
      <c r="A27" s="2" t="s">
        <v>2748</v>
      </c>
      <c r="B27" s="255">
        <v>1</v>
      </c>
      <c r="C27" s="2" t="s">
        <v>2188</v>
      </c>
      <c r="D27" s="10">
        <v>1</v>
      </c>
      <c r="E27" s="2">
        <v>40</v>
      </c>
      <c r="F27" s="2" t="s">
        <v>687</v>
      </c>
      <c r="G27" s="10" t="s">
        <v>695</v>
      </c>
      <c r="H27" s="10" t="str" cm="1">
        <f t="array" aca="1" ref="H27" ca="1">IF(INDEX(I27:Z27,$H$1)=0,"",INDEX(I27:Z27,$H$1))</f>
        <v>A lookup table for natural gas compressibility factors is presented on the Compressibility Factors Worksheet.</v>
      </c>
      <c r="I27" s="32" t="s">
        <v>2186</v>
      </c>
      <c r="J27" t="s">
        <v>2238</v>
      </c>
      <c r="K27" s="33" t="s">
        <v>2212</v>
      </c>
    </row>
    <row r="28" spans="1:22" x14ac:dyDescent="0.35">
      <c r="A28" s="2" t="s">
        <v>2748</v>
      </c>
      <c r="B28" s="255">
        <v>1</v>
      </c>
      <c r="C28" s="2" t="s">
        <v>2188</v>
      </c>
      <c r="D28" s="10">
        <v>1</v>
      </c>
      <c r="E28" s="2">
        <v>42</v>
      </c>
      <c r="F28" s="2" t="s">
        <v>687</v>
      </c>
      <c r="G28" s="10" t="s">
        <v>695</v>
      </c>
      <c r="H28" s="10" t="str" cm="1">
        <f t="array" aca="1" ref="H28" ca="1">IF(INDEX(I28:Z28,$H$1)=0,"",INDEX(I28:Z28,$H$1))</f>
        <v>The Translation Table worksheet is used by the spreadsheet program for switching between languages. The Lookup Tables worksheet defines all the menu lists.</v>
      </c>
      <c r="I28" s="32" t="s">
        <v>2187</v>
      </c>
      <c r="J28" t="s">
        <v>2239</v>
      </c>
      <c r="K28" s="33" t="s">
        <v>2213</v>
      </c>
    </row>
    <row r="29" spans="1:22" x14ac:dyDescent="0.35">
      <c r="A29" s="2" t="s">
        <v>2537</v>
      </c>
      <c r="B29" s="255">
        <v>2</v>
      </c>
      <c r="C29" s="2" t="s">
        <v>2255</v>
      </c>
      <c r="D29" s="10">
        <v>2</v>
      </c>
      <c r="E29" s="2">
        <v>45</v>
      </c>
      <c r="F29" s="2" t="s">
        <v>687</v>
      </c>
      <c r="G29" s="10" t="s">
        <v>688</v>
      </c>
      <c r="H29" s="10" t="str" cm="1">
        <f t="array" aca="1" ref="H29" ca="1">IF(INDEX(I29:Z29,$H$1)=0,"",INDEX(I29:Z29,$H$1))</f>
        <v>Table of Contents</v>
      </c>
      <c r="I29" s="32" t="s">
        <v>2536</v>
      </c>
      <c r="J29" t="s">
        <v>2267</v>
      </c>
      <c r="K29" s="33" t="s">
        <v>2268</v>
      </c>
    </row>
    <row r="30" spans="1:22" x14ac:dyDescent="0.35">
      <c r="A30" s="2" t="s">
        <v>2537</v>
      </c>
      <c r="B30" s="255">
        <v>2</v>
      </c>
      <c r="C30" s="2" t="s">
        <v>2255</v>
      </c>
      <c r="D30" s="10">
        <v>2</v>
      </c>
      <c r="E30" s="2">
        <v>47</v>
      </c>
      <c r="F30" s="2" t="s">
        <v>687</v>
      </c>
      <c r="G30" s="10" t="s">
        <v>696</v>
      </c>
      <c r="H30" s="10" t="str" cm="1">
        <f t="array" aca="1" ref="H30" ca="1">IF(INDEX(I30:Z30,$H$1)=0,"",INDEX(I30:Z30,$H$1))</f>
        <v>Tab Name</v>
      </c>
      <c r="I30" s="32" t="s">
        <v>2255</v>
      </c>
      <c r="J30" t="s">
        <v>2258</v>
      </c>
      <c r="K30" s="33" t="s">
        <v>2257</v>
      </c>
    </row>
    <row r="31" spans="1:22" x14ac:dyDescent="0.35">
      <c r="A31" s="2" t="s">
        <v>2537</v>
      </c>
      <c r="B31" s="255">
        <v>2</v>
      </c>
      <c r="C31" s="2" t="s">
        <v>2255</v>
      </c>
      <c r="D31" s="10">
        <v>2</v>
      </c>
      <c r="E31" s="2">
        <v>47</v>
      </c>
      <c r="F31" s="2" t="s">
        <v>38</v>
      </c>
      <c r="G31" s="10" t="s">
        <v>696</v>
      </c>
      <c r="H31" s="10" t="str" cm="1">
        <f t="array" aca="1" ref="H31" ca="1">IF(INDEX(I31:Z31,$H$1)=0,"",INDEX(I31:Z31,$H$1))</f>
        <v>Translated Tab Name</v>
      </c>
      <c r="I31" s="32" t="s">
        <v>2256</v>
      </c>
      <c r="J31" t="s">
        <v>2259</v>
      </c>
      <c r="K31" s="33" t="s">
        <v>2260</v>
      </c>
    </row>
    <row r="32" spans="1:22" x14ac:dyDescent="0.35">
      <c r="A32" s="2" t="s">
        <v>2537</v>
      </c>
      <c r="B32" s="255">
        <v>2</v>
      </c>
      <c r="C32" s="2" t="s">
        <v>2255</v>
      </c>
      <c r="D32" s="10">
        <v>2</v>
      </c>
      <c r="E32" s="2">
        <v>47</v>
      </c>
      <c r="F32" s="2" t="s">
        <v>693</v>
      </c>
      <c r="G32" s="10" t="s">
        <v>695</v>
      </c>
      <c r="H32" s="10" t="str" cm="1">
        <f t="array" aca="1" ref="H32" ca="1">IF(INDEX(I32:Z32,$H$1)=0,"",INDEX(I32:Z32,$H$1))</f>
        <v>Hyperlink</v>
      </c>
      <c r="I32" s="32" t="s">
        <v>2261</v>
      </c>
      <c r="J32" t="s">
        <v>2262</v>
      </c>
      <c r="K32" s="33" t="s">
        <v>2263</v>
      </c>
    </row>
    <row r="33" spans="1:11" x14ac:dyDescent="0.35">
      <c r="A33" s="2" t="s">
        <v>2537</v>
      </c>
      <c r="B33" s="255">
        <v>2</v>
      </c>
      <c r="C33" s="2" t="s">
        <v>2255</v>
      </c>
      <c r="D33" s="10">
        <v>2</v>
      </c>
      <c r="E33" s="2">
        <v>47</v>
      </c>
      <c r="F33" s="2" t="s">
        <v>693</v>
      </c>
      <c r="G33" s="10" t="s">
        <v>695</v>
      </c>
      <c r="H33" s="10" t="str" cm="1">
        <f t="array" aca="1" ref="H33" ca="1">IF(INDEX(I33:Z33,$H$1)=0,"",INDEX(I33:Z33,$H$1))</f>
        <v>Description</v>
      </c>
      <c r="I33" s="32" t="s">
        <v>2507</v>
      </c>
      <c r="K33" s="33"/>
    </row>
    <row r="34" spans="1:11" x14ac:dyDescent="0.35">
      <c r="A34" s="2" t="s">
        <v>2537</v>
      </c>
      <c r="B34" s="255">
        <v>2</v>
      </c>
      <c r="C34" s="2" t="s">
        <v>2255</v>
      </c>
      <c r="D34" s="10">
        <v>2</v>
      </c>
      <c r="E34" s="2">
        <v>47</v>
      </c>
      <c r="F34" s="2" t="s">
        <v>693</v>
      </c>
      <c r="G34" s="10" t="s">
        <v>695</v>
      </c>
      <c r="H34" s="10" t="str" cm="1">
        <f t="array" aca="1" ref="H34" ca="1">IF(INDEX(I34:Z34,$H$1)=0,"",INDEX(I34:Z34,$H$1))</f>
        <v>Go To Sheet</v>
      </c>
      <c r="I34" s="32" t="s">
        <v>2264</v>
      </c>
      <c r="J34" t="s">
        <v>2266</v>
      </c>
      <c r="K34" s="33" t="s">
        <v>2265</v>
      </c>
    </row>
    <row r="35" spans="1:11" x14ac:dyDescent="0.35">
      <c r="A35" s="2" t="s">
        <v>2537</v>
      </c>
      <c r="B35" s="255">
        <v>2</v>
      </c>
      <c r="C35" s="2" t="s">
        <v>2255</v>
      </c>
      <c r="D35" s="10">
        <v>2</v>
      </c>
      <c r="E35" s="2">
        <v>47</v>
      </c>
      <c r="F35" s="2" t="s">
        <v>693</v>
      </c>
      <c r="G35" s="10" t="s">
        <v>695</v>
      </c>
      <c r="H35" s="10" t="str" cm="1">
        <f t="array" aca="1" ref="H35" ca="1">IF(INDEX(I35:Z35,$H$1)=0,"",INDEX(I35:Z35,$H$1))</f>
        <v>Go To 'Contents'</v>
      </c>
      <c r="I35" s="32" t="s">
        <v>2585</v>
      </c>
      <c r="K35" s="33"/>
    </row>
    <row r="36" spans="1:11" x14ac:dyDescent="0.35">
      <c r="A36" s="2" t="s">
        <v>2537</v>
      </c>
      <c r="B36" s="255">
        <v>2</v>
      </c>
      <c r="C36" s="2" t="s">
        <v>2255</v>
      </c>
      <c r="D36" s="10">
        <v>2</v>
      </c>
      <c r="E36" s="2">
        <v>48</v>
      </c>
      <c r="F36" s="2" t="s">
        <v>38</v>
      </c>
      <c r="G36" s="10" t="s">
        <v>695</v>
      </c>
      <c r="H36" s="10" t="str" cm="1">
        <f t="array" aca="1" ref="H36" ca="1">IF(INDEX(I36:Z36,$H$1)=0,"",INDEX(I36:Z36,$H$1))</f>
        <v>Language &amp; User Guide</v>
      </c>
      <c r="I36" s="32" t="s">
        <v>2748</v>
      </c>
      <c r="J36" t="s">
        <v>2555</v>
      </c>
      <c r="K36" s="33" t="s">
        <v>2554</v>
      </c>
    </row>
    <row r="37" spans="1:11" x14ac:dyDescent="0.35">
      <c r="A37" s="2" t="s">
        <v>2537</v>
      </c>
      <c r="B37" s="255">
        <v>2</v>
      </c>
      <c r="C37" s="2" t="s">
        <v>2255</v>
      </c>
      <c r="D37" s="10">
        <v>2</v>
      </c>
      <c r="E37" s="2">
        <v>49</v>
      </c>
      <c r="F37" s="2" t="s">
        <v>38</v>
      </c>
      <c r="G37" s="10" t="s">
        <v>695</v>
      </c>
      <c r="H37" s="10" t="str" cm="1">
        <f t="array" aca="1" ref="H37" ca="1">IF(INDEX(I37:Z37,$H$1)=0,"",INDEX(I37:Z37,$H$1))</f>
        <v>Results (Graphical) – Facility</v>
      </c>
      <c r="I37" s="32" t="s">
        <v>2575</v>
      </c>
      <c r="J37" t="s">
        <v>2576</v>
      </c>
      <c r="K37" s="33" t="s">
        <v>2577</v>
      </c>
    </row>
    <row r="38" spans="1:11" x14ac:dyDescent="0.35">
      <c r="A38" s="2" t="s">
        <v>2537</v>
      </c>
      <c r="B38" s="255">
        <v>2</v>
      </c>
      <c r="C38" s="2" t="s">
        <v>2255</v>
      </c>
      <c r="D38" s="10">
        <v>2</v>
      </c>
      <c r="E38" s="2">
        <v>49</v>
      </c>
      <c r="F38" s="2" t="s">
        <v>38</v>
      </c>
      <c r="G38" s="10" t="s">
        <v>695</v>
      </c>
      <c r="H38" s="10" t="str" cm="1">
        <f t="array" aca="1" ref="H38" ca="1">IF(INDEX(I38:Z38,$H$1)=0,"",INDEX(I38:Z38,$H$1))</f>
        <v>Results (Tabular) - Facility</v>
      </c>
      <c r="I38" s="32" t="s">
        <v>2586</v>
      </c>
      <c r="J38" t="s">
        <v>2574</v>
      </c>
      <c r="K38" s="33" t="s">
        <v>2573</v>
      </c>
    </row>
    <row r="39" spans="1:11" x14ac:dyDescent="0.35">
      <c r="A39" s="2" t="s">
        <v>2537</v>
      </c>
      <c r="B39" s="255">
        <v>2</v>
      </c>
      <c r="C39" s="2" t="s">
        <v>2255</v>
      </c>
      <c r="D39" s="10">
        <v>2</v>
      </c>
      <c r="E39" s="2">
        <v>50</v>
      </c>
      <c r="F39" s="2" t="s">
        <v>38</v>
      </c>
      <c r="G39" s="10" t="s">
        <v>695</v>
      </c>
      <c r="H39" s="10" t="str" cm="1">
        <f t="array" aca="1" ref="H39" ca="1">IF(INDEX(I39:Z39,$H$1)=0,"",INDEX(I39:Z39,$H$1))</f>
        <v>Setup - Facility Details</v>
      </c>
      <c r="I39" s="32" t="s">
        <v>2750</v>
      </c>
      <c r="J39" t="s">
        <v>2556</v>
      </c>
      <c r="K39" s="33" t="s">
        <v>2557</v>
      </c>
    </row>
    <row r="40" spans="1:11" x14ac:dyDescent="0.35">
      <c r="A40" s="2" t="s">
        <v>2537</v>
      </c>
      <c r="B40" s="255">
        <v>2</v>
      </c>
      <c r="C40" s="2" t="s">
        <v>2255</v>
      </c>
      <c r="D40" s="10">
        <v>2</v>
      </c>
      <c r="E40" s="2">
        <v>50</v>
      </c>
      <c r="F40" s="2" t="s">
        <v>38</v>
      </c>
      <c r="G40" s="10" t="s">
        <v>695</v>
      </c>
      <c r="H40" s="10" t="str" cm="1">
        <f t="array" aca="1" ref="H40" ca="1">IF(INDEX(I40:Z40,$H$1)=0,"",INDEX(I40:Z40,$H$1))</f>
        <v>Setup - Fuel Use</v>
      </c>
      <c r="I40" s="32" t="s">
        <v>3118</v>
      </c>
      <c r="J40" t="s">
        <v>3119</v>
      </c>
      <c r="K40" s="33" t="s">
        <v>3120</v>
      </c>
    </row>
    <row r="41" spans="1:11" x14ac:dyDescent="0.35">
      <c r="A41" s="2" t="s">
        <v>2537</v>
      </c>
      <c r="B41" s="255">
        <v>2</v>
      </c>
      <c r="C41" s="2" t="s">
        <v>2255</v>
      </c>
      <c r="D41" s="10">
        <v>2</v>
      </c>
      <c r="E41" s="2">
        <v>50</v>
      </c>
      <c r="F41" s="2" t="s">
        <v>38</v>
      </c>
      <c r="G41" s="10" t="s">
        <v>695</v>
      </c>
      <c r="H41" s="10" t="str" cm="1">
        <f t="array" aca="1" ref="H41" ca="1">IF(INDEX(I41:Z41,$H$1)=0,"",INDEX(I41:Z41,$H$1))</f>
        <v>Setup - Flashing Losses</v>
      </c>
      <c r="I41" s="32" t="s">
        <v>3121</v>
      </c>
      <c r="J41" t="s">
        <v>3122</v>
      </c>
      <c r="K41" s="33" t="s">
        <v>3123</v>
      </c>
    </row>
    <row r="42" spans="1:11" ht="58" x14ac:dyDescent="0.35">
      <c r="A42" s="2" t="s">
        <v>2537</v>
      </c>
      <c r="B42" s="255">
        <v>2</v>
      </c>
      <c r="C42" s="2" t="s">
        <v>2255</v>
      </c>
      <c r="D42" s="10">
        <v>2</v>
      </c>
      <c r="E42" s="2">
        <v>62</v>
      </c>
      <c r="F42" s="2" t="s">
        <v>38</v>
      </c>
      <c r="G42" s="10" t="s">
        <v>695</v>
      </c>
      <c r="H42" s="10" t="str" cm="1">
        <f t="array" aca="1" ref="H42" ca="1">IF(INDEX(I42:Z42,$H$1)=0,"",INDEX(I42:Z42,$H$1))</f>
        <v>This tool currently supports English, Mandarin Chinese, and Spanish. The language of choice may be selected using the selection feature located at the top of the "Language &amp; User Guide" worksheet.</v>
      </c>
      <c r="I42" s="156" t="s">
        <v>2749</v>
      </c>
      <c r="K42" s="33"/>
    </row>
    <row r="43" spans="1:11" ht="29" x14ac:dyDescent="0.35">
      <c r="A43" s="2" t="s">
        <v>2537</v>
      </c>
      <c r="B43" s="255">
        <v>2</v>
      </c>
      <c r="C43" s="2" t="s">
        <v>2255</v>
      </c>
      <c r="D43" s="10">
        <v>2</v>
      </c>
      <c r="E43" s="2">
        <v>63</v>
      </c>
      <c r="F43" s="2" t="s">
        <v>38</v>
      </c>
      <c r="G43" s="10" t="s">
        <v>695</v>
      </c>
      <c r="H43" s="10" t="str" cm="1">
        <f t="array" aca="1" ref="H43" ca="1">IF(INDEX(I43:Z43,$H$1)=0,"",INDEX(I43:Z43,$H$1))</f>
        <v>This tab displays a graphical summary of the emissions assessment results.</v>
      </c>
      <c r="I43" s="156" t="s">
        <v>2538</v>
      </c>
      <c r="K43" s="33"/>
    </row>
    <row r="44" spans="1:11" ht="43.5" x14ac:dyDescent="0.35">
      <c r="A44" s="2" t="s">
        <v>2537</v>
      </c>
      <c r="B44" s="255">
        <v>2</v>
      </c>
      <c r="C44" s="2" t="s">
        <v>2255</v>
      </c>
      <c r="D44" s="10">
        <v>2</v>
      </c>
      <c r="E44" s="2">
        <v>64</v>
      </c>
      <c r="F44" s="2" t="s">
        <v>38</v>
      </c>
      <c r="G44" s="10" t="s">
        <v>695</v>
      </c>
      <c r="H44" s="10" t="str" cm="1">
        <f t="array" aca="1" ref="H44" ca="1">IF(INDEX(I44:Z44,$H$1)=0,"",INDEX(I44:Z44,$H$1))</f>
        <v>This tab provides a tabular summary of the emissions assessment results presented by primary source category and type of GHG.</v>
      </c>
      <c r="I44" s="156" t="s">
        <v>2539</v>
      </c>
      <c r="K44" s="33"/>
    </row>
    <row r="45" spans="1:11" ht="101.5" x14ac:dyDescent="0.35">
      <c r="A45" s="2" t="s">
        <v>2537</v>
      </c>
      <c r="B45" s="255">
        <v>2</v>
      </c>
      <c r="C45" s="2" t="s">
        <v>2255</v>
      </c>
      <c r="D45" s="10">
        <v>2</v>
      </c>
      <c r="E45" s="2">
        <v>65</v>
      </c>
      <c r="F45" s="2" t="s">
        <v>38</v>
      </c>
      <c r="G45" s="10" t="s">
        <v>695</v>
      </c>
      <c r="H45" s="10" t="str" cm="1">
        <f t="array" aca="1" ref="H45" ca="1">IF(INDEX(I45:Z45,$H$1)=0,"",INDEX(I45:Z45,$H$1))</f>
        <v>The “Setup - Facility Details” worksheet is where the user defines the type of facility for which GHG emissions are to be assessed and provides the basic input information needed to perform the assessment. The necessary input information includes activity data, details on the major process or equipment packaged at the facility, and emissions monitoring results (where available).</v>
      </c>
      <c r="I45" s="156" t="s">
        <v>2751</v>
      </c>
      <c r="K45" s="33"/>
    </row>
    <row r="46" spans="1:11" x14ac:dyDescent="0.35">
      <c r="A46" s="2" t="s">
        <v>2537</v>
      </c>
      <c r="B46" s="255">
        <v>2</v>
      </c>
      <c r="C46" s="2" t="s">
        <v>2255</v>
      </c>
      <c r="D46" s="10">
        <v>2</v>
      </c>
      <c r="E46" s="2">
        <v>65</v>
      </c>
      <c r="F46" s="2" t="s">
        <v>38</v>
      </c>
      <c r="G46" s="10" t="s">
        <v>695</v>
      </c>
      <c r="H46" s="10" t="str" cm="1">
        <f t="array" aca="1" ref="H46" ca="1">IF(INDEX(I46:Z46,$H$1)=0,"",INDEX(I46:Z46,$H$1))</f>
        <v>This worksheet is where any gaseous, liquid, and solid fuel use at a facility is reported. Typically, a facility's total fuel consumption by fuel type is measured but the  amount consumed by type of stationary combustion source (e.g., turbines, engines, and process heaters and boilers) is not. Determining the disposition of each fuel type by source type is important since the specific emissions of methane (i.e., due to incomplete combustion) and other pollutants is a function of these two parameters. Accordingly, this worksheet allows the user to input information on each combustion source for use in estimating the sitewide disposition of each fuel. One option for estimating this disposition is to provide the rated power output of each source along with its operating time and estimated percent loading (if known). In the case of drivers (i.e., turbines and engines) for natural gas compressors and electric power generators, a second (more refined) option is to provide information  on the amount of useful  process work being performed, which is then used to back calculate source-specific fuel consumption. In either case, the calculations are designed to minimize the amount of input information required from the user with some information being optional. Where both options are applied, only the results of the second option will be used. If there are multiple combustion sources of the same type and size and having similar operating conditions, then only one instance of this source needs to be entered along with the quantity of these units. The aggregate results from all relevant assessed sources and groups of sources are forced to match the reported sitewide fuel consumption for each fuel type. If sitewide fuel consumption is not measured, then the fuel use estimates are used directly. If some of the combustion sources are equipped with fuel use metering and others are not, then any adjustments needed to achieve a correct fuel balance are primarily applied to the estimated values. These determinations are all done programmatically for the user.</v>
      </c>
      <c r="I46" s="32" t="s">
        <v>3158</v>
      </c>
      <c r="K46" s="33"/>
    </row>
    <row r="47" spans="1:11" x14ac:dyDescent="0.35">
      <c r="A47" s="2" t="s">
        <v>2537</v>
      </c>
      <c r="B47" s="255">
        <v>2</v>
      </c>
      <c r="C47" s="2" t="s">
        <v>2255</v>
      </c>
      <c r="D47" s="10">
        <v>2</v>
      </c>
      <c r="E47" s="2">
        <v>65</v>
      </c>
      <c r="F47" s="2" t="s">
        <v>38</v>
      </c>
      <c r="G47" s="10" t="s">
        <v>695</v>
      </c>
      <c r="H47" s="10" t="str" cm="1">
        <f t="array" aca="1" ref="H47" ca="1">IF(INDEX(I47:Z47,$H$1)=0,"",INDEX(I47:Z47,$H$1))</f>
        <v>This worksheet is where information needed to assess flashing losses from produced oil and water storage tanks at production facilities is entered (where applicable). The minimum required input information is the amount of oil and water produced. If it is known, additional input information includes the temperature and pressure of the relevant upstream pressure vessels (e.g., separators, vapor recovery towers, or treaters) and details of any vapor controls that may be in place (if this information is unavailable then conservative default values are applied). The amount of emissions is estimated using the Valko McCain (2003) correlation. The default input data have been adapted from the API Compendium (2021).</v>
      </c>
      <c r="I47" s="32" t="s">
        <v>3442</v>
      </c>
      <c r="K47" s="33"/>
    </row>
    <row r="48" spans="1:11" ht="29" x14ac:dyDescent="0.35">
      <c r="A48" s="2" t="s">
        <v>2537</v>
      </c>
      <c r="B48" s="255">
        <v>2</v>
      </c>
      <c r="C48" s="2" t="s">
        <v>2255</v>
      </c>
      <c r="D48" s="10">
        <v>2</v>
      </c>
      <c r="E48" s="2">
        <v>66</v>
      </c>
      <c r="F48" s="2" t="s">
        <v>38</v>
      </c>
      <c r="G48" s="10" t="s">
        <v>695</v>
      </c>
      <c r="H48" s="10" t="str" cm="1">
        <f t="array" aca="1" ref="H48" ca="1">IF(INDEX(I48:Z48,$H$1)=0,"",INDEX(I48:Z48,$H$1))</f>
        <v>Details of the applied emission calculations are shown on the "Calculation" worksheets.</v>
      </c>
      <c r="I48" s="156" t="s">
        <v>2540</v>
      </c>
      <c r="K48" s="33"/>
    </row>
    <row r="49" spans="1:11" ht="29" x14ac:dyDescent="0.35">
      <c r="A49" s="2" t="s">
        <v>2537</v>
      </c>
      <c r="B49" s="255">
        <v>2</v>
      </c>
      <c r="C49" s="2" t="s">
        <v>2255</v>
      </c>
      <c r="D49" s="10">
        <v>2</v>
      </c>
      <c r="E49" s="2">
        <v>67</v>
      </c>
      <c r="F49" s="2" t="s">
        <v>38</v>
      </c>
      <c r="G49" s="10" t="s">
        <v>695</v>
      </c>
      <c r="H49" s="10" t="str" cm="1">
        <f t="array" aca="1" ref="H49" ca="1">IF(INDEX(I49:Z49,$H$1)=0,"",INDEX(I49:Z49,$H$1))</f>
        <v xml:space="preserve">The sources of the applied emission factors are documented on the "EF" worksheets. </v>
      </c>
      <c r="I49" s="156" t="s">
        <v>2541</v>
      </c>
      <c r="K49" s="33"/>
    </row>
    <row r="50" spans="1:11" ht="43.5" x14ac:dyDescent="0.35">
      <c r="A50" s="2" t="s">
        <v>2537</v>
      </c>
      <c r="B50" s="255">
        <v>2</v>
      </c>
      <c r="C50" s="2" t="s">
        <v>2255</v>
      </c>
      <c r="D50" s="10">
        <v>2</v>
      </c>
      <c r="E50" s="2">
        <v>68</v>
      </c>
      <c r="F50" s="2" t="s">
        <v>38</v>
      </c>
      <c r="G50" s="10" t="s">
        <v>695</v>
      </c>
      <c r="H50" s="10" t="str" cm="1">
        <f t="array" aca="1" ref="H50" ca="1">IF(INDEX(I50:Z50,$H$1)=0,"",INDEX(I50:Z50,$H$1))</f>
        <v xml:space="preserve">Default equipment component counts for the range of potential types of process packages are given on the “Equipment Schedule” worksheet. </v>
      </c>
      <c r="I50" s="156" t="s">
        <v>2534</v>
      </c>
      <c r="K50" s="33"/>
    </row>
    <row r="51" spans="1:11" ht="29" x14ac:dyDescent="0.35">
      <c r="A51" s="2" t="s">
        <v>2537</v>
      </c>
      <c r="B51" s="255">
        <v>2</v>
      </c>
      <c r="C51" s="2" t="s">
        <v>2255</v>
      </c>
      <c r="D51" s="10">
        <v>2</v>
      </c>
      <c r="E51" s="2">
        <v>69</v>
      </c>
      <c r="F51" s="2" t="s">
        <v>38</v>
      </c>
      <c r="G51" s="10" t="s">
        <v>695</v>
      </c>
      <c r="H51" s="10" t="str" cm="1">
        <f t="array" aca="1" ref="H51" ca="1">IF(INDEX(I51:Z51,$H$1)=0,"",INDEX(I51:Z51,$H$1))</f>
        <v>All constants and conversion factors used by the tool are presented on the “Constants” worksheet.</v>
      </c>
      <c r="I51" s="156" t="s">
        <v>2535</v>
      </c>
      <c r="K51" s="33"/>
    </row>
    <row r="52" spans="1:11" ht="29" x14ac:dyDescent="0.35">
      <c r="A52" s="2" t="s">
        <v>2537</v>
      </c>
      <c r="B52" s="255">
        <v>2</v>
      </c>
      <c r="C52" s="2" t="s">
        <v>2255</v>
      </c>
      <c r="D52" s="10">
        <v>2</v>
      </c>
      <c r="E52" s="2">
        <v>70</v>
      </c>
      <c r="F52" s="2" t="s">
        <v>38</v>
      </c>
      <c r="G52" s="10" t="s">
        <v>695</v>
      </c>
      <c r="H52" s="10" t="str" cm="1">
        <f t="array" aca="1" ref="H52" ca="1">IF(INDEX(I52:Z52,$H$1)=0,"",INDEX(I52:Z52,$H$1))</f>
        <v>The "Lookup Tables and List" worksheet defines all the menu lists.</v>
      </c>
      <c r="I52" s="156" t="s">
        <v>2542</v>
      </c>
      <c r="K52" s="33"/>
    </row>
    <row r="53" spans="1:11" ht="58" x14ac:dyDescent="0.35">
      <c r="A53" s="2" t="s">
        <v>2537</v>
      </c>
      <c r="B53" s="255">
        <v>2</v>
      </c>
      <c r="C53" s="2" t="s">
        <v>2255</v>
      </c>
      <c r="D53" s="10">
        <v>2</v>
      </c>
      <c r="E53" s="2">
        <v>71</v>
      </c>
      <c r="F53" s="2" t="s">
        <v>38</v>
      </c>
      <c r="G53" s="10" t="s">
        <v>695</v>
      </c>
      <c r="H53" s="10" t="str" cm="1">
        <f t="array" aca="1" ref="H53" ca="1">IF(INDEX(I53:Z53,$H$1)=0,"",INDEX(I53:Z53,$H$1))</f>
        <v>The "Utilities" worksheets provide tools for estimating volumes of gas released from blowdown and purging events and for calculating properties of specified gas streams.</v>
      </c>
      <c r="I53" s="156" t="s">
        <v>2543</v>
      </c>
      <c r="K53" s="33"/>
    </row>
    <row r="54" spans="1:11" ht="29" x14ac:dyDescent="0.35">
      <c r="A54" s="2" t="s">
        <v>2537</v>
      </c>
      <c r="B54" s="255">
        <v>2</v>
      </c>
      <c r="C54" s="2" t="s">
        <v>2255</v>
      </c>
      <c r="D54" s="10">
        <v>2</v>
      </c>
      <c r="E54" s="2">
        <v>72</v>
      </c>
      <c r="F54" s="2" t="s">
        <v>38</v>
      </c>
      <c r="G54" s="10" t="s">
        <v>695</v>
      </c>
      <c r="H54" s="10" t="str" cm="1">
        <f t="array" aca="1" ref="H54" ca="1">IF(INDEX(I54:Z54,$H$1)=0,"",INDEX(I54:Z54,$H$1))</f>
        <v>A lookup table for natural gas compressibility factors is presented on the "Compressibility Factors" worksheet.</v>
      </c>
      <c r="I54" s="156" t="s">
        <v>2544</v>
      </c>
      <c r="K54" s="33"/>
    </row>
    <row r="55" spans="1:11" ht="29" x14ac:dyDescent="0.35">
      <c r="A55" s="2" t="s">
        <v>2537</v>
      </c>
      <c r="B55" s="255">
        <v>2</v>
      </c>
      <c r="C55" s="2" t="s">
        <v>2255</v>
      </c>
      <c r="D55" s="10">
        <v>2</v>
      </c>
      <c r="E55" s="2">
        <v>73</v>
      </c>
      <c r="F55" s="2" t="s">
        <v>38</v>
      </c>
      <c r="G55" s="10" t="s">
        <v>695</v>
      </c>
      <c r="H55" s="10" t="str" cm="1">
        <f t="array" aca="1" ref="H55" ca="1">IF(INDEX(I55:Z55,$H$1)=0,"",INDEX(I55:Z55,$H$1))</f>
        <v xml:space="preserve">The "Translation Table" worksheet is used by the spreadsheet program for switching between languages. </v>
      </c>
      <c r="I55" s="156" t="s">
        <v>2545</v>
      </c>
      <c r="K55" s="33"/>
    </row>
    <row r="56" spans="1:11" x14ac:dyDescent="0.35">
      <c r="A56" s="2" t="s">
        <v>2537</v>
      </c>
      <c r="B56" s="255">
        <v>2</v>
      </c>
      <c r="C56" s="2" t="s">
        <v>2188</v>
      </c>
      <c r="D56" s="10">
        <v>1</v>
      </c>
      <c r="E56" s="2">
        <v>1</v>
      </c>
      <c r="F56" s="2" t="s">
        <v>687</v>
      </c>
      <c r="G56" s="10" t="s">
        <v>695</v>
      </c>
      <c r="H56" s="10" t="str" cm="1">
        <f t="array" aca="1" ref="H56" ca="1">IF(INDEX(I56:Z56,$H$1)=0,"",INDEX(I56:Z56,$H$1))</f>
        <v>How To Use This Tool</v>
      </c>
      <c r="I56" s="156" t="s">
        <v>2503</v>
      </c>
      <c r="K56" s="33"/>
    </row>
    <row r="57" spans="1:11" x14ac:dyDescent="0.35">
      <c r="A57" s="2" t="s">
        <v>2537</v>
      </c>
      <c r="B57" s="255">
        <v>2</v>
      </c>
      <c r="C57" s="2" t="s">
        <v>2188</v>
      </c>
      <c r="D57" s="10">
        <v>1</v>
      </c>
      <c r="E57" s="2">
        <v>1</v>
      </c>
      <c r="F57" s="2" t="s">
        <v>687</v>
      </c>
      <c r="G57" s="10" t="s">
        <v>695</v>
      </c>
      <c r="H57" s="10" t="str" cm="1">
        <f t="array" aca="1" ref="H57" ca="1">IF(INDEX(I57:Z57,$H$1)=0,"",INDEX(I57:Z57,$H$1))</f>
        <v>Cell Styles</v>
      </c>
      <c r="I57" s="32" t="s">
        <v>2504</v>
      </c>
      <c r="K57" s="33"/>
    </row>
    <row r="58" spans="1:11" x14ac:dyDescent="0.35">
      <c r="A58" s="2" t="s">
        <v>2537</v>
      </c>
      <c r="B58" s="255">
        <v>2</v>
      </c>
      <c r="C58" s="2" t="s">
        <v>2188</v>
      </c>
      <c r="D58" s="10">
        <v>1</v>
      </c>
      <c r="E58" s="2">
        <v>1</v>
      </c>
      <c r="F58" s="2" t="s">
        <v>687</v>
      </c>
      <c r="G58" s="10" t="s">
        <v>695</v>
      </c>
      <c r="H58" s="10" t="str" cm="1">
        <f t="array" aca="1" ref="H58" ca="1">IF(INDEX(I58:Z58,$H$1)=0,"",INDEX(I58:Z58,$H$1))</f>
        <v>Warning</v>
      </c>
      <c r="I58" s="32" t="s">
        <v>2505</v>
      </c>
      <c r="K58" s="33"/>
    </row>
    <row r="59" spans="1:11" x14ac:dyDescent="0.35">
      <c r="A59" s="2" t="s">
        <v>2537</v>
      </c>
      <c r="B59" s="255">
        <v>2</v>
      </c>
      <c r="C59" s="2" t="s">
        <v>2188</v>
      </c>
      <c r="D59" s="10">
        <v>1</v>
      </c>
      <c r="E59" s="2">
        <v>1</v>
      </c>
      <c r="F59" s="2" t="s">
        <v>687</v>
      </c>
      <c r="G59" s="10" t="s">
        <v>695</v>
      </c>
      <c r="H59" s="10" t="str" cm="1">
        <f t="array" aca="1" ref="H59" ca="1">IF(INDEX(I59:Z59,$H$1)=0,"",INDEX(I59:Z59,$H$1))</f>
        <v>Input Cell</v>
      </c>
      <c r="I59" s="32" t="s">
        <v>2506</v>
      </c>
      <c r="K59" s="33"/>
    </row>
    <row r="60" spans="1:11" x14ac:dyDescent="0.35">
      <c r="A60" s="2" t="s">
        <v>2575</v>
      </c>
      <c r="B60" s="255">
        <v>3</v>
      </c>
      <c r="C60" s="2" t="s">
        <v>2255</v>
      </c>
      <c r="D60" s="10">
        <v>1</v>
      </c>
      <c r="E60" s="2">
        <v>1</v>
      </c>
      <c r="F60" s="2" t="s">
        <v>38</v>
      </c>
      <c r="G60" s="10" t="s">
        <v>695</v>
      </c>
      <c r="H60" s="10" t="str" cm="1">
        <f t="array" aca="1" ref="H60" ca="1">IF(INDEX(I60:Z60,$H$1)=0,"",INDEX(I60:Z60,$H$1))</f>
        <v>Total Emissions</v>
      </c>
      <c r="I60" s="32" t="s">
        <v>2472</v>
      </c>
      <c r="J60" t="s">
        <v>1287</v>
      </c>
      <c r="K60" s="33" t="s">
        <v>2473</v>
      </c>
    </row>
    <row r="61" spans="1:11" x14ac:dyDescent="0.35">
      <c r="A61" s="2" t="s">
        <v>2575</v>
      </c>
      <c r="B61" s="255">
        <v>3</v>
      </c>
      <c r="C61" s="2" t="s">
        <v>688</v>
      </c>
      <c r="D61" s="10">
        <v>1</v>
      </c>
      <c r="E61" s="2">
        <v>1</v>
      </c>
      <c r="F61" s="2" t="s">
        <v>38</v>
      </c>
      <c r="G61" s="10" t="s">
        <v>695</v>
      </c>
      <c r="H61" s="10" t="str" cm="1">
        <f t="array" aca="1" ref="H61" ca="1">IF(INDEX(I61:Z61,$H$1)=0,"",INDEX(I61:Z61,$H$1))</f>
        <v>Emission Results(Facility Level) - Summary by Source Category and Pollutant Type</v>
      </c>
      <c r="I61" s="32" t="s">
        <v>2578</v>
      </c>
      <c r="K61" s="33"/>
    </row>
    <row r="62" spans="1:11" x14ac:dyDescent="0.35">
      <c r="A62" s="2" t="s">
        <v>2575</v>
      </c>
      <c r="B62" s="255">
        <v>3</v>
      </c>
      <c r="C62" s="10" t="s">
        <v>536</v>
      </c>
      <c r="D62" s="10">
        <v>2</v>
      </c>
      <c r="E62" s="10">
        <v>12</v>
      </c>
      <c r="F62" s="10" t="s">
        <v>38</v>
      </c>
      <c r="G62" s="10" t="s">
        <v>696</v>
      </c>
      <c r="H62" s="10" t="str" cm="1">
        <f t="array" aca="1" ref="H62" ca="1">IF(INDEX(I62:Z62,$H$1)=0,"",INDEX(I62:Z62,$H$1))</f>
        <v>(tonnes)</v>
      </c>
      <c r="I62" s="10" t="s">
        <v>557</v>
      </c>
      <c r="J62" s="10" t="s">
        <v>1162</v>
      </c>
      <c r="K62" s="27" t="s">
        <v>1390</v>
      </c>
    </row>
    <row r="63" spans="1:11" x14ac:dyDescent="0.35">
      <c r="A63" s="2" t="s">
        <v>3208</v>
      </c>
      <c r="B63" s="255">
        <v>3</v>
      </c>
      <c r="C63" s="10" t="s">
        <v>3208</v>
      </c>
      <c r="D63" s="10">
        <v>1</v>
      </c>
      <c r="E63" s="10">
        <v>1</v>
      </c>
      <c r="F63" s="10" t="s">
        <v>687</v>
      </c>
      <c r="G63" s="10" t="s">
        <v>696</v>
      </c>
      <c r="H63" s="10" t="str" cm="1">
        <f t="array" aca="1" ref="H63" ca="1">IF(INDEX(I63:Z63,$H$1)=0,"",INDEX(I63:Z63,$H$1))</f>
        <v>"DETAILED RESULTS TABULATION" FOR QUALITY ASSURANCE CHECKS</v>
      </c>
      <c r="I63" s="10" t="s">
        <v>2821</v>
      </c>
      <c r="J63" s="10"/>
      <c r="K63" s="27"/>
    </row>
    <row r="64" spans="1:11" x14ac:dyDescent="0.35">
      <c r="A64" s="2" t="s">
        <v>3208</v>
      </c>
      <c r="B64" s="255">
        <v>3</v>
      </c>
      <c r="C64" s="10" t="s">
        <v>3208</v>
      </c>
      <c r="D64" s="10">
        <v>1</v>
      </c>
      <c r="E64" s="10">
        <v>1</v>
      </c>
      <c r="F64" s="10" t="s">
        <v>687</v>
      </c>
      <c r="G64" s="10" t="s">
        <v>696</v>
      </c>
      <c r="H64" s="10" t="str" cm="1">
        <f t="array" aca="1" ref="H64" ca="1">IF(INDEX(I64:Z64,$H$1)=0,"",INDEX(I64:Z64,$H$1))</f>
        <v>Calculations - Combustion</v>
      </c>
      <c r="I64" s="10" t="s">
        <v>1282</v>
      </c>
      <c r="J64" s="10"/>
      <c r="K64" s="27"/>
    </row>
    <row r="65" spans="1:15" x14ac:dyDescent="0.35">
      <c r="A65" s="2" t="s">
        <v>3208</v>
      </c>
      <c r="B65" s="255">
        <v>3</v>
      </c>
      <c r="C65" s="10" t="s">
        <v>3208</v>
      </c>
      <c r="D65" s="10">
        <v>1</v>
      </c>
      <c r="E65" s="10">
        <v>1</v>
      </c>
      <c r="F65" s="10" t="s">
        <v>687</v>
      </c>
      <c r="G65" s="10" t="s">
        <v>696</v>
      </c>
      <c r="H65" s="10" t="str" cm="1">
        <f t="array" aca="1" ref="H65" ca="1">IF(INDEX(I65:Z65,$H$1)=0,"",INDEX(I65:Z65,$H$1))</f>
        <v>Checks</v>
      </c>
      <c r="I65" s="10" t="s">
        <v>2797</v>
      </c>
      <c r="J65" s="10"/>
      <c r="K65" s="27"/>
    </row>
    <row r="66" spans="1:15" x14ac:dyDescent="0.35">
      <c r="A66" s="2" t="s">
        <v>3208</v>
      </c>
      <c r="B66" s="255">
        <v>3</v>
      </c>
      <c r="C66" s="10" t="s">
        <v>3208</v>
      </c>
      <c r="D66" s="10">
        <v>1</v>
      </c>
      <c r="E66" s="10">
        <v>1</v>
      </c>
      <c r="F66" s="10" t="s">
        <v>687</v>
      </c>
      <c r="G66" s="10" t="s">
        <v>696</v>
      </c>
      <c r="H66" s="10" t="str" cm="1">
        <f t="array" aca="1" ref="H66" ca="1">IF(INDEX(I66:Z66,$H$1)=0,"",INDEX(I66:Z66,$H$1))</f>
        <v>Active</v>
      </c>
      <c r="I66" s="10" t="s">
        <v>684</v>
      </c>
      <c r="J66" s="10"/>
      <c r="K66" s="27"/>
    </row>
    <row r="67" spans="1:15" x14ac:dyDescent="0.35">
      <c r="A67" s="2" t="s">
        <v>3208</v>
      </c>
      <c r="B67" s="255">
        <v>3</v>
      </c>
      <c r="C67" s="10" t="s">
        <v>3208</v>
      </c>
      <c r="D67" s="10">
        <v>1</v>
      </c>
      <c r="E67" s="10">
        <v>1</v>
      </c>
      <c r="F67" s="10" t="s">
        <v>687</v>
      </c>
      <c r="G67" s="10" t="s">
        <v>696</v>
      </c>
      <c r="H67" s="10" t="str" cm="1">
        <f t="array" aca="1" ref="H67" ca="1">IF(INDEX(I67:Z67,$H$1)=0,"",INDEX(I67:Z67,$H$1))</f>
        <v>EF Result</v>
      </c>
      <c r="I67" s="10" t="s">
        <v>2798</v>
      </c>
      <c r="J67" s="10"/>
      <c r="K67" s="27"/>
    </row>
    <row r="68" spans="1:15" x14ac:dyDescent="0.35">
      <c r="A68" s="2" t="s">
        <v>3208</v>
      </c>
      <c r="B68" s="255">
        <v>3</v>
      </c>
      <c r="C68" s="10" t="s">
        <v>3208</v>
      </c>
      <c r="D68" s="10">
        <v>1</v>
      </c>
      <c r="E68" s="10">
        <v>1</v>
      </c>
      <c r="F68" s="10" t="s">
        <v>687</v>
      </c>
      <c r="G68" s="10" t="s">
        <v>696</v>
      </c>
      <c r="H68" s="10" t="str" cm="1">
        <f t="array" aca="1" ref="H68" ca="1">IF(INDEX(I68:Z68,$H$1)=0,"",INDEX(I68:Z68,$H$1))</f>
        <v>Reported or Measured Activity</v>
      </c>
      <c r="I68" s="10" t="s">
        <v>3263</v>
      </c>
      <c r="J68" s="10"/>
      <c r="K68" s="27"/>
    </row>
    <row r="69" spans="1:15" x14ac:dyDescent="0.35">
      <c r="A69" s="2" t="s">
        <v>3208</v>
      </c>
      <c r="B69" s="255">
        <v>3</v>
      </c>
      <c r="C69" s="10" t="s">
        <v>3208</v>
      </c>
      <c r="D69" s="10">
        <v>1</v>
      </c>
      <c r="E69" s="10">
        <v>1</v>
      </c>
      <c r="F69" s="10" t="s">
        <v>687</v>
      </c>
      <c r="G69" s="10" t="s">
        <v>696</v>
      </c>
      <c r="H69" s="10" t="str" cm="1">
        <f t="array" aca="1" ref="H69" ca="1">IF(INDEX(I69:Z69,$H$1)=0,"",INDEX(I69:Z69,$H$1))</f>
        <v>Error Messages</v>
      </c>
      <c r="I69" s="10" t="s">
        <v>326</v>
      </c>
      <c r="J69" s="10"/>
      <c r="K69" s="27"/>
    </row>
    <row r="70" spans="1:15" x14ac:dyDescent="0.35">
      <c r="A70" s="2" t="s">
        <v>3208</v>
      </c>
      <c r="B70" s="255">
        <v>3</v>
      </c>
      <c r="C70" s="10" t="s">
        <v>3208</v>
      </c>
      <c r="D70" s="10">
        <v>1</v>
      </c>
      <c r="E70" s="10">
        <v>1</v>
      </c>
      <c r="F70" s="10" t="s">
        <v>687</v>
      </c>
      <c r="G70" s="10" t="s">
        <v>696</v>
      </c>
      <c r="H70" s="10" t="str" cm="1">
        <f t="array" aca="1" ref="H70" ca="1">IF(INDEX(I70:Z70,$H$1)=0,"",INDEX(I70:Z70,$H$1))</f>
        <v>Not Implemented at this time.</v>
      </c>
      <c r="I70" s="10" t="s">
        <v>3202</v>
      </c>
      <c r="J70" s="10"/>
      <c r="K70" s="27"/>
    </row>
    <row r="71" spans="1:15" x14ac:dyDescent="0.35">
      <c r="A71" s="2" t="s">
        <v>3208</v>
      </c>
      <c r="B71" s="255">
        <v>3</v>
      </c>
      <c r="C71" s="10" t="s">
        <v>3208</v>
      </c>
      <c r="D71" s="10">
        <v>1</v>
      </c>
      <c r="E71" s="10">
        <v>1</v>
      </c>
      <c r="F71" s="10" t="s">
        <v>687</v>
      </c>
      <c r="G71" s="10" t="s">
        <v>696</v>
      </c>
      <c r="H71" s="10" t="str" cm="1">
        <f t="array" aca="1" ref="H71" ca="1">IF(INDEX(I71:Z71,$H$1)=0,"",INDEX(I71:Z71,$H$1))</f>
        <v>Calculations - Fugitives</v>
      </c>
      <c r="I71" s="10" t="s">
        <v>1283</v>
      </c>
      <c r="J71" s="10"/>
      <c r="K71" s="27"/>
    </row>
    <row r="72" spans="1:15" x14ac:dyDescent="0.35">
      <c r="A72" s="2" t="s">
        <v>3208</v>
      </c>
      <c r="B72" s="255">
        <v>3</v>
      </c>
      <c r="C72" s="10" t="s">
        <v>3208</v>
      </c>
      <c r="D72" s="10">
        <v>1</v>
      </c>
      <c r="E72" s="10">
        <v>1</v>
      </c>
      <c r="F72" s="10" t="s">
        <v>687</v>
      </c>
      <c r="G72" s="10" t="s">
        <v>696</v>
      </c>
      <c r="H72" s="10" t="str" cm="1">
        <f t="array" aca="1" ref="H72" ca="1">IF(INDEX(I72:Z72,$H$1)=0,"",INDEX(I72:Z72,$H$1))</f>
        <v>Correlation rather than EF applied where applicable.</v>
      </c>
      <c r="I72" s="10" t="s">
        <v>3209</v>
      </c>
      <c r="J72" s="10"/>
      <c r="K72" s="27"/>
    </row>
    <row r="73" spans="1:15" x14ac:dyDescent="0.35">
      <c r="A73" s="2" t="s">
        <v>3208</v>
      </c>
      <c r="B73" s="255">
        <v>3</v>
      </c>
      <c r="C73" s="10" t="s">
        <v>3208</v>
      </c>
      <c r="D73" s="10">
        <v>1</v>
      </c>
      <c r="E73" s="10">
        <v>1</v>
      </c>
      <c r="F73" s="10" t="s">
        <v>687</v>
      </c>
      <c r="G73" s="10" t="s">
        <v>696</v>
      </c>
      <c r="H73" s="10" t="str" cm="1">
        <f t="array" aca="1" ref="H73" ca="1">IF(INDEX(I73:Z73,$H$1)=0,"",INDEX(I73:Z73,$H$1))</f>
        <v>No EF, so not implemented.</v>
      </c>
      <c r="I73" s="10" t="s">
        <v>3203</v>
      </c>
      <c r="J73" s="10"/>
      <c r="K73" s="27"/>
    </row>
    <row r="74" spans="1:15" x14ac:dyDescent="0.35">
      <c r="A74" s="2" t="s">
        <v>3208</v>
      </c>
      <c r="B74" s="255">
        <v>3</v>
      </c>
      <c r="C74" s="10" t="s">
        <v>3208</v>
      </c>
      <c r="D74" s="10">
        <v>1</v>
      </c>
      <c r="E74" s="10">
        <v>1</v>
      </c>
      <c r="F74" s="10" t="s">
        <v>687</v>
      </c>
      <c r="G74" s="10" t="s">
        <v>696</v>
      </c>
      <c r="H74" s="10" t="str" cm="1">
        <f t="array" aca="1" ref="H74" ca="1">IF(INDEX(I74:Z74,$H$1)=0,"",INDEX(I74:Z74,$H$1))</f>
        <v>Measured results.</v>
      </c>
      <c r="I74" s="10" t="s">
        <v>3205</v>
      </c>
      <c r="J74" s="10"/>
      <c r="K74" s="27"/>
    </row>
    <row r="75" spans="1:15" x14ac:dyDescent="0.35">
      <c r="A75" s="10" t="s">
        <v>2586</v>
      </c>
      <c r="B75" s="255">
        <v>4</v>
      </c>
      <c r="C75" s="10" t="s">
        <v>1328</v>
      </c>
      <c r="D75" s="10">
        <v>1</v>
      </c>
      <c r="E75" s="10">
        <v>1</v>
      </c>
      <c r="F75" s="10" t="s">
        <v>687</v>
      </c>
      <c r="G75" s="10" t="s">
        <v>688</v>
      </c>
      <c r="H75" s="10" t="str" cm="1">
        <f t="array" aca="1" ref="H75" ca="1">IF(INDEX(I75:Z75,$H$1)=0,"",INDEX(I75:Z75,$H$1))</f>
        <v>Facility Definition</v>
      </c>
      <c r="I75" s="10" t="s">
        <v>381</v>
      </c>
      <c r="J75" s="27" t="s">
        <v>1295</v>
      </c>
      <c r="K75" s="27" t="s">
        <v>1379</v>
      </c>
      <c r="L75" s="20"/>
      <c r="M75" s="20"/>
      <c r="N75" s="20"/>
      <c r="O75" s="20"/>
    </row>
    <row r="76" spans="1:15" x14ac:dyDescent="0.35">
      <c r="A76" s="10" t="s">
        <v>2586</v>
      </c>
      <c r="B76" s="255">
        <v>4</v>
      </c>
      <c r="C76" s="10" t="s">
        <v>1328</v>
      </c>
      <c r="D76" s="10">
        <v>1</v>
      </c>
      <c r="E76" s="10">
        <v>2</v>
      </c>
      <c r="F76" s="10" t="s">
        <v>687</v>
      </c>
      <c r="G76" s="10" t="s">
        <v>695</v>
      </c>
      <c r="H76" s="10" t="str" cm="1">
        <f t="array" aca="1" ref="H76" ca="1">IF(INDEX(I76:Z76,$H$1)=0,"",INDEX(I76:Z76,$H$1))</f>
        <v>Facility Identification No.</v>
      </c>
      <c r="I76" s="10" t="s">
        <v>538</v>
      </c>
      <c r="J76" s="10" t="s">
        <v>1294</v>
      </c>
      <c r="K76" s="10" t="s">
        <v>1380</v>
      </c>
      <c r="L76" s="15"/>
      <c r="M76" s="15"/>
      <c r="N76" s="15"/>
      <c r="O76" s="15"/>
    </row>
    <row r="77" spans="1:15" x14ac:dyDescent="0.35">
      <c r="A77" s="10" t="s">
        <v>2586</v>
      </c>
      <c r="B77" s="255">
        <v>4</v>
      </c>
      <c r="C77" s="10" t="s">
        <v>1328</v>
      </c>
      <c r="D77" s="10">
        <v>1</v>
      </c>
      <c r="E77" s="10">
        <v>3</v>
      </c>
      <c r="F77" s="10" t="s">
        <v>687</v>
      </c>
      <c r="G77" s="10" t="s">
        <v>695</v>
      </c>
      <c r="H77" s="10" t="str" cm="1">
        <f t="array" aca="1" ref="H77" ca="1">IF(INDEX(I77:Z77,$H$1)=0,"",INDEX(I77:Z77,$H$1))</f>
        <v>Company Name:</v>
      </c>
      <c r="I77" s="10" t="s">
        <v>537</v>
      </c>
      <c r="J77" s="10" t="s">
        <v>1293</v>
      </c>
      <c r="K77" s="10" t="s">
        <v>1381</v>
      </c>
      <c r="L77" s="15"/>
      <c r="M77" s="15"/>
      <c r="N77" s="15"/>
      <c r="O77" s="15"/>
    </row>
    <row r="78" spans="1:15" x14ac:dyDescent="0.35">
      <c r="A78" s="10" t="s">
        <v>2586</v>
      </c>
      <c r="B78" s="255">
        <v>4</v>
      </c>
      <c r="C78" s="10" t="s">
        <v>1328</v>
      </c>
      <c r="D78" s="10">
        <v>1</v>
      </c>
      <c r="E78" s="10">
        <v>4</v>
      </c>
      <c r="F78" s="10" t="s">
        <v>687</v>
      </c>
      <c r="G78" s="10" t="s">
        <v>695</v>
      </c>
      <c r="H78" s="10" t="str" cm="1">
        <f t="array" aca="1" ref="H78" ca="1">IF(INDEX(I78:Z78,$H$1)=0,"",INDEX(I78:Z78,$H$1))</f>
        <v>Facility Name:</v>
      </c>
      <c r="I78" s="10" t="s">
        <v>535</v>
      </c>
      <c r="J78" s="10" t="s">
        <v>1292</v>
      </c>
      <c r="K78" s="10" t="s">
        <v>1382</v>
      </c>
      <c r="L78" s="15"/>
      <c r="M78" s="15"/>
      <c r="N78" s="15"/>
      <c r="O78" s="15"/>
    </row>
    <row r="79" spans="1:15" x14ac:dyDescent="0.35">
      <c r="A79" s="10" t="s">
        <v>2586</v>
      </c>
      <c r="B79" s="255">
        <v>4</v>
      </c>
      <c r="C79" s="10" t="s">
        <v>1328</v>
      </c>
      <c r="D79" s="10">
        <v>1</v>
      </c>
      <c r="E79" s="10">
        <v>5</v>
      </c>
      <c r="F79" s="10" t="s">
        <v>687</v>
      </c>
      <c r="G79" s="10" t="s">
        <v>695</v>
      </c>
      <c r="H79" s="10" t="str" cm="1">
        <f t="array" aca="1" ref="H79" ca="1">IF(INDEX(I79:Z79,$H$1)=0,"",INDEX(I79:Z79,$H$1))</f>
        <v>Location:</v>
      </c>
      <c r="I79" s="10" t="s">
        <v>539</v>
      </c>
      <c r="J79" s="10" t="s">
        <v>1291</v>
      </c>
      <c r="K79" s="10" t="s">
        <v>1383</v>
      </c>
      <c r="L79" s="15"/>
      <c r="M79" s="15"/>
      <c r="N79" s="15"/>
      <c r="O79" s="15"/>
    </row>
    <row r="80" spans="1:15" x14ac:dyDescent="0.35">
      <c r="A80" s="10" t="s">
        <v>2586</v>
      </c>
      <c r="B80" s="255">
        <v>4</v>
      </c>
      <c r="C80" s="10" t="s">
        <v>1328</v>
      </c>
      <c r="D80" s="10">
        <v>1</v>
      </c>
      <c r="E80" s="10">
        <v>6</v>
      </c>
      <c r="F80" s="10" t="s">
        <v>687</v>
      </c>
      <c r="G80" s="10" t="s">
        <v>695</v>
      </c>
      <c r="H80" s="10" t="str" cm="1">
        <f t="array" aca="1" ref="H80" ca="1">IF(INDEX(I80:Z80,$H$1)=0,"",INDEX(I80:Z80,$H$1))</f>
        <v>Reference Year:</v>
      </c>
      <c r="I80" s="10" t="s">
        <v>589</v>
      </c>
      <c r="J80" s="10" t="s">
        <v>1274</v>
      </c>
      <c r="K80" s="10" t="s">
        <v>1384</v>
      </c>
      <c r="L80" s="15"/>
      <c r="M80" s="15"/>
      <c r="N80" s="15"/>
      <c r="O80" s="15"/>
    </row>
    <row r="81" spans="1:15" x14ac:dyDescent="0.35">
      <c r="A81" s="10" t="s">
        <v>2586</v>
      </c>
      <c r="B81" s="255">
        <v>4</v>
      </c>
      <c r="C81" s="10" t="s">
        <v>1328</v>
      </c>
      <c r="D81" s="10">
        <v>1</v>
      </c>
      <c r="E81" s="10">
        <v>7</v>
      </c>
      <c r="F81" s="10" t="s">
        <v>687</v>
      </c>
      <c r="G81" s="10" t="s">
        <v>695</v>
      </c>
      <c r="H81" s="10" t="str" cm="1">
        <f t="array" aca="1" ref="H81" ca="1">IF(INDEX(I81:Z81,$H$1)=0,"",INDEX(I81:Z81,$H$1))</f>
        <v>Industry Segment</v>
      </c>
      <c r="I81" s="10" t="s">
        <v>30</v>
      </c>
      <c r="J81" s="10" t="s">
        <v>1289</v>
      </c>
      <c r="K81" s="10" t="s">
        <v>1385</v>
      </c>
      <c r="L81" s="15"/>
      <c r="M81" s="15"/>
      <c r="N81" s="15"/>
      <c r="O81" s="15"/>
    </row>
    <row r="82" spans="1:15" x14ac:dyDescent="0.35">
      <c r="A82" s="10" t="s">
        <v>2586</v>
      </c>
      <c r="B82" s="255">
        <v>4</v>
      </c>
      <c r="C82" s="10" t="s">
        <v>1328</v>
      </c>
      <c r="D82" s="10">
        <v>1</v>
      </c>
      <c r="E82" s="10">
        <v>8</v>
      </c>
      <c r="F82" s="10" t="s">
        <v>687</v>
      </c>
      <c r="G82" s="10" t="s">
        <v>695</v>
      </c>
      <c r="H82" s="10" t="str" cm="1">
        <f t="array" aca="1" ref="H82" ca="1">IF(INDEX(I82:Z82,$H$1)=0,"",INDEX(I82:Z82,$H$1))</f>
        <v>Facility Type</v>
      </c>
      <c r="I82" s="10" t="s">
        <v>231</v>
      </c>
      <c r="J82" s="10" t="s">
        <v>1290</v>
      </c>
      <c r="K82" s="27" t="s">
        <v>1386</v>
      </c>
      <c r="L82" s="20"/>
      <c r="M82" s="20"/>
      <c r="N82" s="20"/>
      <c r="O82" s="20"/>
    </row>
    <row r="83" spans="1:15" x14ac:dyDescent="0.35">
      <c r="A83" s="10" t="s">
        <v>2586</v>
      </c>
      <c r="B83" s="255">
        <v>4</v>
      </c>
      <c r="C83" s="10" t="s">
        <v>536</v>
      </c>
      <c r="D83" s="10">
        <v>2</v>
      </c>
      <c r="E83" s="10">
        <v>10</v>
      </c>
      <c r="F83" s="10" t="s">
        <v>687</v>
      </c>
      <c r="G83" s="10" t="s">
        <v>688</v>
      </c>
      <c r="H83" s="10" t="str" cm="1">
        <f t="array" aca="1" ref="H83" ca="1">IF(INDEX(I83:Z83,$H$1)=0,"",INDEX(I83:Z83,$H$1))</f>
        <v>Facility: Total Estimated Emissions</v>
      </c>
      <c r="I83" s="10" t="s">
        <v>536</v>
      </c>
      <c r="J83" s="10" t="s">
        <v>699</v>
      </c>
      <c r="K83" s="27" t="s">
        <v>1387</v>
      </c>
    </row>
    <row r="84" spans="1:15" x14ac:dyDescent="0.35">
      <c r="A84" s="10" t="s">
        <v>2586</v>
      </c>
      <c r="B84" s="255">
        <v>4</v>
      </c>
      <c r="C84" s="10" t="s">
        <v>536</v>
      </c>
      <c r="D84" s="10">
        <v>2</v>
      </c>
      <c r="E84" s="10">
        <v>11</v>
      </c>
      <c r="F84" s="10" t="s">
        <v>687</v>
      </c>
      <c r="G84" s="10" t="s">
        <v>696</v>
      </c>
      <c r="H84" s="10" t="str" cm="1">
        <f t="array" aca="1" ref="H84" ca="1">IF(INDEX(I84:Z84,$H$1)=0,"",INDEX(I84:Z84,$H$1))</f>
        <v>Emission Results (Facility Level) – Summary by Source Category and Pollutant Type</v>
      </c>
      <c r="I84" s="10" t="s">
        <v>2579</v>
      </c>
      <c r="J84" s="10"/>
      <c r="K84" s="27"/>
    </row>
    <row r="85" spans="1:15" x14ac:dyDescent="0.35">
      <c r="A85" s="10" t="s">
        <v>2586</v>
      </c>
      <c r="B85" s="255">
        <v>4</v>
      </c>
      <c r="C85" s="10" t="s">
        <v>536</v>
      </c>
      <c r="D85" s="10">
        <v>2</v>
      </c>
      <c r="E85" s="10">
        <v>11</v>
      </c>
      <c r="F85" s="10" t="s">
        <v>687</v>
      </c>
      <c r="G85" s="10" t="s">
        <v>696</v>
      </c>
      <c r="H85" s="10" t="str" cm="1">
        <f t="array" aca="1" ref="H85" ca="1">IF(INDEX(I85:Z85,$H$1)=0,"",INDEX(I85:Z85,$H$1))</f>
        <v>Calculations - Combustion</v>
      </c>
      <c r="I85" s="10" t="s">
        <v>1282</v>
      </c>
      <c r="J85" s="10"/>
      <c r="K85" s="27"/>
    </row>
    <row r="86" spans="1:15" x14ac:dyDescent="0.35">
      <c r="A86" s="10" t="s">
        <v>2586</v>
      </c>
      <c r="B86" s="255">
        <v>4</v>
      </c>
      <c r="C86" s="10" t="s">
        <v>536</v>
      </c>
      <c r="D86" s="10">
        <v>2</v>
      </c>
      <c r="E86" s="10">
        <v>11</v>
      </c>
      <c r="F86" s="10" t="s">
        <v>687</v>
      </c>
      <c r="G86" s="10" t="s">
        <v>696</v>
      </c>
      <c r="H86" s="10" t="str" cm="1">
        <f t="array" aca="1" ref="H86" ca="1">IF(INDEX(I86:Z86,$H$1)=0,"",INDEX(I86:Z86,$H$1))</f>
        <v>Primary Source Category</v>
      </c>
      <c r="I86" s="10" t="s">
        <v>255</v>
      </c>
      <c r="J86" s="10" t="s">
        <v>700</v>
      </c>
      <c r="K86" s="27" t="s">
        <v>1388</v>
      </c>
    </row>
    <row r="87" spans="1:15" x14ac:dyDescent="0.35">
      <c r="A87" s="10" t="s">
        <v>2586</v>
      </c>
      <c r="B87" s="255">
        <v>4</v>
      </c>
      <c r="C87" s="10" t="s">
        <v>536</v>
      </c>
      <c r="D87" s="10">
        <v>2</v>
      </c>
      <c r="E87" s="10">
        <v>11</v>
      </c>
      <c r="F87" s="10" t="s">
        <v>690</v>
      </c>
      <c r="G87" s="10" t="s">
        <v>696</v>
      </c>
      <c r="H87" s="10" t="str" cm="1">
        <f t="array" aca="1" ref="H87" ca="1">IF(INDEX(I87:Z87,$H$1)=0,"",INDEX(I87:Z87,$H$1))</f>
        <v>Accounting</v>
      </c>
      <c r="I87" s="10" t="s">
        <v>256</v>
      </c>
      <c r="J87" s="10" t="s">
        <v>701</v>
      </c>
      <c r="K87" s="27" t="s">
        <v>1389</v>
      </c>
    </row>
    <row r="88" spans="1:15" x14ac:dyDescent="0.35">
      <c r="A88" s="10" t="s">
        <v>2586</v>
      </c>
      <c r="B88" s="255">
        <v>4</v>
      </c>
      <c r="C88" s="10" t="s">
        <v>536</v>
      </c>
      <c r="D88" s="10">
        <v>2</v>
      </c>
      <c r="E88" s="10">
        <v>11</v>
      </c>
      <c r="F88" s="10" t="s">
        <v>38</v>
      </c>
      <c r="G88" s="10" t="s">
        <v>696</v>
      </c>
      <c r="H88" s="10" t="str" cm="1">
        <f t="array" aca="1" ref="H88" ca="1">IF(INDEX(I88:Z88,$H$1)=0,"",INDEX(I88:Z88,$H$1))</f>
        <v>CH4</v>
      </c>
      <c r="I88" s="10" t="s">
        <v>60</v>
      </c>
      <c r="J88" s="10" t="s">
        <v>60</v>
      </c>
      <c r="K88" s="10" t="s">
        <v>60</v>
      </c>
    </row>
    <row r="89" spans="1:15" x14ac:dyDescent="0.35">
      <c r="A89" s="10" t="s">
        <v>2586</v>
      </c>
      <c r="B89" s="255">
        <v>4</v>
      </c>
      <c r="C89" s="10" t="s">
        <v>536</v>
      </c>
      <c r="D89" s="10">
        <v>2</v>
      </c>
      <c r="E89" s="10">
        <v>11</v>
      </c>
      <c r="F89" s="10" t="s">
        <v>692</v>
      </c>
      <c r="G89" s="10" t="s">
        <v>696</v>
      </c>
      <c r="H89" s="10" t="str" cm="1">
        <f t="array" aca="1" ref="H89" ca="1">IF(INDEX(I89:Z89,$H$1)=0,"",INDEX(I89:Z89,$H$1))</f>
        <v>CO2</v>
      </c>
      <c r="I89" s="10" t="s">
        <v>65</v>
      </c>
      <c r="J89" s="10" t="s">
        <v>65</v>
      </c>
      <c r="K89" s="10" t="s">
        <v>65</v>
      </c>
    </row>
    <row r="90" spans="1:15" x14ac:dyDescent="0.35">
      <c r="A90" s="10" t="s">
        <v>2586</v>
      </c>
      <c r="B90" s="255">
        <v>4</v>
      </c>
      <c r="C90" s="10" t="s">
        <v>536</v>
      </c>
      <c r="D90" s="10">
        <v>2</v>
      </c>
      <c r="E90" s="10">
        <v>11</v>
      </c>
      <c r="F90" s="10" t="s">
        <v>693</v>
      </c>
      <c r="G90" s="10" t="s">
        <v>696</v>
      </c>
      <c r="H90" s="10" t="str" cm="1">
        <f t="array" aca="1" ref="H90" ca="1">IF(INDEX(I90:Z90,$H$1)=0,"",INDEX(I90:Z90,$H$1))</f>
        <v>N2O</v>
      </c>
      <c r="I90" s="10" t="s">
        <v>582</v>
      </c>
      <c r="J90" s="10" t="s">
        <v>582</v>
      </c>
      <c r="K90" s="10" t="s">
        <v>582</v>
      </c>
    </row>
    <row r="91" spans="1:15" x14ac:dyDescent="0.35">
      <c r="A91" s="10" t="s">
        <v>2586</v>
      </c>
      <c r="B91" s="255">
        <v>4</v>
      </c>
      <c r="C91" s="10" t="s">
        <v>536</v>
      </c>
      <c r="D91" s="10">
        <v>2</v>
      </c>
      <c r="E91" s="10">
        <v>11</v>
      </c>
      <c r="F91" s="10" t="s">
        <v>694</v>
      </c>
      <c r="G91" s="10" t="s">
        <v>696</v>
      </c>
      <c r="H91" s="10" t="str" cm="1">
        <f t="array" aca="1" ref="H91" ca="1">IF(INDEX(I91:Z91,$H$1)=0,"",INDEX(I91:Z91,$H$1))</f>
        <v>CO2E</v>
      </c>
      <c r="I91" s="10" t="s">
        <v>691</v>
      </c>
      <c r="J91" s="10" t="s">
        <v>691</v>
      </c>
      <c r="K91" s="10" t="s">
        <v>691</v>
      </c>
    </row>
    <row r="92" spans="1:15" x14ac:dyDescent="0.35">
      <c r="A92" s="10" t="s">
        <v>2586</v>
      </c>
      <c r="B92" s="255">
        <v>4</v>
      </c>
      <c r="C92" s="10" t="s">
        <v>536</v>
      </c>
      <c r="D92" s="10">
        <v>2</v>
      </c>
      <c r="E92" s="10">
        <v>11</v>
      </c>
      <c r="F92" s="10" t="s">
        <v>694</v>
      </c>
      <c r="G92" s="10" t="s">
        <v>696</v>
      </c>
      <c r="H92" s="10" t="str" cm="1">
        <f t="array" aca="1" ref="H92" ca="1">IF(INDEX(I92:Z92,$H$1)=0,"",INDEX(I92:Z92,$H$1))</f>
        <v>NOx</v>
      </c>
      <c r="I92" s="10" t="s">
        <v>2587</v>
      </c>
      <c r="J92" s="10" t="s">
        <v>2587</v>
      </c>
      <c r="K92" s="10" t="s">
        <v>2587</v>
      </c>
    </row>
    <row r="93" spans="1:15" x14ac:dyDescent="0.35">
      <c r="A93" s="10" t="s">
        <v>2586</v>
      </c>
      <c r="B93" s="255">
        <v>4</v>
      </c>
      <c r="C93" s="10" t="s">
        <v>536</v>
      </c>
      <c r="D93" s="10">
        <v>2</v>
      </c>
      <c r="E93" s="10">
        <v>11</v>
      </c>
      <c r="F93" s="10" t="s">
        <v>694</v>
      </c>
      <c r="G93" s="10" t="s">
        <v>696</v>
      </c>
      <c r="H93" s="10" t="str" cm="1">
        <f t="array" aca="1" ref="H93" ca="1">IF(INDEX(I93:Z93,$H$1)=0,"",INDEX(I93:Z93,$H$1))</f>
        <v>CO</v>
      </c>
      <c r="I93" s="10" t="s">
        <v>2588</v>
      </c>
      <c r="J93" s="10" t="s">
        <v>2588</v>
      </c>
      <c r="K93" s="10" t="s">
        <v>2588</v>
      </c>
    </row>
    <row r="94" spans="1:15" x14ac:dyDescent="0.35">
      <c r="A94" s="10" t="s">
        <v>2586</v>
      </c>
      <c r="B94" s="255">
        <v>4</v>
      </c>
      <c r="C94" s="10" t="s">
        <v>536</v>
      </c>
      <c r="D94" s="10">
        <v>2</v>
      </c>
      <c r="E94" s="10">
        <v>11</v>
      </c>
      <c r="F94" s="10" t="s">
        <v>694</v>
      </c>
      <c r="G94" s="10" t="s">
        <v>696</v>
      </c>
      <c r="H94" s="10" t="str" cm="1">
        <f t="array" aca="1" ref="H94" ca="1">IF(INDEX(I94:Z94,$H$1)=0,"",INDEX(I94:Z94,$H$1))</f>
        <v>NMVOC</v>
      </c>
      <c r="I94" s="10" t="s">
        <v>2589</v>
      </c>
      <c r="J94" s="10" t="s">
        <v>2589</v>
      </c>
      <c r="K94" s="10" t="s">
        <v>2589</v>
      </c>
    </row>
    <row r="95" spans="1:15" x14ac:dyDescent="0.35">
      <c r="A95" s="10" t="s">
        <v>2586</v>
      </c>
      <c r="B95" s="255">
        <v>4</v>
      </c>
      <c r="C95" s="10" t="s">
        <v>536</v>
      </c>
      <c r="D95" s="10">
        <v>2</v>
      </c>
      <c r="E95" s="10">
        <v>11</v>
      </c>
      <c r="F95" s="10" t="s">
        <v>694</v>
      </c>
      <c r="G95" s="10" t="s">
        <v>696</v>
      </c>
      <c r="H95" s="10" t="str" cm="1">
        <f t="array" aca="1" ref="H95" ca="1">IF(INDEX(I95:Z95,$H$1)=0,"",INDEX(I95:Z95,$H$1))</f>
        <v>SO2</v>
      </c>
      <c r="I95" s="10" t="s">
        <v>2590</v>
      </c>
      <c r="J95" s="10" t="s">
        <v>2590</v>
      </c>
      <c r="K95" s="10" t="s">
        <v>2590</v>
      </c>
    </row>
    <row r="96" spans="1:15" x14ac:dyDescent="0.35">
      <c r="A96" s="10" t="s">
        <v>2586</v>
      </c>
      <c r="B96" s="255">
        <v>4</v>
      </c>
      <c r="C96" s="10" t="s">
        <v>536</v>
      </c>
      <c r="D96" s="10">
        <v>2</v>
      </c>
      <c r="E96" s="10">
        <v>12</v>
      </c>
      <c r="F96" s="10" t="s">
        <v>38</v>
      </c>
      <c r="G96" s="10" t="s">
        <v>696</v>
      </c>
      <c r="H96" s="10" t="str" cm="1">
        <f t="array" aca="1" ref="H96" ca="1">IF(INDEX(I96:Z96,$H$1)=0,"",INDEX(I96:Z96,$H$1))</f>
        <v>(tonnes)</v>
      </c>
      <c r="I96" s="10" t="s">
        <v>557</v>
      </c>
      <c r="J96" s="10" t="s">
        <v>1162</v>
      </c>
      <c r="K96" s="27" t="s">
        <v>1390</v>
      </c>
    </row>
    <row r="97" spans="1:11" x14ac:dyDescent="0.35">
      <c r="A97" s="10" t="s">
        <v>2586</v>
      </c>
      <c r="B97" s="255">
        <v>4</v>
      </c>
      <c r="C97" s="10" t="s">
        <v>536</v>
      </c>
      <c r="D97" s="10">
        <v>2</v>
      </c>
      <c r="E97" s="10">
        <v>12</v>
      </c>
      <c r="F97" s="10" t="s">
        <v>692</v>
      </c>
      <c r="G97" s="10" t="s">
        <v>696</v>
      </c>
      <c r="H97" s="10" t="str" cm="1">
        <f t="array" aca="1" ref="H97" ca="1">IF(INDEX(I97:Z97,$H$1)=0,"",INDEX(I97:Z97,$H$1))</f>
        <v>(tonnes)</v>
      </c>
      <c r="I97" s="10" t="s">
        <v>557</v>
      </c>
      <c r="J97" s="10" t="s">
        <v>1162</v>
      </c>
      <c r="K97" s="27" t="s">
        <v>1390</v>
      </c>
    </row>
    <row r="98" spans="1:11" x14ac:dyDescent="0.35">
      <c r="A98" s="10" t="s">
        <v>2586</v>
      </c>
      <c r="B98" s="255">
        <v>4</v>
      </c>
      <c r="C98" s="10" t="s">
        <v>536</v>
      </c>
      <c r="D98" s="10">
        <v>2</v>
      </c>
      <c r="E98" s="10">
        <v>12</v>
      </c>
      <c r="F98" s="10" t="s">
        <v>693</v>
      </c>
      <c r="G98" s="10" t="s">
        <v>696</v>
      </c>
      <c r="H98" s="10" t="str" cm="1">
        <f t="array" aca="1" ref="H98" ca="1">IF(INDEX(I98:Z98,$H$1)=0,"",INDEX(I98:Z98,$H$1))</f>
        <v>(tonnes)</v>
      </c>
      <c r="I98" s="10" t="s">
        <v>557</v>
      </c>
      <c r="J98" s="10" t="s">
        <v>1162</v>
      </c>
      <c r="K98" s="27" t="s">
        <v>1390</v>
      </c>
    </row>
    <row r="99" spans="1:11" x14ac:dyDescent="0.35">
      <c r="A99" s="10" t="s">
        <v>2586</v>
      </c>
      <c r="B99" s="255">
        <v>4</v>
      </c>
      <c r="C99" s="10" t="s">
        <v>536</v>
      </c>
      <c r="D99" s="10">
        <v>2</v>
      </c>
      <c r="E99" s="10">
        <v>12</v>
      </c>
      <c r="F99" s="10" t="s">
        <v>694</v>
      </c>
      <c r="G99" s="10" t="s">
        <v>696</v>
      </c>
      <c r="H99" s="10" t="str" cm="1">
        <f t="array" aca="1" ref="H99" ca="1">IF(INDEX(I99:Z99,$H$1)=0,"",INDEX(I99:Z99,$H$1))</f>
        <v>(tonnes)</v>
      </c>
      <c r="I99" s="10" t="s">
        <v>557</v>
      </c>
      <c r="J99" s="10" t="s">
        <v>1162</v>
      </c>
      <c r="K99" s="27" t="s">
        <v>1390</v>
      </c>
    </row>
    <row r="100" spans="1:11" x14ac:dyDescent="0.35">
      <c r="A100" s="10" t="s">
        <v>2586</v>
      </c>
      <c r="B100" s="255">
        <v>4</v>
      </c>
      <c r="C100" s="10" t="s">
        <v>536</v>
      </c>
      <c r="D100" s="10">
        <v>2</v>
      </c>
      <c r="E100" s="10">
        <v>12</v>
      </c>
      <c r="F100" s="10" t="s">
        <v>694</v>
      </c>
      <c r="G100" s="10" t="s">
        <v>696</v>
      </c>
      <c r="H100" s="10" t="str" cm="1">
        <f t="array" aca="1" ref="H100" ca="1">IF(INDEX(I100:Z100,$H$1)=0,"",INDEX(I100:Z100,$H$1))</f>
        <v>Emissions Mitigation Technologies</v>
      </c>
      <c r="I100" s="10" t="s">
        <v>2607</v>
      </c>
      <c r="J100" s="10" t="s">
        <v>2652</v>
      </c>
      <c r="K100" s="27" t="s">
        <v>2653</v>
      </c>
    </row>
    <row r="101" spans="1:11" x14ac:dyDescent="0.35">
      <c r="A101" s="10" t="s">
        <v>2586</v>
      </c>
      <c r="B101" s="255">
        <v>4</v>
      </c>
      <c r="C101" s="10" t="s">
        <v>536</v>
      </c>
      <c r="D101" s="10">
        <v>2</v>
      </c>
      <c r="E101" s="10">
        <v>13</v>
      </c>
      <c r="F101" s="10" t="s">
        <v>687</v>
      </c>
      <c r="G101" s="10" t="s">
        <v>695</v>
      </c>
      <c r="H101" s="10" t="str" cm="1">
        <f t="array" aca="1" ref="H101" ca="1">IF(INDEX(I101:Z101,$H$1)=0,"",INDEX(I101:Z101,$H$1))</f>
        <v>Fuel Combustion:</v>
      </c>
      <c r="I101" s="10" t="s">
        <v>610</v>
      </c>
      <c r="J101" s="10" t="s">
        <v>703</v>
      </c>
      <c r="K101" s="27" t="s">
        <v>1391</v>
      </c>
    </row>
    <row r="102" spans="1:11" x14ac:dyDescent="0.35">
      <c r="A102" s="10" t="s">
        <v>2586</v>
      </c>
      <c r="B102" s="255">
        <v>4</v>
      </c>
      <c r="C102" s="10" t="s">
        <v>536</v>
      </c>
      <c r="D102" s="10">
        <v>2</v>
      </c>
      <c r="E102" s="10">
        <v>14</v>
      </c>
      <c r="F102" s="10" t="s">
        <v>690</v>
      </c>
      <c r="G102" s="10" t="s">
        <v>695</v>
      </c>
      <c r="H102" s="10" t="str" cm="1">
        <f t="array" aca="1" ref="H102" ca="1">IF(INDEX(I102:Z102,$H$1)=0,"",INDEX(I102:Z102,$H$1))</f>
        <v>Included</v>
      </c>
      <c r="I102" s="2" t="s">
        <v>254</v>
      </c>
      <c r="J102" s="2" t="s">
        <v>1098</v>
      </c>
      <c r="K102" s="27" t="s">
        <v>1392</v>
      </c>
    </row>
    <row r="103" spans="1:11" x14ac:dyDescent="0.35">
      <c r="A103" s="10" t="s">
        <v>2586</v>
      </c>
      <c r="B103" s="255">
        <v>4</v>
      </c>
      <c r="C103" s="10" t="s">
        <v>536</v>
      </c>
      <c r="D103" s="10">
        <v>2</v>
      </c>
      <c r="E103" s="10">
        <v>15</v>
      </c>
      <c r="F103" s="10" t="s">
        <v>690</v>
      </c>
      <c r="G103" s="10" t="s">
        <v>695</v>
      </c>
      <c r="H103" s="10" t="str" cm="1">
        <f t="array" aca="1" ref="H103" ca="1">IF(INDEX(I103:Z103,$H$1)=0,"",INDEX(I103:Z103,$H$1))</f>
        <v>Included</v>
      </c>
      <c r="I103" s="2" t="s">
        <v>254</v>
      </c>
      <c r="J103" s="2" t="s">
        <v>1098</v>
      </c>
      <c r="K103" s="27" t="s">
        <v>1392</v>
      </c>
    </row>
    <row r="104" spans="1:11" x14ac:dyDescent="0.35">
      <c r="A104" s="10" t="s">
        <v>2586</v>
      </c>
      <c r="B104" s="255">
        <v>4</v>
      </c>
      <c r="C104" s="10" t="s">
        <v>536</v>
      </c>
      <c r="D104" s="10">
        <v>2</v>
      </c>
      <c r="E104" s="10">
        <v>16</v>
      </c>
      <c r="F104" s="10" t="s">
        <v>690</v>
      </c>
      <c r="G104" s="10" t="s">
        <v>695</v>
      </c>
      <c r="H104" s="10" t="str" cm="1">
        <f t="array" aca="1" ref="H104" ca="1">IF(INDEX(I104:Z104,$H$1)=0,"",INDEX(I104:Z104,$H$1))</f>
        <v>Included</v>
      </c>
      <c r="I104" s="2" t="s">
        <v>254</v>
      </c>
      <c r="J104" s="2" t="s">
        <v>1098</v>
      </c>
      <c r="K104" s="27" t="s">
        <v>1392</v>
      </c>
    </row>
    <row r="105" spans="1:11" x14ac:dyDescent="0.35">
      <c r="A105" s="10" t="s">
        <v>2586</v>
      </c>
      <c r="B105" s="255">
        <v>4</v>
      </c>
      <c r="C105" s="10" t="s">
        <v>536</v>
      </c>
      <c r="D105" s="10">
        <v>2</v>
      </c>
      <c r="E105" s="10">
        <v>17</v>
      </c>
      <c r="F105" s="10" t="s">
        <v>690</v>
      </c>
      <c r="G105" s="10" t="s">
        <v>695</v>
      </c>
      <c r="H105" s="10" t="str" cm="1">
        <f t="array" aca="1" ref="H105" ca="1">IF(INDEX(I105:Z105,$H$1)=0,"",INDEX(I105:Z105,$H$1))</f>
        <v>Included</v>
      </c>
      <c r="I105" s="2" t="s">
        <v>254</v>
      </c>
      <c r="J105" s="2" t="s">
        <v>1098</v>
      </c>
      <c r="K105" s="27" t="s">
        <v>1392</v>
      </c>
    </row>
    <row r="106" spans="1:11" x14ac:dyDescent="0.35">
      <c r="A106" s="10" t="s">
        <v>2586</v>
      </c>
      <c r="B106" s="255">
        <v>4</v>
      </c>
      <c r="C106" s="10" t="s">
        <v>536</v>
      </c>
      <c r="D106" s="10">
        <v>2</v>
      </c>
      <c r="E106" s="10">
        <v>18</v>
      </c>
      <c r="F106" s="10" t="s">
        <v>690</v>
      </c>
      <c r="G106" s="10" t="s">
        <v>695</v>
      </c>
      <c r="H106" s="10" t="str" cm="1">
        <f t="array" aca="1" ref="H106" ca="1">IF(INDEX(I106:Z106,$H$1)=0,"",INDEX(I106:Z106,$H$1))</f>
        <v>Included</v>
      </c>
      <c r="I106" s="2" t="s">
        <v>254</v>
      </c>
      <c r="J106" s="2" t="s">
        <v>1098</v>
      </c>
      <c r="K106" s="27" t="s">
        <v>1392</v>
      </c>
    </row>
    <row r="107" spans="1:11" x14ac:dyDescent="0.35">
      <c r="A107" s="10" t="s">
        <v>2586</v>
      </c>
      <c r="B107" s="255">
        <v>4</v>
      </c>
      <c r="C107" s="10" t="s">
        <v>536</v>
      </c>
      <c r="D107" s="10">
        <v>2</v>
      </c>
      <c r="E107" s="10">
        <v>19</v>
      </c>
      <c r="F107" s="10" t="s">
        <v>690</v>
      </c>
      <c r="G107" s="10" t="s">
        <v>695</v>
      </c>
      <c r="H107" s="10" t="str" cm="1">
        <f t="array" aca="1" ref="H107" ca="1">IF(INDEX(I107:Z107,$H$1)=0,"",INDEX(I107:Z107,$H$1))</f>
        <v>Includes Contributions from Leakers and Non-Leakers</v>
      </c>
      <c r="I107" s="2" t="s">
        <v>2270</v>
      </c>
      <c r="J107" s="2" t="s">
        <v>2354</v>
      </c>
      <c r="K107" s="27" t="s">
        <v>2353</v>
      </c>
    </row>
    <row r="108" spans="1:11" x14ac:dyDescent="0.35">
      <c r="A108" s="10" t="s">
        <v>2586</v>
      </c>
      <c r="B108" s="255">
        <v>4</v>
      </c>
      <c r="C108" s="10" t="s">
        <v>536</v>
      </c>
      <c r="D108" s="10">
        <v>2</v>
      </c>
      <c r="E108" s="10">
        <v>20</v>
      </c>
      <c r="F108" s="10" t="s">
        <v>690</v>
      </c>
      <c r="G108" s="10" t="s">
        <v>695</v>
      </c>
      <c r="H108" s="10" t="str" cm="1">
        <f t="array" aca="1" ref="H108" ca="1">IF(INDEX(I108:Z108,$H$1)=0,"",INDEX(I108:Z108,$H$1))</f>
        <v>Included</v>
      </c>
      <c r="I108" s="2" t="s">
        <v>254</v>
      </c>
      <c r="J108" s="2" t="s">
        <v>1098</v>
      </c>
      <c r="K108" s="27" t="s">
        <v>1392</v>
      </c>
    </row>
    <row r="109" spans="1:11" x14ac:dyDescent="0.35">
      <c r="A109" s="10" t="s">
        <v>2586</v>
      </c>
      <c r="B109" s="255">
        <v>4</v>
      </c>
      <c r="C109" s="10" t="s">
        <v>536</v>
      </c>
      <c r="D109" s="10">
        <v>2</v>
      </c>
      <c r="E109" s="10">
        <v>20</v>
      </c>
      <c r="F109" s="10" t="s">
        <v>690</v>
      </c>
      <c r="G109" s="10" t="s">
        <v>695</v>
      </c>
      <c r="H109" s="10" t="str" cm="1">
        <f t="array" aca="1" ref="H109" ca="1">IF(INDEX(I109:Z109,$H$1)=0,"",INDEX(I109:Z109,$H$1))</f>
        <v>Included</v>
      </c>
      <c r="I109" s="2" t="s">
        <v>254</v>
      </c>
      <c r="J109" s="2" t="s">
        <v>1098</v>
      </c>
      <c r="K109" s="27" t="s">
        <v>1392</v>
      </c>
    </row>
    <row r="110" spans="1:11" x14ac:dyDescent="0.35">
      <c r="A110" s="10" t="s">
        <v>2586</v>
      </c>
      <c r="B110" s="255">
        <v>4</v>
      </c>
      <c r="C110" s="10" t="s">
        <v>536</v>
      </c>
      <c r="D110" s="10">
        <v>2</v>
      </c>
      <c r="E110" s="10">
        <v>22</v>
      </c>
      <c r="F110" s="10" t="s">
        <v>690</v>
      </c>
      <c r="G110" s="10" t="s">
        <v>695</v>
      </c>
      <c r="H110" s="10" t="str" cm="1">
        <f t="array" aca="1" ref="H110" ca="1">IF(INDEX(I110:Z110,$H$1)=0,"",INDEX(I110:Z110,$H$1))</f>
        <v>Not Included</v>
      </c>
      <c r="I110" s="2" t="s">
        <v>373</v>
      </c>
      <c r="J110" s="2" t="s">
        <v>1099</v>
      </c>
      <c r="K110" s="27" t="s">
        <v>1393</v>
      </c>
    </row>
    <row r="111" spans="1:11" x14ac:dyDescent="0.35">
      <c r="A111" s="10" t="s">
        <v>2586</v>
      </c>
      <c r="B111" s="255">
        <v>4</v>
      </c>
      <c r="C111" s="10" t="s">
        <v>536</v>
      </c>
      <c r="D111" s="10">
        <v>2</v>
      </c>
      <c r="E111" s="10">
        <v>23</v>
      </c>
      <c r="F111" s="10" t="s">
        <v>690</v>
      </c>
      <c r="G111" s="10" t="s">
        <v>695</v>
      </c>
      <c r="H111" s="10" t="str" cm="1">
        <f t="array" aca="1" ref="H111" ca="1">IF(INDEX(I111:Z111,$H$1)=0,"",INDEX(I111:Z111,$H$1))</f>
        <v>Not Included</v>
      </c>
      <c r="I111" s="2" t="s">
        <v>373</v>
      </c>
      <c r="J111" s="2" t="s">
        <v>1099</v>
      </c>
      <c r="K111" s="27" t="s">
        <v>1393</v>
      </c>
    </row>
    <row r="112" spans="1:11" x14ac:dyDescent="0.35">
      <c r="A112" s="10" t="s">
        <v>2586</v>
      </c>
      <c r="B112" s="255">
        <v>4</v>
      </c>
      <c r="C112" s="10" t="s">
        <v>536</v>
      </c>
      <c r="D112" s="10">
        <v>2</v>
      </c>
      <c r="E112" s="10">
        <v>25</v>
      </c>
      <c r="F112" s="10" t="s">
        <v>690</v>
      </c>
      <c r="G112" s="10" t="s">
        <v>695</v>
      </c>
      <c r="H112" s="10" t="str" cm="1">
        <f t="array" aca="1" ref="H112" ca="1">IF(INDEX(I112:Z112,$H$1)=0,"",INDEX(I112:Z112,$H$1))</f>
        <v>Included</v>
      </c>
      <c r="I112" s="2" t="s">
        <v>254</v>
      </c>
      <c r="J112" s="2" t="s">
        <v>1098</v>
      </c>
      <c r="K112" s="27" t="s">
        <v>1392</v>
      </c>
    </row>
    <row r="113" spans="1:11" x14ac:dyDescent="0.35">
      <c r="A113" s="10" t="s">
        <v>2586</v>
      </c>
      <c r="B113" s="255">
        <v>4</v>
      </c>
      <c r="C113" s="10" t="s">
        <v>536</v>
      </c>
      <c r="D113" s="10">
        <v>2</v>
      </c>
      <c r="E113" s="10">
        <v>26</v>
      </c>
      <c r="F113" s="10" t="s">
        <v>690</v>
      </c>
      <c r="G113" s="10" t="s">
        <v>695</v>
      </c>
      <c r="H113" s="10" t="str" cm="1">
        <f t="array" aca="1" ref="H113" ca="1">IF(INDEX(I113:Z113,$H$1)=0,"",INDEX(I113:Z113,$H$1))</f>
        <v>Included</v>
      </c>
      <c r="I113" s="2" t="s">
        <v>254</v>
      </c>
      <c r="J113" s="2" t="s">
        <v>1098</v>
      </c>
      <c r="K113" s="27" t="s">
        <v>1392</v>
      </c>
    </row>
    <row r="114" spans="1:11" x14ac:dyDescent="0.35">
      <c r="A114" s="10" t="s">
        <v>2586</v>
      </c>
      <c r="B114" s="255">
        <v>4</v>
      </c>
      <c r="C114" s="10" t="s">
        <v>536</v>
      </c>
      <c r="D114" s="10">
        <v>2</v>
      </c>
      <c r="E114" s="10">
        <v>27</v>
      </c>
      <c r="F114" s="10" t="s">
        <v>690</v>
      </c>
      <c r="G114" s="10" t="s">
        <v>695</v>
      </c>
      <c r="H114" s="10" t="str" cm="1">
        <f t="array" aca="1" ref="H114" ca="1">IF(INDEX(I114:Z114,$H$1)=0,"",INDEX(I114:Z114,$H$1))</f>
        <v>Included</v>
      </c>
      <c r="I114" s="2" t="s">
        <v>254</v>
      </c>
      <c r="J114" s="2" t="s">
        <v>1098</v>
      </c>
      <c r="K114" s="27" t="s">
        <v>1392</v>
      </c>
    </row>
    <row r="115" spans="1:11" x14ac:dyDescent="0.35">
      <c r="A115" s="10" t="s">
        <v>2586</v>
      </c>
      <c r="B115" s="255">
        <v>4</v>
      </c>
      <c r="C115" s="10" t="s">
        <v>536</v>
      </c>
      <c r="D115" s="10">
        <v>2</v>
      </c>
      <c r="E115" s="10">
        <v>29</v>
      </c>
      <c r="F115" s="10" t="s">
        <v>690</v>
      </c>
      <c r="G115" s="10" t="s">
        <v>695</v>
      </c>
      <c r="H115" s="10" t="str" cm="1">
        <f t="array" aca="1" ref="H115" ca="1">IF(INDEX(I115:Z115,$H$1)=0,"",INDEX(I115:Z115,$H$1))</f>
        <v>Included</v>
      </c>
      <c r="I115" s="2" t="s">
        <v>254</v>
      </c>
      <c r="J115" s="2" t="s">
        <v>1098</v>
      </c>
      <c r="K115" s="27" t="s">
        <v>1392</v>
      </c>
    </row>
    <row r="116" spans="1:11" x14ac:dyDescent="0.35">
      <c r="A116" s="10" t="s">
        <v>2586</v>
      </c>
      <c r="B116" s="255">
        <v>4</v>
      </c>
      <c r="C116" s="10" t="s">
        <v>536</v>
      </c>
      <c r="D116" s="10">
        <v>2</v>
      </c>
      <c r="E116" s="10">
        <v>30</v>
      </c>
      <c r="F116" s="10" t="s">
        <v>690</v>
      </c>
      <c r="G116" s="10" t="s">
        <v>695</v>
      </c>
      <c r="H116" s="10" t="str" cm="1">
        <f t="array" aca="1" ref="H116" ca="1">IF(INDEX(I116:Z116,$H$1)=0,"",INDEX(I116:Z116,$H$1))</f>
        <v>Included</v>
      </c>
      <c r="I116" s="2" t="s">
        <v>254</v>
      </c>
      <c r="J116" s="2" t="s">
        <v>1098</v>
      </c>
      <c r="K116" s="27" t="s">
        <v>1392</v>
      </c>
    </row>
    <row r="117" spans="1:11" x14ac:dyDescent="0.35">
      <c r="A117" s="10" t="s">
        <v>2586</v>
      </c>
      <c r="B117" s="255">
        <v>4</v>
      </c>
      <c r="C117" s="10" t="s">
        <v>536</v>
      </c>
      <c r="D117" s="10">
        <v>2</v>
      </c>
      <c r="E117" s="10">
        <v>31</v>
      </c>
      <c r="F117" s="10" t="s">
        <v>690</v>
      </c>
      <c r="G117" s="10" t="s">
        <v>695</v>
      </c>
      <c r="H117" s="10" t="str" cm="1">
        <f t="array" aca="1" ref="H117" ca="1">IF(INDEX(I117:Z117,$H$1)=0,"",INDEX(I117:Z117,$H$1))</f>
        <v>Included</v>
      </c>
      <c r="I117" s="2" t="s">
        <v>254</v>
      </c>
      <c r="J117" s="2" t="s">
        <v>1098</v>
      </c>
      <c r="K117" s="27" t="s">
        <v>1392</v>
      </c>
    </row>
    <row r="118" spans="1:11" x14ac:dyDescent="0.35">
      <c r="A118" s="10" t="s">
        <v>2586</v>
      </c>
      <c r="B118" s="255">
        <v>4</v>
      </c>
      <c r="C118" s="10" t="s">
        <v>536</v>
      </c>
      <c r="D118" s="10">
        <v>2</v>
      </c>
      <c r="E118" s="10">
        <v>33</v>
      </c>
      <c r="F118" s="10" t="s">
        <v>690</v>
      </c>
      <c r="G118" s="10" t="s">
        <v>695</v>
      </c>
      <c r="H118" s="10" t="str" cm="1">
        <f t="array" aca="1" ref="H118" ca="1">IF(INDEX(I118:Z118,$H$1)=0,"",INDEX(I118:Z118,$H$1))</f>
        <v>Included</v>
      </c>
      <c r="I118" s="2" t="s">
        <v>254</v>
      </c>
      <c r="J118" s="2" t="s">
        <v>1098</v>
      </c>
      <c r="K118" s="27" t="s">
        <v>1392</v>
      </c>
    </row>
    <row r="119" spans="1:11" x14ac:dyDescent="0.35">
      <c r="A119" s="10" t="s">
        <v>2586</v>
      </c>
      <c r="B119" s="255">
        <v>4</v>
      </c>
      <c r="C119" s="10" t="s">
        <v>536</v>
      </c>
      <c r="D119" s="10">
        <v>2</v>
      </c>
      <c r="E119" s="10">
        <v>34</v>
      </c>
      <c r="F119" s="10" t="s">
        <v>690</v>
      </c>
      <c r="G119" s="10" t="s">
        <v>695</v>
      </c>
      <c r="H119" s="10" t="str" cm="1">
        <f t="array" aca="1" ref="H119" ca="1">IF(INDEX(I119:Z119,$H$1)=0,"",INDEX(I119:Z119,$H$1))</f>
        <v>Included</v>
      </c>
      <c r="I119" s="2" t="s">
        <v>254</v>
      </c>
      <c r="J119" s="2" t="s">
        <v>1098</v>
      </c>
      <c r="K119" s="27" t="s">
        <v>1392</v>
      </c>
    </row>
    <row r="120" spans="1:11" x14ac:dyDescent="0.35">
      <c r="A120" s="10" t="s">
        <v>2586</v>
      </c>
      <c r="B120" s="255">
        <v>4</v>
      </c>
      <c r="C120" s="10" t="s">
        <v>536</v>
      </c>
      <c r="D120" s="10">
        <v>2</v>
      </c>
      <c r="E120" s="10">
        <v>35</v>
      </c>
      <c r="F120" s="10" t="s">
        <v>690</v>
      </c>
      <c r="G120" s="10" t="s">
        <v>695</v>
      </c>
      <c r="H120" s="10" t="str" cm="1">
        <f t="array" aca="1" ref="H120" ca="1">IF(INDEX(I120:Z120,$H$1)=0,"",INDEX(I120:Z120,$H$1))</f>
        <v>Not Included</v>
      </c>
      <c r="I120" s="2" t="s">
        <v>373</v>
      </c>
      <c r="J120" s="2" t="s">
        <v>1099</v>
      </c>
      <c r="K120" s="27" t="s">
        <v>1393</v>
      </c>
    </row>
    <row r="121" spans="1:11" x14ac:dyDescent="0.35">
      <c r="A121" s="10" t="s">
        <v>2586</v>
      </c>
      <c r="B121" s="255">
        <v>4</v>
      </c>
      <c r="C121" s="10" t="s">
        <v>536</v>
      </c>
      <c r="D121" s="10">
        <v>2</v>
      </c>
      <c r="E121" s="10">
        <v>36</v>
      </c>
      <c r="F121" s="10" t="s">
        <v>690</v>
      </c>
      <c r="G121" s="10" t="s">
        <v>695</v>
      </c>
      <c r="H121" s="10" t="str" cm="1">
        <f t="array" aca="1" ref="H121" ca="1">IF(INDEX(I121:Z121,$H$1)=0,"",INDEX(I121:Z121,$H$1))</f>
        <v>Included</v>
      </c>
      <c r="I121" s="2" t="s">
        <v>254</v>
      </c>
      <c r="J121" s="2" t="s">
        <v>1098</v>
      </c>
      <c r="K121" s="27" t="s">
        <v>1392</v>
      </c>
    </row>
    <row r="122" spans="1:11" x14ac:dyDescent="0.35">
      <c r="A122" s="10" t="s">
        <v>2586</v>
      </c>
      <c r="B122" s="255">
        <v>4</v>
      </c>
      <c r="C122" s="10" t="s">
        <v>536</v>
      </c>
      <c r="D122" s="10">
        <v>2</v>
      </c>
      <c r="E122" s="10">
        <v>38</v>
      </c>
      <c r="F122" s="10" t="s">
        <v>690</v>
      </c>
      <c r="G122" s="10" t="s">
        <v>695</v>
      </c>
      <c r="H122" s="10" t="str" cm="1">
        <f t="array" aca="1" ref="H122" ca="1">IF(INDEX(I122:Z122,$H$1)=0,"",INDEX(I122:Z122,$H$1))</f>
        <v>Included</v>
      </c>
      <c r="I122" s="2" t="s">
        <v>254</v>
      </c>
      <c r="J122" s="2" t="s">
        <v>1098</v>
      </c>
      <c r="K122" s="27" t="s">
        <v>1392</v>
      </c>
    </row>
    <row r="123" spans="1:11" x14ac:dyDescent="0.35">
      <c r="A123" s="10" t="s">
        <v>2586</v>
      </c>
      <c r="B123" s="255">
        <v>4</v>
      </c>
      <c r="C123" s="10" t="s">
        <v>536</v>
      </c>
      <c r="D123" s="10">
        <v>2</v>
      </c>
      <c r="E123" s="10">
        <v>14</v>
      </c>
      <c r="F123" s="10" t="s">
        <v>687</v>
      </c>
      <c r="G123" s="10" t="s">
        <v>695</v>
      </c>
      <c r="H123" s="10" t="str" cm="1">
        <f t="array" aca="1" ref="H123" ca="1">IF(INDEX(I123:Z123,$H$1)=0,"",INDEX(I123:Z123,$H$1))</f>
        <v xml:space="preserve">    - Solid Fuels</v>
      </c>
      <c r="I123" s="10" t="s">
        <v>611</v>
      </c>
      <c r="J123" s="10" t="s">
        <v>1197</v>
      </c>
      <c r="K123" s="10" t="s">
        <v>1394</v>
      </c>
    </row>
    <row r="124" spans="1:11" x14ac:dyDescent="0.35">
      <c r="A124" s="10" t="s">
        <v>2586</v>
      </c>
      <c r="B124" s="255">
        <v>4</v>
      </c>
      <c r="C124" s="10" t="s">
        <v>536</v>
      </c>
      <c r="D124" s="10">
        <v>2</v>
      </c>
      <c r="E124" s="10">
        <v>15</v>
      </c>
      <c r="F124" s="10" t="s">
        <v>687</v>
      </c>
      <c r="G124" s="10" t="s">
        <v>695</v>
      </c>
      <c r="H124" s="10" t="str" cm="1">
        <f t="array" aca="1" ref="H124" ca="1">IF(INDEX(I124:Z124,$H$1)=0,"",INDEX(I124:Z124,$H$1))</f>
        <v xml:space="preserve">    - Liquid Fuels</v>
      </c>
      <c r="I124" s="10" t="s">
        <v>612</v>
      </c>
      <c r="J124" s="10" t="s">
        <v>1196</v>
      </c>
      <c r="K124" s="10" t="s">
        <v>1395</v>
      </c>
    </row>
    <row r="125" spans="1:11" x14ac:dyDescent="0.35">
      <c r="A125" s="10" t="s">
        <v>2586</v>
      </c>
      <c r="B125" s="255">
        <v>4</v>
      </c>
      <c r="C125" s="10" t="s">
        <v>536</v>
      </c>
      <c r="D125" s="10">
        <v>2</v>
      </c>
      <c r="E125" s="10">
        <v>16</v>
      </c>
      <c r="F125" s="10" t="s">
        <v>687</v>
      </c>
      <c r="G125" s="10" t="s">
        <v>695</v>
      </c>
      <c r="H125" s="10" t="str" cm="1">
        <f t="array" aca="1" ref="H125" ca="1">IF(INDEX(I125:Z125,$H$1)=0,"",INDEX(I125:Z125,$H$1))</f>
        <v xml:space="preserve">    - Gaseous Fuels</v>
      </c>
      <c r="I125" s="10" t="s">
        <v>613</v>
      </c>
      <c r="J125" s="10" t="s">
        <v>1195</v>
      </c>
      <c r="K125" s="10" t="s">
        <v>1396</v>
      </c>
    </row>
    <row r="126" spans="1:11" x14ac:dyDescent="0.35">
      <c r="A126" s="10" t="s">
        <v>2586</v>
      </c>
      <c r="B126" s="255">
        <v>4</v>
      </c>
      <c r="C126" s="10" t="s">
        <v>536</v>
      </c>
      <c r="D126" s="10">
        <v>2</v>
      </c>
      <c r="E126" s="10">
        <v>17</v>
      </c>
      <c r="F126" s="10" t="s">
        <v>687</v>
      </c>
      <c r="G126" s="10" t="s">
        <v>695</v>
      </c>
      <c r="H126" s="10" t="str" cm="1">
        <f t="array" aca="1" ref="H126" ca="1">IF(INDEX(I126:Z126,$H$1)=0,"",INDEX(I126:Z126,$H$1))</f>
        <v xml:space="preserve">    - Turbine Engines</v>
      </c>
      <c r="I126" s="10" t="s">
        <v>2345</v>
      </c>
      <c r="J126" s="10" t="s">
        <v>2349</v>
      </c>
      <c r="K126" s="10" t="s">
        <v>2350</v>
      </c>
    </row>
    <row r="127" spans="1:11" x14ac:dyDescent="0.35">
      <c r="A127" s="10" t="s">
        <v>2586</v>
      </c>
      <c r="B127" s="255">
        <v>4</v>
      </c>
      <c r="C127" s="10" t="s">
        <v>536</v>
      </c>
      <c r="D127" s="10">
        <v>2</v>
      </c>
      <c r="E127" s="10">
        <v>18</v>
      </c>
      <c r="F127" s="10" t="s">
        <v>687</v>
      </c>
      <c r="G127" s="10" t="s">
        <v>695</v>
      </c>
      <c r="H127" s="10" t="str" cm="1">
        <f t="array" aca="1" ref="H127" ca="1">IF(INDEX(I127:Z127,$H$1)=0,"",INDEX(I127:Z127,$H$1))</f>
        <v xml:space="preserve">    - Reciprocating Engines</v>
      </c>
      <c r="I127" s="10" t="s">
        <v>2355</v>
      </c>
      <c r="J127" s="10" t="s">
        <v>2348</v>
      </c>
      <c r="K127" s="10" t="s">
        <v>2351</v>
      </c>
    </row>
    <row r="128" spans="1:11" x14ac:dyDescent="0.35">
      <c r="A128" s="10" t="s">
        <v>2586</v>
      </c>
      <c r="B128" s="255">
        <v>4</v>
      </c>
      <c r="C128" s="10" t="s">
        <v>536</v>
      </c>
      <c r="D128" s="10">
        <v>2</v>
      </c>
      <c r="E128" s="10">
        <v>19</v>
      </c>
      <c r="F128" s="10" t="s">
        <v>687</v>
      </c>
      <c r="G128" s="10" t="s">
        <v>695</v>
      </c>
      <c r="H128" s="10" t="str" cm="1">
        <f t="array" aca="1" ref="H128" ca="1">IF(INDEX(I128:Z128,$H$1)=0,"",INDEX(I128:Z128,$H$1))</f>
        <v xml:space="preserve">    - Heaters and Boilers</v>
      </c>
      <c r="I128" s="10" t="s">
        <v>2346</v>
      </c>
      <c r="J128" s="10" t="s">
        <v>2347</v>
      </c>
      <c r="K128" s="10" t="s">
        <v>2352</v>
      </c>
    </row>
    <row r="129" spans="1:11" x14ac:dyDescent="0.35">
      <c r="A129" s="10" t="s">
        <v>2586</v>
      </c>
      <c r="B129" s="255">
        <v>4</v>
      </c>
      <c r="C129" s="10" t="s">
        <v>536</v>
      </c>
      <c r="D129" s="10">
        <v>2</v>
      </c>
      <c r="E129" s="10">
        <v>20</v>
      </c>
      <c r="F129" s="10" t="s">
        <v>687</v>
      </c>
      <c r="G129" s="10" t="s">
        <v>695</v>
      </c>
      <c r="H129" s="10" t="str" cm="1">
        <f t="array" aca="1" ref="H129" ca="1">IF(INDEX(I129:Z129,$H$1)=0,"",INDEX(I129:Z129,$H$1))</f>
        <v>Acid Gas Removal</v>
      </c>
      <c r="I129" s="10" t="s">
        <v>614</v>
      </c>
      <c r="J129" s="10" t="s">
        <v>1201</v>
      </c>
      <c r="K129" s="27" t="s">
        <v>1397</v>
      </c>
    </row>
    <row r="130" spans="1:11" x14ac:dyDescent="0.35">
      <c r="A130" s="10" t="s">
        <v>2586</v>
      </c>
      <c r="B130" s="255">
        <v>4</v>
      </c>
      <c r="C130" s="10" t="s">
        <v>536</v>
      </c>
      <c r="D130" s="10">
        <v>2</v>
      </c>
      <c r="E130" s="10">
        <v>21</v>
      </c>
      <c r="F130" s="10" t="s">
        <v>687</v>
      </c>
      <c r="G130" s="10" t="s">
        <v>695</v>
      </c>
      <c r="H130" s="10" t="str" cm="1">
        <f t="array" aca="1" ref="H130" ca="1">IF(INDEX(I130:Z130,$H$1)=0,"",INDEX(I130:Z130,$H$1))</f>
        <v>Flaring  &amp; Venting (Hydrocarbon Gas)</v>
      </c>
      <c r="I130" s="10" t="s">
        <v>635</v>
      </c>
      <c r="J130" s="10" t="s">
        <v>1238</v>
      </c>
      <c r="K130" s="27" t="s">
        <v>1398</v>
      </c>
    </row>
    <row r="131" spans="1:11" x14ac:dyDescent="0.35">
      <c r="A131" s="10" t="s">
        <v>2586</v>
      </c>
      <c r="B131" s="255">
        <v>4</v>
      </c>
      <c r="C131" s="10" t="s">
        <v>536</v>
      </c>
      <c r="D131" s="10">
        <v>2</v>
      </c>
      <c r="E131" s="10">
        <v>22</v>
      </c>
      <c r="F131" s="10" t="s">
        <v>687</v>
      </c>
      <c r="G131" s="10" t="s">
        <v>695</v>
      </c>
      <c r="H131" s="10" t="str" cm="1">
        <f t="array" aca="1" ref="H131" ca="1">IF(INDEX(I131:Z131,$H$1)=0,"",INDEX(I131:Z131,$H$1))</f>
        <v>Fugitive Equipment Leaks</v>
      </c>
      <c r="I131" s="10" t="s">
        <v>3414</v>
      </c>
      <c r="J131" s="10" t="s">
        <v>702</v>
      </c>
      <c r="K131" s="27" t="s">
        <v>1399</v>
      </c>
    </row>
    <row r="132" spans="1:11" x14ac:dyDescent="0.35">
      <c r="A132" s="10" t="s">
        <v>2586</v>
      </c>
      <c r="B132" s="255">
        <v>4</v>
      </c>
      <c r="C132" s="10" t="s">
        <v>536</v>
      </c>
      <c r="D132" s="10">
        <v>2</v>
      </c>
      <c r="E132" s="10">
        <v>22</v>
      </c>
      <c r="F132" s="10" t="s">
        <v>687</v>
      </c>
      <c r="G132" s="10" t="s">
        <v>695</v>
      </c>
      <c r="H132" s="10" t="str" cm="1">
        <f t="array" aca="1" ref="H132" ca="1">IF(INDEX(I132:Z132,$H$1)=0,"",INDEX(I132:Z132,$H$1))</f>
        <v>Compressor Seals</v>
      </c>
      <c r="I132" s="10" t="s">
        <v>158</v>
      </c>
      <c r="J132" s="10" t="s">
        <v>3262</v>
      </c>
      <c r="K132" s="27" t="s">
        <v>1805</v>
      </c>
    </row>
    <row r="133" spans="1:11" x14ac:dyDescent="0.35">
      <c r="A133" s="10" t="s">
        <v>2586</v>
      </c>
      <c r="B133" s="255">
        <v>4</v>
      </c>
      <c r="C133" s="10" t="s">
        <v>536</v>
      </c>
      <c r="D133" s="10">
        <v>2</v>
      </c>
      <c r="E133" s="10">
        <v>23</v>
      </c>
      <c r="F133" s="10" t="s">
        <v>687</v>
      </c>
      <c r="G133" s="10" t="s">
        <v>695</v>
      </c>
      <c r="H133" s="10" t="str" cm="1">
        <f t="array" aca="1" ref="H133" ca="1">IF(INDEX(I133:Z133,$H$1)=0,"",INDEX(I133:Z133,$H$1))</f>
        <v>Wells:</v>
      </c>
      <c r="I133" s="10" t="s">
        <v>369</v>
      </c>
      <c r="J133" s="10" t="s">
        <v>704</v>
      </c>
      <c r="K133" s="27" t="s">
        <v>1400</v>
      </c>
    </row>
    <row r="134" spans="1:11" x14ac:dyDescent="0.35">
      <c r="A134" s="10" t="s">
        <v>2586</v>
      </c>
      <c r="B134" s="255">
        <v>4</v>
      </c>
      <c r="C134" s="10" t="s">
        <v>536</v>
      </c>
      <c r="D134" s="10">
        <v>2</v>
      </c>
      <c r="E134" s="10">
        <v>24</v>
      </c>
      <c r="F134" s="10" t="s">
        <v>687</v>
      </c>
      <c r="G134" s="10" t="s">
        <v>695</v>
      </c>
      <c r="H134" s="10" t="str" cm="1">
        <f t="array" aca="1" ref="H134" ca="1">IF(INDEX(I134:Z134,$H$1)=0,"",INDEX(I134:Z134,$H$1))</f>
        <v xml:space="preserve"> - Casing Vents</v>
      </c>
      <c r="I134" s="10" t="s">
        <v>2700</v>
      </c>
      <c r="J134" s="10" t="s">
        <v>2702</v>
      </c>
      <c r="K134" s="10" t="s">
        <v>2704</v>
      </c>
    </row>
    <row r="135" spans="1:11" x14ac:dyDescent="0.35">
      <c r="A135" s="10" t="s">
        <v>2586</v>
      </c>
      <c r="B135" s="255">
        <v>4</v>
      </c>
      <c r="C135" s="10" t="s">
        <v>536</v>
      </c>
      <c r="D135" s="10">
        <v>2</v>
      </c>
      <c r="E135" s="10">
        <v>25</v>
      </c>
      <c r="F135" s="10" t="s">
        <v>687</v>
      </c>
      <c r="G135" s="10" t="s">
        <v>695</v>
      </c>
      <c r="H135" s="10" t="str" cm="1">
        <f t="array" aca="1" ref="H135" ca="1">IF(INDEX(I135:Z135,$H$1)=0,"",INDEX(I135:Z135,$H$1))</f>
        <v xml:space="preserve"> - Workovers</v>
      </c>
      <c r="I135" s="10" t="s">
        <v>2701</v>
      </c>
      <c r="J135" s="10" t="s">
        <v>2703</v>
      </c>
      <c r="K135" s="10" t="s">
        <v>2705</v>
      </c>
    </row>
    <row r="136" spans="1:11" x14ac:dyDescent="0.35">
      <c r="A136" s="10" t="s">
        <v>2586</v>
      </c>
      <c r="B136" s="255">
        <v>4</v>
      </c>
      <c r="C136" s="10" t="s">
        <v>536</v>
      </c>
      <c r="D136" s="10">
        <v>2</v>
      </c>
      <c r="E136" s="10">
        <v>26</v>
      </c>
      <c r="F136" s="10" t="s">
        <v>687</v>
      </c>
      <c r="G136" s="10" t="s">
        <v>695</v>
      </c>
      <c r="H136" s="10" t="str" cm="1">
        <f t="array" aca="1" ref="H136" ca="1">IF(INDEX(I136:Z136,$H$1)=0,"",INDEX(I136:Z136,$H$1))</f>
        <v>Pneumatic Devices:</v>
      </c>
      <c r="I136" s="10" t="s">
        <v>382</v>
      </c>
      <c r="J136" s="10" t="s">
        <v>705</v>
      </c>
      <c r="K136" s="27" t="s">
        <v>1401</v>
      </c>
    </row>
    <row r="137" spans="1:11" x14ac:dyDescent="0.35">
      <c r="A137" s="10" t="s">
        <v>2586</v>
      </c>
      <c r="B137" s="255">
        <v>4</v>
      </c>
      <c r="C137" s="10" t="s">
        <v>536</v>
      </c>
      <c r="D137" s="10">
        <v>2</v>
      </c>
      <c r="E137" s="10">
        <v>27</v>
      </c>
      <c r="F137" s="10" t="s">
        <v>687</v>
      </c>
      <c r="G137" s="10" t="s">
        <v>695</v>
      </c>
      <c r="H137" s="10" t="str" cm="1">
        <f t="array" aca="1" ref="H137" ca="1">IF(INDEX(I137:Z137,$H$1)=0,"",INDEX(I137:Z137,$H$1))</f>
        <v xml:space="preserve">    - Pneumatic Controllers</v>
      </c>
      <c r="I137" s="10" t="s">
        <v>3415</v>
      </c>
      <c r="J137" s="10" t="s">
        <v>3416</v>
      </c>
      <c r="K137" s="10" t="s">
        <v>3417</v>
      </c>
    </row>
    <row r="138" spans="1:11" x14ac:dyDescent="0.35">
      <c r="A138" s="10" t="s">
        <v>2586</v>
      </c>
      <c r="B138" s="255">
        <v>4</v>
      </c>
      <c r="C138" s="10" t="s">
        <v>536</v>
      </c>
      <c r="D138" s="10">
        <v>2</v>
      </c>
      <c r="E138" s="10">
        <v>28</v>
      </c>
      <c r="F138" s="10" t="s">
        <v>687</v>
      </c>
      <c r="G138" s="10" t="s">
        <v>695</v>
      </c>
      <c r="H138" s="10" t="str" cm="1">
        <f t="array" aca="1" ref="H138" ca="1">IF(INDEX(I138:Z138,$H$1)=0,"",INDEX(I138:Z138,$H$1))</f>
        <v xml:space="preserve">    - Chemical Injection Pumps</v>
      </c>
      <c r="I138" s="10" t="s">
        <v>3418</v>
      </c>
      <c r="J138" s="10" t="s">
        <v>3419</v>
      </c>
      <c r="K138" s="10" t="s">
        <v>3420</v>
      </c>
    </row>
    <row r="139" spans="1:11" x14ac:dyDescent="0.35">
      <c r="A139" s="10" t="s">
        <v>2586</v>
      </c>
      <c r="B139" s="255">
        <v>4</v>
      </c>
      <c r="C139" s="10" t="s">
        <v>536</v>
      </c>
      <c r="D139" s="10">
        <v>2</v>
      </c>
      <c r="E139" s="10">
        <v>29</v>
      </c>
      <c r="F139" s="10" t="s">
        <v>687</v>
      </c>
      <c r="G139" s="10" t="s">
        <v>695</v>
      </c>
      <c r="H139" s="10" t="str" cm="1">
        <f t="array" aca="1" ref="H139" ca="1">IF(INDEX(I139:Z139,$H$1)=0,"",INDEX(I139:Z139,$H$1))</f>
        <v xml:space="preserve">    - Compressor Starts</v>
      </c>
      <c r="I139" s="10" t="s">
        <v>351</v>
      </c>
      <c r="J139" s="10" t="s">
        <v>1192</v>
      </c>
      <c r="K139" s="10" t="s">
        <v>1402</v>
      </c>
    </row>
    <row r="140" spans="1:11" x14ac:dyDescent="0.35">
      <c r="A140" s="10" t="s">
        <v>2586</v>
      </c>
      <c r="B140" s="255">
        <v>4</v>
      </c>
      <c r="C140" s="10" t="s">
        <v>536</v>
      </c>
      <c r="D140" s="10">
        <v>2</v>
      </c>
      <c r="E140" s="10">
        <v>30</v>
      </c>
      <c r="F140" s="10" t="s">
        <v>687</v>
      </c>
      <c r="G140" s="10" t="s">
        <v>695</v>
      </c>
      <c r="H140" s="10" t="str" cm="1">
        <f t="array" aca="1" ref="H140" ca="1">IF(INDEX(I140:Z140,$H$1)=0,"",INDEX(I140:Z140,$H$1))</f>
        <v>Process Venting:</v>
      </c>
      <c r="I140" s="10" t="s">
        <v>354</v>
      </c>
      <c r="J140" s="10" t="s">
        <v>706</v>
      </c>
      <c r="K140" s="27" t="s">
        <v>1403</v>
      </c>
    </row>
    <row r="141" spans="1:11" x14ac:dyDescent="0.35">
      <c r="A141" s="10" t="s">
        <v>2586</v>
      </c>
      <c r="B141" s="255">
        <v>4</v>
      </c>
      <c r="C141" s="10" t="s">
        <v>536</v>
      </c>
      <c r="D141" s="10">
        <v>2</v>
      </c>
      <c r="E141" s="10">
        <v>31</v>
      </c>
      <c r="F141" s="10" t="s">
        <v>687</v>
      </c>
      <c r="G141" s="10" t="s">
        <v>695</v>
      </c>
      <c r="H141" s="10" t="str" cm="1">
        <f t="array" aca="1" ref="H141" ca="1">IF(INDEX(I141:Z141,$H$1)=0,"",INDEX(I141:Z141,$H$1))</f>
        <v xml:space="preserve">    - Dehydrators</v>
      </c>
      <c r="I141" s="10" t="s">
        <v>355</v>
      </c>
      <c r="J141" s="10" t="s">
        <v>1193</v>
      </c>
      <c r="K141" s="10" t="s">
        <v>1404</v>
      </c>
    </row>
    <row r="142" spans="1:11" x14ac:dyDescent="0.35">
      <c r="A142" s="10" t="s">
        <v>2586</v>
      </c>
      <c r="B142" s="255">
        <v>4</v>
      </c>
      <c r="C142" s="10" t="s">
        <v>536</v>
      </c>
      <c r="D142" s="10">
        <v>2</v>
      </c>
      <c r="E142" s="10">
        <v>32</v>
      </c>
      <c r="F142" s="10" t="s">
        <v>687</v>
      </c>
      <c r="G142" s="10" t="s">
        <v>695</v>
      </c>
      <c r="H142" s="10" t="str" cm="1">
        <f t="array" aca="1" ref="H142" ca="1">IF(INDEX(I142:Z142,$H$1)=0,"",INDEX(I142:Z142,$H$1))</f>
        <v xml:space="preserve">    - Sweetening Units</v>
      </c>
      <c r="I142" s="10" t="s">
        <v>356</v>
      </c>
      <c r="J142" s="10" t="s">
        <v>1194</v>
      </c>
      <c r="K142" s="10" t="s">
        <v>1405</v>
      </c>
    </row>
    <row r="143" spans="1:11" x14ac:dyDescent="0.35">
      <c r="A143" s="10" t="s">
        <v>2586</v>
      </c>
      <c r="B143" s="255">
        <v>4</v>
      </c>
      <c r="C143" s="10" t="s">
        <v>536</v>
      </c>
      <c r="D143" s="10">
        <v>2</v>
      </c>
      <c r="E143" s="10">
        <v>33</v>
      </c>
      <c r="F143" s="10" t="s">
        <v>687</v>
      </c>
      <c r="G143" s="10" t="s">
        <v>695</v>
      </c>
      <c r="H143" s="10" t="str" cm="1">
        <f t="array" aca="1" ref="H143" ca="1">IF(INDEX(I143:Z143,$H$1)=0,"",INDEX(I143:Z143,$H$1))</f>
        <v xml:space="preserve">    - Storage Losses</v>
      </c>
      <c r="I143" s="10" t="s">
        <v>3146</v>
      </c>
      <c r="J143" s="14" t="s">
        <v>3147</v>
      </c>
      <c r="K143" s="14" t="s">
        <v>3148</v>
      </c>
    </row>
    <row r="144" spans="1:11" x14ac:dyDescent="0.35">
      <c r="A144" s="10" t="s">
        <v>2586</v>
      </c>
      <c r="B144" s="255">
        <v>4</v>
      </c>
      <c r="C144" s="10" t="s">
        <v>536</v>
      </c>
      <c r="D144" s="10">
        <v>2</v>
      </c>
      <c r="E144" s="10">
        <v>34</v>
      </c>
      <c r="F144" s="10" t="s">
        <v>687</v>
      </c>
      <c r="G144" s="10" t="s">
        <v>695</v>
      </c>
      <c r="H144" s="10" t="str" cm="1">
        <f t="array" aca="1" ref="H144" ca="1">IF(INDEX(I144:Z144,$H$1)=0,"",INDEX(I144:Z144,$H$1))</f>
        <v>Inspection &amp; Maintenance Activities:</v>
      </c>
      <c r="I144" s="10" t="s">
        <v>352</v>
      </c>
      <c r="J144" s="10" t="s">
        <v>707</v>
      </c>
      <c r="K144" s="27" t="s">
        <v>1406</v>
      </c>
    </row>
    <row r="145" spans="1:11" x14ac:dyDescent="0.35">
      <c r="A145" s="10" t="s">
        <v>2586</v>
      </c>
      <c r="B145" s="255">
        <v>4</v>
      </c>
      <c r="C145" s="10" t="s">
        <v>536</v>
      </c>
      <c r="D145" s="10">
        <v>2</v>
      </c>
      <c r="E145" s="10">
        <v>35</v>
      </c>
      <c r="F145" s="10" t="s">
        <v>687</v>
      </c>
      <c r="G145" s="10" t="s">
        <v>695</v>
      </c>
      <c r="H145" s="10" t="str" cm="1">
        <f t="array" aca="1" ref="H145" ca="1">IF(INDEX(I145:Z145,$H$1)=0,"",INDEX(I145:Z145,$H$1))</f>
        <v xml:space="preserve">    - Equipment Depressurization &amp; Purging Events</v>
      </c>
      <c r="I145" s="10" t="s">
        <v>3421</v>
      </c>
      <c r="J145" s="10" t="s">
        <v>3422</v>
      </c>
      <c r="K145" s="10" t="s">
        <v>3423</v>
      </c>
    </row>
    <row r="146" spans="1:11" x14ac:dyDescent="0.35">
      <c r="A146" s="10" t="s">
        <v>2586</v>
      </c>
      <c r="B146" s="255">
        <v>4</v>
      </c>
      <c r="C146" s="10" t="s">
        <v>536</v>
      </c>
      <c r="D146" s="10">
        <v>2</v>
      </c>
      <c r="E146" s="10">
        <v>36</v>
      </c>
      <c r="F146" s="10" t="s">
        <v>687</v>
      </c>
      <c r="G146" s="10" t="s">
        <v>695</v>
      </c>
      <c r="H146" s="10" t="str" cm="1">
        <f t="array" aca="1" ref="H146" ca="1">IF(INDEX(I146:Z146,$H$1)=0,"",INDEX(I146:Z146,$H$1))</f>
        <v>Mishaps:</v>
      </c>
      <c r="I146" s="10" t="s">
        <v>353</v>
      </c>
      <c r="J146" s="10" t="s">
        <v>708</v>
      </c>
      <c r="K146" s="27" t="s">
        <v>1407</v>
      </c>
    </row>
    <row r="147" spans="1:11" x14ac:dyDescent="0.35">
      <c r="A147" s="10" t="s">
        <v>2586</v>
      </c>
      <c r="B147" s="255">
        <v>4</v>
      </c>
      <c r="C147" s="10" t="s">
        <v>536</v>
      </c>
      <c r="D147" s="10">
        <v>2</v>
      </c>
      <c r="E147" s="10">
        <v>37</v>
      </c>
      <c r="F147" s="10" t="s">
        <v>687</v>
      </c>
      <c r="G147" s="10" t="s">
        <v>695</v>
      </c>
      <c r="H147" s="10" t="str" cm="1">
        <f t="array" aca="1" ref="H147" ca="1">IF(INDEX(I147:Z147,$H$1)=0,"",INDEX(I147:Z147,$H$1))</f>
        <v>Recycled and Utilized Emissions:</v>
      </c>
      <c r="I147" s="10" t="s">
        <v>528</v>
      </c>
      <c r="J147" s="10" t="s">
        <v>709</v>
      </c>
      <c r="K147" s="27" t="s">
        <v>1408</v>
      </c>
    </row>
    <row r="148" spans="1:11" x14ac:dyDescent="0.35">
      <c r="A148" s="10" t="s">
        <v>2586</v>
      </c>
      <c r="B148" s="255">
        <v>4</v>
      </c>
      <c r="C148" s="10" t="s">
        <v>536</v>
      </c>
      <c r="D148" s="10">
        <v>2</v>
      </c>
      <c r="E148" s="10">
        <v>38</v>
      </c>
      <c r="F148" s="10" t="s">
        <v>687</v>
      </c>
      <c r="G148" s="10" t="s">
        <v>695</v>
      </c>
      <c r="H148" s="10" t="str" cm="1">
        <f t="array" aca="1" ref="H148" ca="1">IF(INDEX(I148:Z148,$H$1)=0,"",INDEX(I148:Z148,$H$1))</f>
        <v>Indirect Emissions from Power &amp; Heat Purchases:</v>
      </c>
      <c r="I148" s="10" t="s">
        <v>527</v>
      </c>
      <c r="J148" s="10" t="s">
        <v>710</v>
      </c>
      <c r="K148" s="27" t="s">
        <v>1409</v>
      </c>
    </row>
    <row r="149" spans="1:11" x14ac:dyDescent="0.35">
      <c r="A149" s="10" t="s">
        <v>2586</v>
      </c>
      <c r="B149" s="255">
        <v>4</v>
      </c>
      <c r="C149" s="10" t="s">
        <v>536</v>
      </c>
      <c r="D149" s="10">
        <v>2</v>
      </c>
      <c r="E149" s="10">
        <v>38</v>
      </c>
      <c r="F149" s="10" t="s">
        <v>687</v>
      </c>
      <c r="G149" s="10" t="s">
        <v>695</v>
      </c>
      <c r="H149" s="10" t="str" cm="1">
        <f t="array" aca="1" ref="H149" ca="1">IF(INDEX(I149:Z149,$H$1)=0,"",INDEX(I149:Z149,$H$1))</f>
        <v>Other Contributions (Measured):</v>
      </c>
      <c r="I149" s="17" t="s">
        <v>3152</v>
      </c>
      <c r="J149" s="17" t="s">
        <v>3153</v>
      </c>
      <c r="K149" s="27" t="s">
        <v>3154</v>
      </c>
    </row>
    <row r="150" spans="1:11" x14ac:dyDescent="0.35">
      <c r="A150" s="10" t="s">
        <v>2586</v>
      </c>
      <c r="B150" s="255">
        <v>4</v>
      </c>
      <c r="C150" s="10" t="s">
        <v>536</v>
      </c>
      <c r="D150" s="10">
        <v>2</v>
      </c>
      <c r="E150" s="10">
        <v>39</v>
      </c>
      <c r="F150" s="10" t="s">
        <v>687</v>
      </c>
      <c r="G150" s="10" t="s">
        <v>695</v>
      </c>
      <c r="H150" s="10" t="str" cm="1">
        <f t="array" aca="1" ref="H150" ca="1">IF(INDEX(I150:Z150,$H$1)=0,"",INDEX(I150:Z150,$H$1))</f>
        <v>Total</v>
      </c>
      <c r="I150" s="10" t="s">
        <v>257</v>
      </c>
      <c r="J150" s="10" t="s">
        <v>804</v>
      </c>
      <c r="K150" s="27" t="s">
        <v>257</v>
      </c>
    </row>
    <row r="151" spans="1:11" x14ac:dyDescent="0.35">
      <c r="A151" s="10" t="s">
        <v>2586</v>
      </c>
      <c r="B151" s="255">
        <v>4</v>
      </c>
      <c r="C151" s="10" t="s">
        <v>536</v>
      </c>
      <c r="D151" s="10">
        <v>2</v>
      </c>
      <c r="E151" s="10">
        <v>39</v>
      </c>
      <c r="F151" s="10" t="s">
        <v>687</v>
      </c>
      <c r="G151" s="10" t="s">
        <v>695</v>
      </c>
      <c r="H151" s="10" t="str" cm="1">
        <f t="array" aca="1" ref="H151" ca="1">IF(INDEX(I151:Z151,$H$1)=0,"",INDEX(I151:Z151,$H$1))</f>
        <v>Applied Global Warming Potentials (GWPs)</v>
      </c>
      <c r="I151" s="10" t="s">
        <v>2476</v>
      </c>
      <c r="J151" s="10" t="s">
        <v>2655</v>
      </c>
      <c r="K151" s="27" t="s">
        <v>2654</v>
      </c>
    </row>
    <row r="152" spans="1:11" x14ac:dyDescent="0.35">
      <c r="A152" s="10" t="s">
        <v>2750</v>
      </c>
      <c r="B152" s="255">
        <v>5</v>
      </c>
      <c r="C152" s="10" t="s">
        <v>1328</v>
      </c>
      <c r="D152" s="10">
        <v>1</v>
      </c>
      <c r="E152" s="10">
        <v>1</v>
      </c>
      <c r="F152" s="10" t="s">
        <v>690</v>
      </c>
      <c r="G152" s="10" t="s">
        <v>688</v>
      </c>
      <c r="H152" s="10" t="str" cm="1">
        <f t="array" aca="1" ref="H152" ca="1">IF(INDEX(I152:Z152,$H$1)=0,"",INDEX(I152:Z152,$H$1))</f>
        <v>Facility Definition</v>
      </c>
      <c r="I152" s="10" t="s">
        <v>381</v>
      </c>
      <c r="J152" s="11" t="s">
        <v>689</v>
      </c>
      <c r="K152" s="27" t="s">
        <v>1379</v>
      </c>
    </row>
    <row r="153" spans="1:11" x14ac:dyDescent="0.35">
      <c r="A153" s="10" t="s">
        <v>2750</v>
      </c>
      <c r="B153" s="255">
        <v>5</v>
      </c>
      <c r="C153" s="10" t="s">
        <v>1328</v>
      </c>
      <c r="D153" s="10">
        <v>1</v>
      </c>
      <c r="E153" s="10">
        <v>2</v>
      </c>
      <c r="F153" s="10" t="s">
        <v>690</v>
      </c>
      <c r="G153" s="10" t="s">
        <v>696</v>
      </c>
      <c r="H153" s="10" t="str" cm="1">
        <f t="array" aca="1" ref="H153" ca="1">IF(INDEX(I153:Z153,$H$1)=0,"",INDEX(I153:Z153,$H$1))</f>
        <v>Parameter</v>
      </c>
      <c r="I153" s="10" t="s">
        <v>333</v>
      </c>
      <c r="J153" s="10" t="s">
        <v>723</v>
      </c>
      <c r="K153" s="27" t="s">
        <v>1410</v>
      </c>
    </row>
    <row r="154" spans="1:11" x14ac:dyDescent="0.35">
      <c r="A154" s="10" t="s">
        <v>2750</v>
      </c>
      <c r="B154" s="255">
        <v>5</v>
      </c>
      <c r="C154" s="10" t="s">
        <v>1328</v>
      </c>
      <c r="D154" s="10">
        <v>1</v>
      </c>
      <c r="E154" s="10">
        <v>2</v>
      </c>
      <c r="F154" s="10" t="s">
        <v>38</v>
      </c>
      <c r="G154" s="10" t="s">
        <v>696</v>
      </c>
      <c r="H154" s="10" t="str" cm="1">
        <f t="array" aca="1" ref="H154" ca="1">IF(INDEX(I154:Z154,$H$1)=0,"",INDEX(I154:Z154,$H$1))</f>
        <v>Value</v>
      </c>
      <c r="I154" s="10" t="s">
        <v>6</v>
      </c>
      <c r="J154" s="10" t="s">
        <v>725</v>
      </c>
      <c r="K154" s="27" t="s">
        <v>1411</v>
      </c>
    </row>
    <row r="155" spans="1:11" x14ac:dyDescent="0.35">
      <c r="A155" s="10" t="s">
        <v>2750</v>
      </c>
      <c r="B155" s="255">
        <v>5</v>
      </c>
      <c r="C155" s="10" t="s">
        <v>1328</v>
      </c>
      <c r="D155" s="10">
        <v>1</v>
      </c>
      <c r="E155" s="10">
        <v>2</v>
      </c>
      <c r="F155" s="10" t="s">
        <v>692</v>
      </c>
      <c r="G155" s="10" t="s">
        <v>696</v>
      </c>
      <c r="H155" s="10" t="str" cm="1">
        <f t="array" aca="1" ref="H155" ca="1">IF(INDEX(I155:Z155,$H$1)=0,"",INDEX(I155:Z155,$H$1))</f>
        <v>Error Message</v>
      </c>
      <c r="I155" s="10" t="s">
        <v>653</v>
      </c>
      <c r="J155" s="10" t="s">
        <v>745</v>
      </c>
      <c r="K155" s="27" t="s">
        <v>1412</v>
      </c>
    </row>
    <row r="156" spans="1:11" x14ac:dyDescent="0.35">
      <c r="A156" s="10" t="s">
        <v>2750</v>
      </c>
      <c r="B156" s="255">
        <v>5</v>
      </c>
      <c r="C156" s="10" t="s">
        <v>1328</v>
      </c>
      <c r="D156" s="10">
        <v>1</v>
      </c>
      <c r="E156" s="10">
        <v>3</v>
      </c>
      <c r="F156" s="10" t="s">
        <v>690</v>
      </c>
      <c r="G156" s="10" t="s">
        <v>695</v>
      </c>
      <c r="H156" s="10" t="str" cm="1">
        <f t="array" aca="1" ref="H156" ca="1">IF(INDEX(I156:Z156,$H$1)=0,"",INDEX(I156:Z156,$H$1))</f>
        <v>Facility Identification No.</v>
      </c>
      <c r="I156" s="10" t="s">
        <v>538</v>
      </c>
      <c r="J156" s="10" t="s">
        <v>719</v>
      </c>
      <c r="K156" s="27" t="s">
        <v>1380</v>
      </c>
    </row>
    <row r="157" spans="1:11" x14ac:dyDescent="0.35">
      <c r="A157" s="10" t="s">
        <v>2750</v>
      </c>
      <c r="B157" s="255">
        <v>5</v>
      </c>
      <c r="C157" s="10" t="s">
        <v>1328</v>
      </c>
      <c r="D157" s="10">
        <v>1</v>
      </c>
      <c r="E157" s="10">
        <v>4</v>
      </c>
      <c r="F157" s="10" t="s">
        <v>690</v>
      </c>
      <c r="G157" s="10" t="s">
        <v>695</v>
      </c>
      <c r="H157" s="10" t="str" cm="1">
        <f t="array" aca="1" ref="H157" ca="1">IF(INDEX(I157:Z157,$H$1)=0,"",INDEX(I157:Z157,$H$1))</f>
        <v>Company Name:</v>
      </c>
      <c r="I157" s="10" t="s">
        <v>537</v>
      </c>
      <c r="J157" s="10" t="s">
        <v>720</v>
      </c>
      <c r="K157" s="27" t="s">
        <v>1381</v>
      </c>
    </row>
    <row r="158" spans="1:11" x14ac:dyDescent="0.35">
      <c r="A158" s="10" t="s">
        <v>2750</v>
      </c>
      <c r="B158" s="255">
        <v>5</v>
      </c>
      <c r="C158" s="10" t="s">
        <v>1328</v>
      </c>
      <c r="D158" s="10">
        <v>1</v>
      </c>
      <c r="E158" s="10">
        <v>5</v>
      </c>
      <c r="F158" s="10" t="s">
        <v>690</v>
      </c>
      <c r="G158" s="10" t="s">
        <v>695</v>
      </c>
      <c r="H158" s="10" t="str" cm="1">
        <f t="array" aca="1" ref="H158" ca="1">IF(INDEX(I158:Z158,$H$1)=0,"",INDEX(I158:Z158,$H$1))</f>
        <v>Facility Name:</v>
      </c>
      <c r="I158" s="10" t="s">
        <v>535</v>
      </c>
      <c r="J158" s="10" t="s">
        <v>721</v>
      </c>
      <c r="K158" s="27" t="s">
        <v>1382</v>
      </c>
    </row>
    <row r="159" spans="1:11" x14ac:dyDescent="0.35">
      <c r="A159" s="10" t="s">
        <v>2750</v>
      </c>
      <c r="B159" s="255">
        <v>5</v>
      </c>
      <c r="C159" s="10" t="s">
        <v>1328</v>
      </c>
      <c r="D159" s="10">
        <v>1</v>
      </c>
      <c r="E159" s="10">
        <v>5</v>
      </c>
      <c r="F159" s="10" t="s">
        <v>690</v>
      </c>
      <c r="G159" s="10" t="s">
        <v>695</v>
      </c>
      <c r="H159" s="10" t="str" cm="1">
        <f t="array" aca="1" ref="H159" ca="1">IF(INDEX(I159:Z159,$H$1)=0,"",INDEX(I159:Z159,$H$1))</f>
        <v>Asset ID:</v>
      </c>
      <c r="I159" s="10" t="s">
        <v>2550</v>
      </c>
      <c r="J159" s="10"/>
      <c r="K159" s="27"/>
    </row>
    <row r="160" spans="1:11" x14ac:dyDescent="0.35">
      <c r="A160" s="10" t="s">
        <v>2750</v>
      </c>
      <c r="B160" s="255">
        <v>5</v>
      </c>
      <c r="C160" s="10" t="s">
        <v>1328</v>
      </c>
      <c r="D160" s="10">
        <v>1</v>
      </c>
      <c r="E160" s="10">
        <v>6</v>
      </c>
      <c r="F160" s="10" t="s">
        <v>690</v>
      </c>
      <c r="G160" s="10" t="s">
        <v>695</v>
      </c>
      <c r="H160" s="10" t="str" cm="1">
        <f t="array" aca="1" ref="H160" ca="1">IF(INDEX(I160:Z160,$H$1)=0,"",INDEX(I160:Z160,$H$1))</f>
        <v>Country:</v>
      </c>
      <c r="I160" s="10" t="s">
        <v>2551</v>
      </c>
      <c r="J160" s="10"/>
      <c r="K160" s="27"/>
    </row>
    <row r="161" spans="1:11" x14ac:dyDescent="0.35">
      <c r="A161" s="10" t="s">
        <v>2750</v>
      </c>
      <c r="B161" s="255">
        <v>5</v>
      </c>
      <c r="C161" s="10" t="s">
        <v>1328</v>
      </c>
      <c r="D161" s="10">
        <v>1</v>
      </c>
      <c r="E161" s="10">
        <v>6</v>
      </c>
      <c r="F161" s="10" t="s">
        <v>690</v>
      </c>
      <c r="G161" s="10" t="s">
        <v>695</v>
      </c>
      <c r="H161" s="10" t="str" cm="1">
        <f t="array" aca="1" ref="H161" ca="1">IF(INDEX(I161:Z161,$H$1)=0,"",INDEX(I161:Z161,$H$1))</f>
        <v>Latitude:</v>
      </c>
      <c r="I161" s="10" t="s">
        <v>2553</v>
      </c>
      <c r="J161" s="10"/>
      <c r="K161" s="27"/>
    </row>
    <row r="162" spans="1:11" x14ac:dyDescent="0.35">
      <c r="A162" s="10" t="s">
        <v>2750</v>
      </c>
      <c r="B162" s="255">
        <v>5</v>
      </c>
      <c r="C162" s="10" t="s">
        <v>1328</v>
      </c>
      <c r="D162" s="10">
        <v>1</v>
      </c>
      <c r="E162" s="10">
        <v>6</v>
      </c>
      <c r="F162" s="10" t="s">
        <v>690</v>
      </c>
      <c r="G162" s="10" t="s">
        <v>695</v>
      </c>
      <c r="H162" s="10" t="str" cm="1">
        <f t="array" aca="1" ref="H162" ca="1">IF(INDEX(I162:Z162,$H$1)=0,"",INDEX(I162:Z162,$H$1))</f>
        <v>Longitude:</v>
      </c>
      <c r="I162" s="10" t="s">
        <v>2552</v>
      </c>
      <c r="J162" s="10"/>
      <c r="K162" s="27"/>
    </row>
    <row r="163" spans="1:11" x14ac:dyDescent="0.35">
      <c r="A163" s="10" t="s">
        <v>2750</v>
      </c>
      <c r="B163" s="255">
        <v>5</v>
      </c>
      <c r="C163" s="10" t="s">
        <v>1328</v>
      </c>
      <c r="D163" s="10">
        <v>1</v>
      </c>
      <c r="E163" s="10">
        <v>7</v>
      </c>
      <c r="F163" s="10" t="s">
        <v>690</v>
      </c>
      <c r="G163" s="10" t="s">
        <v>695</v>
      </c>
      <c r="H163" s="10" t="str" cm="1">
        <f t="array" aca="1" ref="H163" ca="1">IF(INDEX(I163:Z163,$H$1)=0,"",INDEX(I163:Z163,$H$1))</f>
        <v>Reference Year:</v>
      </c>
      <c r="I163" s="10" t="s">
        <v>589</v>
      </c>
      <c r="J163" s="10" t="s">
        <v>1274</v>
      </c>
      <c r="K163" s="27" t="s">
        <v>1384</v>
      </c>
    </row>
    <row r="164" spans="1:11" x14ac:dyDescent="0.35">
      <c r="A164" s="10" t="s">
        <v>2750</v>
      </c>
      <c r="B164" s="255">
        <v>5</v>
      </c>
      <c r="C164" s="10" t="s">
        <v>1328</v>
      </c>
      <c r="D164" s="10">
        <v>1</v>
      </c>
      <c r="E164" s="10">
        <v>8</v>
      </c>
      <c r="F164" s="10" t="s">
        <v>690</v>
      </c>
      <c r="G164" s="10" t="s">
        <v>695</v>
      </c>
      <c r="H164" s="10" t="str" cm="1">
        <f t="array" aca="1" ref="H164" ca="1">IF(INDEX(I164:Z164,$H$1)=0,"",INDEX(I164:Z164,$H$1))</f>
        <v>Industry Segment</v>
      </c>
      <c r="I164" s="10" t="s">
        <v>30</v>
      </c>
      <c r="J164" s="10" t="s">
        <v>697</v>
      </c>
      <c r="K164" s="27" t="s">
        <v>1385</v>
      </c>
    </row>
    <row r="165" spans="1:11" x14ac:dyDescent="0.35">
      <c r="A165" s="10" t="s">
        <v>2750</v>
      </c>
      <c r="B165" s="255">
        <v>5</v>
      </c>
      <c r="C165" s="10" t="s">
        <v>1328</v>
      </c>
      <c r="D165" s="10">
        <v>1</v>
      </c>
      <c r="E165" s="10">
        <v>9</v>
      </c>
      <c r="F165" s="10" t="s">
        <v>690</v>
      </c>
      <c r="G165" s="10" t="s">
        <v>695</v>
      </c>
      <c r="H165" s="10" t="str" cm="1">
        <f t="array" aca="1" ref="H165" ca="1">IF(INDEX(I165:Z165,$H$1)=0,"",INDEX(I165:Z165,$H$1))</f>
        <v>Facility Type</v>
      </c>
      <c r="I165" s="10" t="s">
        <v>231</v>
      </c>
      <c r="J165" s="10" t="s">
        <v>698</v>
      </c>
      <c r="K165" s="27" t="s">
        <v>1386</v>
      </c>
    </row>
    <row r="166" spans="1:11" x14ac:dyDescent="0.35">
      <c r="A166" s="10" t="s">
        <v>2750</v>
      </c>
      <c r="B166" s="255">
        <v>5</v>
      </c>
      <c r="C166" s="10" t="s">
        <v>1328</v>
      </c>
      <c r="D166" s="10">
        <v>1</v>
      </c>
      <c r="E166" s="10">
        <v>10</v>
      </c>
      <c r="F166" s="10" t="s">
        <v>690</v>
      </c>
      <c r="G166" s="10" t="s">
        <v>695</v>
      </c>
      <c r="H166" s="10" t="str" cm="1">
        <f t="array" aca="1" ref="H166" ca="1">IF(INDEX(I166:Z166,$H$1)=0,"",INDEX(I166:Z166,$H$1))</f>
        <v>Hydrocarbon Liquids:</v>
      </c>
      <c r="I166" s="10" t="s">
        <v>540</v>
      </c>
      <c r="J166" s="10" t="s">
        <v>722</v>
      </c>
      <c r="K166" s="27" t="s">
        <v>1413</v>
      </c>
    </row>
    <row r="167" spans="1:11" x14ac:dyDescent="0.35">
      <c r="A167" s="10" t="s">
        <v>2750</v>
      </c>
      <c r="B167" s="255">
        <v>5</v>
      </c>
      <c r="C167" s="10" t="s">
        <v>332</v>
      </c>
      <c r="D167" s="10">
        <v>2</v>
      </c>
      <c r="E167" s="10">
        <v>4</v>
      </c>
      <c r="F167" s="10" t="s">
        <v>693</v>
      </c>
      <c r="G167" s="10" t="s">
        <v>767</v>
      </c>
      <c r="H167" s="10" t="str" cm="1">
        <f t="array" aca="1" ref="H167" ca="1">IF(INDEX(I167:Z167,$H$1)=0,"",INDEX(I167:Z167,$H$1))</f>
        <v>GJ</v>
      </c>
      <c r="I167" s="13" t="s">
        <v>534</v>
      </c>
      <c r="J167" s="13" t="s">
        <v>534</v>
      </c>
      <c r="K167" s="27" t="s">
        <v>534</v>
      </c>
    </row>
    <row r="168" spans="1:11" x14ac:dyDescent="0.35">
      <c r="A168" s="10" t="s">
        <v>2750</v>
      </c>
      <c r="B168" s="255">
        <v>5</v>
      </c>
      <c r="C168" s="10" t="s">
        <v>332</v>
      </c>
      <c r="D168" s="10">
        <v>2</v>
      </c>
      <c r="E168" s="10">
        <v>12</v>
      </c>
      <c r="F168" s="10" t="s">
        <v>690</v>
      </c>
      <c r="G168" s="10" t="s">
        <v>688</v>
      </c>
      <c r="H168" s="10" t="str" cm="1">
        <f t="array" aca="1" ref="H168" ca="1">IF(INDEX(I168:Z168,$H$1)=0,"",INDEX(I168:Z168,$H$1))</f>
        <v>Facility Activity Levels</v>
      </c>
      <c r="I168" s="10" t="s">
        <v>332</v>
      </c>
      <c r="J168" s="10" t="s">
        <v>728</v>
      </c>
      <c r="K168" s="27" t="s">
        <v>1414</v>
      </c>
    </row>
    <row r="169" spans="1:11" x14ac:dyDescent="0.35">
      <c r="A169" s="10" t="s">
        <v>2750</v>
      </c>
      <c r="B169" s="255">
        <v>5</v>
      </c>
      <c r="C169" s="10" t="s">
        <v>332</v>
      </c>
      <c r="D169" s="10">
        <v>2</v>
      </c>
      <c r="E169" s="10">
        <v>13</v>
      </c>
      <c r="F169" s="10" t="s">
        <v>690</v>
      </c>
      <c r="G169" s="10" t="s">
        <v>696</v>
      </c>
      <c r="H169" s="10" t="str" cm="1">
        <f t="array" aca="1" ref="H169" ca="1">IF(INDEX(I169:Z169,$H$1)=0,"",INDEX(I169:Z169,$H$1))</f>
        <v>Parameter</v>
      </c>
      <c r="I169" s="10" t="s">
        <v>333</v>
      </c>
      <c r="J169" s="10" t="s">
        <v>723</v>
      </c>
      <c r="K169" s="27" t="s">
        <v>1410</v>
      </c>
    </row>
    <row r="170" spans="1:11" x14ac:dyDescent="0.35">
      <c r="A170" s="10" t="s">
        <v>2750</v>
      </c>
      <c r="B170" s="255">
        <v>5</v>
      </c>
      <c r="C170" s="10" t="s">
        <v>332</v>
      </c>
      <c r="D170" s="10">
        <v>2</v>
      </c>
      <c r="E170" s="10">
        <v>13</v>
      </c>
      <c r="F170" s="10" t="s">
        <v>38</v>
      </c>
      <c r="G170" s="10" t="s">
        <v>696</v>
      </c>
      <c r="H170" s="10" t="str" cm="1">
        <f t="array" aca="1" ref="H170" ca="1">IF(INDEX(I170:Z170,$H$1)=0,"",INDEX(I170:Z170,$H$1))</f>
        <v>Application</v>
      </c>
      <c r="I170" s="10" t="s">
        <v>2269</v>
      </c>
      <c r="J170" s="10" t="s">
        <v>2344</v>
      </c>
      <c r="K170" s="27" t="s">
        <v>2343</v>
      </c>
    </row>
    <row r="171" spans="1:11" x14ac:dyDescent="0.35">
      <c r="A171" s="10" t="s">
        <v>2750</v>
      </c>
      <c r="B171" s="255">
        <v>5</v>
      </c>
      <c r="C171" s="10" t="s">
        <v>332</v>
      </c>
      <c r="D171" s="10">
        <v>2</v>
      </c>
      <c r="E171" s="10">
        <v>13</v>
      </c>
      <c r="F171" s="10" t="s">
        <v>38</v>
      </c>
      <c r="G171" s="10" t="s">
        <v>696</v>
      </c>
      <c r="H171" s="10" t="str" cm="1">
        <f t="array" aca="1" ref="H171" ca="1">IF(INDEX(I171:Z171,$H$1)=0,"",INDEX(I171:Z171,$H$1))</f>
        <v>Type</v>
      </c>
      <c r="I171" s="10" t="s">
        <v>2</v>
      </c>
      <c r="J171" s="10" t="s">
        <v>724</v>
      </c>
      <c r="K171" s="27" t="s">
        <v>1415</v>
      </c>
    </row>
    <row r="172" spans="1:11" x14ac:dyDescent="0.35">
      <c r="A172" s="10" t="s">
        <v>2750</v>
      </c>
      <c r="B172" s="255">
        <v>5</v>
      </c>
      <c r="C172" s="10" t="s">
        <v>332</v>
      </c>
      <c r="D172" s="10">
        <v>2</v>
      </c>
      <c r="E172" s="10">
        <v>13</v>
      </c>
      <c r="F172" s="10" t="s">
        <v>692</v>
      </c>
      <c r="G172" s="10" t="s">
        <v>696</v>
      </c>
      <c r="H172" s="10" t="str" cm="1">
        <f t="array" aca="1" ref="H172" ca="1">IF(INDEX(I172:Z172,$H$1)=0,"",INDEX(I172:Z172,$H$1))</f>
        <v>Value</v>
      </c>
      <c r="I172" s="10" t="s">
        <v>6</v>
      </c>
      <c r="J172" s="10" t="s">
        <v>725</v>
      </c>
      <c r="K172" s="27" t="s">
        <v>1411</v>
      </c>
    </row>
    <row r="173" spans="1:11" x14ac:dyDescent="0.35">
      <c r="A173" s="10" t="s">
        <v>2750</v>
      </c>
      <c r="B173" s="255">
        <v>5</v>
      </c>
      <c r="C173" s="10" t="s">
        <v>332</v>
      </c>
      <c r="D173" s="10">
        <v>2</v>
      </c>
      <c r="E173" s="10">
        <v>13</v>
      </c>
      <c r="F173" s="10" t="s">
        <v>693</v>
      </c>
      <c r="G173" s="10" t="s">
        <v>696</v>
      </c>
      <c r="H173" s="10" t="str" cm="1">
        <f t="array" aca="1" ref="H173" ca="1">IF(INDEX(I173:Z173,$H$1)=0,"",INDEX(I173:Z173,$H$1))</f>
        <v>Units of Measure</v>
      </c>
      <c r="I173" s="10" t="s">
        <v>331</v>
      </c>
      <c r="J173" s="10" t="s">
        <v>726</v>
      </c>
      <c r="K173" s="27" t="s">
        <v>1416</v>
      </c>
    </row>
    <row r="174" spans="1:11" x14ac:dyDescent="0.35">
      <c r="A174" s="10" t="s">
        <v>2750</v>
      </c>
      <c r="B174" s="255">
        <v>5</v>
      </c>
      <c r="C174" s="10" t="s">
        <v>332</v>
      </c>
      <c r="D174" s="10">
        <v>2</v>
      </c>
      <c r="E174" s="10">
        <v>13</v>
      </c>
      <c r="F174" s="10" t="s">
        <v>694</v>
      </c>
      <c r="G174" s="10" t="s">
        <v>696</v>
      </c>
      <c r="H174" s="10" t="str" cm="1">
        <f t="array" aca="1" ref="H174" ca="1">IF(INDEX(I174:Z174,$H$1)=0,"",INDEX(I174:Z174,$H$1))</f>
        <v>Source of Value</v>
      </c>
      <c r="I174" s="10" t="s">
        <v>579</v>
      </c>
      <c r="J174" s="10" t="s">
        <v>727</v>
      </c>
      <c r="K174" s="27" t="s">
        <v>1417</v>
      </c>
    </row>
    <row r="175" spans="1:11" x14ac:dyDescent="0.35">
      <c r="A175" s="10" t="s">
        <v>2750</v>
      </c>
      <c r="B175" s="255">
        <v>5</v>
      </c>
      <c r="C175" s="10" t="s">
        <v>332</v>
      </c>
      <c r="D175" s="10">
        <v>2</v>
      </c>
      <c r="E175" s="10">
        <v>13</v>
      </c>
      <c r="F175" s="10" t="s">
        <v>694</v>
      </c>
      <c r="G175" s="10" t="s">
        <v>696</v>
      </c>
      <c r="H175" s="10" t="str" cm="1">
        <f t="array" aca="1" ref="H175" ca="1">IF(INDEX(I175:Z175,$H$1)=0,"",INDEX(I175:Z175,$H$1))</f>
        <v>Value Used</v>
      </c>
      <c r="I175" s="10" t="s">
        <v>2799</v>
      </c>
      <c r="J175" s="10"/>
      <c r="K175" s="27"/>
    </row>
    <row r="176" spans="1:11" x14ac:dyDescent="0.35">
      <c r="A176" s="10" t="s">
        <v>2750</v>
      </c>
      <c r="B176" s="255">
        <v>5</v>
      </c>
      <c r="C176" s="10" t="s">
        <v>332</v>
      </c>
      <c r="D176" s="10">
        <v>2</v>
      </c>
      <c r="E176" s="10">
        <v>13</v>
      </c>
      <c r="F176" s="10" t="s">
        <v>711</v>
      </c>
      <c r="G176" s="10" t="s">
        <v>696</v>
      </c>
      <c r="H176" s="10" t="str" cm="1">
        <f t="array" aca="1" ref="H176" ca="1">IF(INDEX(I176:Z176,$H$1)=0,"",INDEX(I176:Z176,$H$1))</f>
        <v>Error Message</v>
      </c>
      <c r="I176" s="10" t="s">
        <v>653</v>
      </c>
      <c r="J176" s="10" t="s">
        <v>745</v>
      </c>
      <c r="K176" s="27" t="s">
        <v>1412</v>
      </c>
    </row>
    <row r="177" spans="1:11" x14ac:dyDescent="0.35">
      <c r="A177" s="10" t="s">
        <v>2750</v>
      </c>
      <c r="B177" s="255">
        <v>5</v>
      </c>
      <c r="C177" s="10" t="s">
        <v>332</v>
      </c>
      <c r="D177" s="10">
        <v>2</v>
      </c>
      <c r="E177" s="10">
        <v>14</v>
      </c>
      <c r="F177" s="10" t="s">
        <v>690</v>
      </c>
      <c r="G177" s="10" t="s">
        <v>695</v>
      </c>
      <c r="H177" s="10" t="str" cm="1">
        <f t="array" aca="1" ref="H177" ca="1">IF(INDEX(I177:Z177,$H$1)=0,"",INDEX(I177:Z177,$H$1))</f>
        <v>Natural Gas Receipts:</v>
      </c>
      <c r="I177" s="10" t="s">
        <v>378</v>
      </c>
      <c r="J177" s="10" t="s">
        <v>729</v>
      </c>
      <c r="K177" s="27" t="s">
        <v>1418</v>
      </c>
    </row>
    <row r="178" spans="1:11" ht="16.5" x14ac:dyDescent="0.35">
      <c r="A178" s="10" t="s">
        <v>2750</v>
      </c>
      <c r="B178" s="255">
        <v>5</v>
      </c>
      <c r="C178" s="10" t="s">
        <v>332</v>
      </c>
      <c r="D178" s="10">
        <v>2</v>
      </c>
      <c r="E178" s="10">
        <v>14</v>
      </c>
      <c r="F178" s="10" t="s">
        <v>693</v>
      </c>
      <c r="G178" s="10" t="s">
        <v>767</v>
      </c>
      <c r="H178" s="10" t="str" cm="1">
        <f t="array" aca="1" ref="H178" ca="1">IF(INDEX(I178:Z178,$H$1)=0,"",INDEX(I178:Z178,$H$1))</f>
        <v>E+03 Nm3 per day</v>
      </c>
      <c r="I178" s="13" t="s">
        <v>3367</v>
      </c>
      <c r="J178" s="10" t="s">
        <v>2296</v>
      </c>
      <c r="K178" s="13" t="s">
        <v>2295</v>
      </c>
    </row>
    <row r="179" spans="1:11" x14ac:dyDescent="0.35">
      <c r="A179" s="10" t="s">
        <v>2750</v>
      </c>
      <c r="B179" s="255">
        <v>5</v>
      </c>
      <c r="C179" s="10" t="s">
        <v>332</v>
      </c>
      <c r="D179" s="10">
        <v>2</v>
      </c>
      <c r="E179" s="10">
        <v>15</v>
      </c>
      <c r="F179" s="10" t="s">
        <v>690</v>
      </c>
      <c r="G179" s="10" t="s">
        <v>695</v>
      </c>
      <c r="H179" s="10" t="str" cm="1">
        <f t="array" aca="1" ref="H179" ca="1">IF(INDEX(I179:Z179,$H$1)=0,"",INDEX(I179:Z179,$H$1))</f>
        <v>Oil or Condensate Receipts:</v>
      </c>
      <c r="I179" s="10" t="s">
        <v>379</v>
      </c>
      <c r="J179" s="10" t="s">
        <v>730</v>
      </c>
      <c r="K179" s="27" t="s">
        <v>1419</v>
      </c>
    </row>
    <row r="180" spans="1:11" ht="16.5" x14ac:dyDescent="0.35">
      <c r="A180" s="10" t="s">
        <v>2750</v>
      </c>
      <c r="B180" s="255">
        <v>5</v>
      </c>
      <c r="C180" s="10" t="s">
        <v>332</v>
      </c>
      <c r="D180" s="10">
        <v>2</v>
      </c>
      <c r="E180" s="10">
        <v>15</v>
      </c>
      <c r="F180" s="10" t="s">
        <v>693</v>
      </c>
      <c r="G180" s="10" t="s">
        <v>767</v>
      </c>
      <c r="H180" s="10" t="str" cm="1">
        <f t="array" aca="1" ref="H180" ca="1">IF(INDEX(I180:Z180,$H$1)=0,"",INDEX(I180:Z180,$H$1))</f>
        <v>m3 per day</v>
      </c>
      <c r="I180" s="13" t="s">
        <v>1378</v>
      </c>
      <c r="J180" s="10" t="s">
        <v>768</v>
      </c>
      <c r="K180" s="13" t="s">
        <v>1420</v>
      </c>
    </row>
    <row r="181" spans="1:11" x14ac:dyDescent="0.35">
      <c r="A181" s="10" t="s">
        <v>2750</v>
      </c>
      <c r="B181" s="255">
        <v>5</v>
      </c>
      <c r="C181" s="10" t="s">
        <v>332</v>
      </c>
      <c r="D181" s="10">
        <v>2</v>
      </c>
      <c r="E181" s="10">
        <v>16</v>
      </c>
      <c r="F181" s="10" t="s">
        <v>690</v>
      </c>
      <c r="G181" s="10" t="s">
        <v>695</v>
      </c>
      <c r="H181" s="10" t="str" cm="1">
        <f t="array" aca="1" ref="H181" ca="1">IF(INDEX(I181:Z181,$H$1)=0,"",INDEX(I181:Z181,$H$1))</f>
        <v>Produced Water Receipts:</v>
      </c>
      <c r="I181" s="10" t="s">
        <v>380</v>
      </c>
      <c r="J181" s="10" t="s">
        <v>731</v>
      </c>
      <c r="K181" s="27" t="s">
        <v>1421</v>
      </c>
    </row>
    <row r="182" spans="1:11" ht="16.5" x14ac:dyDescent="0.35">
      <c r="A182" s="10" t="s">
        <v>2750</v>
      </c>
      <c r="B182" s="255">
        <v>5</v>
      </c>
      <c r="C182" s="10" t="s">
        <v>332</v>
      </c>
      <c r="D182" s="10">
        <v>2</v>
      </c>
      <c r="E182" s="10">
        <v>16</v>
      </c>
      <c r="F182" s="10" t="s">
        <v>693</v>
      </c>
      <c r="G182" s="10" t="s">
        <v>767</v>
      </c>
      <c r="H182" s="10" t="str" cm="1">
        <f t="array" aca="1" ref="H182" ca="1">IF(INDEX(I182:Z182,$H$1)=0,"",INDEX(I182:Z182,$H$1))</f>
        <v>m3 per day</v>
      </c>
      <c r="I182" s="13" t="s">
        <v>1378</v>
      </c>
      <c r="J182" s="10" t="s">
        <v>768</v>
      </c>
      <c r="K182" s="27" t="s">
        <v>1422</v>
      </c>
    </row>
    <row r="183" spans="1:11" x14ac:dyDescent="0.35">
      <c r="A183" s="10" t="s">
        <v>2750</v>
      </c>
      <c r="B183" s="255">
        <v>5</v>
      </c>
      <c r="C183" s="10" t="s">
        <v>332</v>
      </c>
      <c r="D183" s="10">
        <v>2</v>
      </c>
      <c r="E183" s="10">
        <v>17</v>
      </c>
      <c r="F183" s="10" t="s">
        <v>690</v>
      </c>
      <c r="G183" s="10" t="s">
        <v>695</v>
      </c>
      <c r="H183" s="10" t="str" cm="1">
        <f t="array" aca="1" ref="H183" ca="1">IF(INDEX(I183:Z183,$H$1)=0,"",INDEX(I183:Z183,$H$1))</f>
        <v>Flared Hydrocarbon Gas:</v>
      </c>
      <c r="I183" s="10" t="s">
        <v>530</v>
      </c>
      <c r="J183" s="10" t="s">
        <v>1237</v>
      </c>
      <c r="K183" s="27" t="s">
        <v>1423</v>
      </c>
    </row>
    <row r="184" spans="1:11" ht="16.5" x14ac:dyDescent="0.35">
      <c r="A184" s="10" t="s">
        <v>2750</v>
      </c>
      <c r="B184" s="255">
        <v>5</v>
      </c>
      <c r="C184" s="10" t="s">
        <v>332</v>
      </c>
      <c r="D184" s="10">
        <v>2</v>
      </c>
      <c r="E184" s="10">
        <v>17</v>
      </c>
      <c r="F184" s="10" t="s">
        <v>693</v>
      </c>
      <c r="G184" s="10" t="s">
        <v>767</v>
      </c>
      <c r="H184" s="10" t="str" cm="1">
        <f t="array" aca="1" ref="H184" ca="1">IF(INDEX(I184:Z184,$H$1)=0,"",INDEX(I184:Z184,$H$1))</f>
        <v>E+03 Nm3 per day</v>
      </c>
      <c r="I184" s="13" t="s">
        <v>3367</v>
      </c>
      <c r="J184" s="10" t="s">
        <v>2296</v>
      </c>
      <c r="K184" s="13" t="s">
        <v>2295</v>
      </c>
    </row>
    <row r="185" spans="1:11" x14ac:dyDescent="0.35">
      <c r="A185" s="10" t="s">
        <v>2750</v>
      </c>
      <c r="B185" s="255">
        <v>5</v>
      </c>
      <c r="C185" s="10" t="s">
        <v>332</v>
      </c>
      <c r="D185" s="10">
        <v>2</v>
      </c>
      <c r="E185" s="10">
        <v>18</v>
      </c>
      <c r="F185" s="10" t="s">
        <v>690</v>
      </c>
      <c r="G185" s="10" t="s">
        <v>695</v>
      </c>
      <c r="H185" s="10" t="str" cm="1">
        <f t="array" aca="1" ref="H185" ca="1">IF(INDEX(I185:Z185,$H$1)=0,"",INDEX(I185:Z185,$H$1))</f>
        <v>Flared Acid Gas:</v>
      </c>
      <c r="I185" s="10" t="s">
        <v>1236</v>
      </c>
      <c r="J185" s="10" t="s">
        <v>1235</v>
      </c>
      <c r="K185" s="27" t="s">
        <v>1424</v>
      </c>
    </row>
    <row r="186" spans="1:11" ht="16.5" x14ac:dyDescent="0.35">
      <c r="A186" s="10" t="s">
        <v>2750</v>
      </c>
      <c r="B186" s="255">
        <v>5</v>
      </c>
      <c r="C186" s="10" t="s">
        <v>332</v>
      </c>
      <c r="D186" s="10">
        <v>2</v>
      </c>
      <c r="E186" s="10">
        <v>18</v>
      </c>
      <c r="F186" s="10" t="s">
        <v>693</v>
      </c>
      <c r="G186" s="10" t="s">
        <v>767</v>
      </c>
      <c r="H186" s="10" t="str" cm="1">
        <f t="array" aca="1" ref="H186" ca="1">IF(INDEX(I186:Z186,$H$1)=0,"",INDEX(I186:Z186,$H$1))</f>
        <v>E+03 Nm3 per day</v>
      </c>
      <c r="I186" s="13" t="s">
        <v>3367</v>
      </c>
      <c r="J186" s="13" t="s">
        <v>2315</v>
      </c>
      <c r="K186" s="13" t="s">
        <v>2316</v>
      </c>
    </row>
    <row r="187" spans="1:11" x14ac:dyDescent="0.35">
      <c r="A187" s="10" t="s">
        <v>2750</v>
      </c>
      <c r="B187" s="255">
        <v>5</v>
      </c>
      <c r="C187" s="10" t="s">
        <v>332</v>
      </c>
      <c r="D187" s="10">
        <v>2</v>
      </c>
      <c r="E187" s="10">
        <v>19</v>
      </c>
      <c r="F187" s="10" t="s">
        <v>690</v>
      </c>
      <c r="G187" s="10" t="s">
        <v>695</v>
      </c>
      <c r="H187" s="10" t="str" cm="1">
        <f t="array" aca="1" ref="H187" ca="1">IF(INDEX(I187:Z187,$H$1)=0,"",INDEX(I187:Z187,$H$1))</f>
        <v>Vented Hydrocarbon Gas:</v>
      </c>
      <c r="I187" s="10" t="s">
        <v>531</v>
      </c>
      <c r="J187" s="10" t="s">
        <v>732</v>
      </c>
      <c r="K187" s="27" t="s">
        <v>1425</v>
      </c>
    </row>
    <row r="188" spans="1:11" ht="16.5" x14ac:dyDescent="0.35">
      <c r="A188" s="10" t="s">
        <v>2750</v>
      </c>
      <c r="B188" s="255">
        <v>5</v>
      </c>
      <c r="C188" s="10" t="s">
        <v>332</v>
      </c>
      <c r="D188" s="10">
        <v>2</v>
      </c>
      <c r="E188" s="10">
        <v>19</v>
      </c>
      <c r="F188" s="10" t="s">
        <v>693</v>
      </c>
      <c r="G188" s="10" t="s">
        <v>767</v>
      </c>
      <c r="H188" s="10" t="str" cm="1">
        <f t="array" aca="1" ref="H188" ca="1">IF(INDEX(I188:Z188,$H$1)=0,"",INDEX(I188:Z188,$H$1))</f>
        <v>E+03 Nm3 per day</v>
      </c>
      <c r="I188" s="13" t="s">
        <v>3367</v>
      </c>
      <c r="J188" s="10" t="s">
        <v>2296</v>
      </c>
      <c r="K188" s="13" t="s">
        <v>2295</v>
      </c>
    </row>
    <row r="189" spans="1:11" x14ac:dyDescent="0.35">
      <c r="A189" s="10" t="s">
        <v>2750</v>
      </c>
      <c r="B189" s="255">
        <v>5</v>
      </c>
      <c r="C189" s="10" t="s">
        <v>332</v>
      </c>
      <c r="D189" s="10">
        <v>2</v>
      </c>
      <c r="E189" s="10">
        <v>20</v>
      </c>
      <c r="F189" s="10" t="s">
        <v>690</v>
      </c>
      <c r="G189" s="10" t="s">
        <v>695</v>
      </c>
      <c r="H189" s="10" t="str" cm="1">
        <f t="array" aca="1" ref="H189" ca="1">IF(INDEX(I189:Z189,$H$1)=0,"",INDEX(I189:Z189,$H$1))</f>
        <v>Vented Acid Gas:</v>
      </c>
      <c r="I189" s="10" t="s">
        <v>529</v>
      </c>
      <c r="J189" s="10" t="s">
        <v>733</v>
      </c>
      <c r="K189" s="27" t="s">
        <v>1426</v>
      </c>
    </row>
    <row r="190" spans="1:11" ht="16.5" x14ac:dyDescent="0.35">
      <c r="A190" s="10" t="s">
        <v>2750</v>
      </c>
      <c r="B190" s="255">
        <v>5</v>
      </c>
      <c r="C190" s="10" t="s">
        <v>332</v>
      </c>
      <c r="D190" s="10">
        <v>2</v>
      </c>
      <c r="E190" s="10">
        <v>20</v>
      </c>
      <c r="F190" s="10" t="s">
        <v>693</v>
      </c>
      <c r="G190" s="10" t="s">
        <v>767</v>
      </c>
      <c r="H190" s="10" t="str" cm="1">
        <f t="array" aca="1" ref="H190" ca="1">IF(INDEX(I190:Z190,$H$1)=0,"",INDEX(I190:Z190,$H$1))</f>
        <v>E+03 Nm3 per day</v>
      </c>
      <c r="I190" s="13" t="s">
        <v>3367</v>
      </c>
      <c r="J190" s="10" t="s">
        <v>2296</v>
      </c>
      <c r="K190" s="13" t="s">
        <v>2295</v>
      </c>
    </row>
    <row r="191" spans="1:11" x14ac:dyDescent="0.35">
      <c r="A191" s="10" t="s">
        <v>2750</v>
      </c>
      <c r="B191" s="255">
        <v>5</v>
      </c>
      <c r="C191" s="10" t="s">
        <v>332</v>
      </c>
      <c r="D191" s="10">
        <v>2</v>
      </c>
      <c r="E191" s="10">
        <v>21</v>
      </c>
      <c r="F191" s="10" t="s">
        <v>690</v>
      </c>
      <c r="G191" s="10" t="s">
        <v>695</v>
      </c>
      <c r="H191" s="10" t="str" cm="1">
        <f t="array" aca="1" ref="H191" ca="1">IF(INDEX(I191:Z191,$H$1)=0,"",INDEX(I191:Z191,$H$1))</f>
        <v xml:space="preserve">Solid Fuels: </v>
      </c>
      <c r="I191" s="10" t="s">
        <v>765</v>
      </c>
      <c r="J191" s="10" t="s">
        <v>734</v>
      </c>
      <c r="K191" s="27" t="s">
        <v>1427</v>
      </c>
    </row>
    <row r="192" spans="1:11" x14ac:dyDescent="0.35">
      <c r="A192" s="10" t="s">
        <v>2750</v>
      </c>
      <c r="B192" s="255">
        <v>5</v>
      </c>
      <c r="C192" s="10" t="s">
        <v>332</v>
      </c>
      <c r="D192" s="10">
        <v>2</v>
      </c>
      <c r="E192" s="10">
        <v>21</v>
      </c>
      <c r="F192" s="10" t="s">
        <v>693</v>
      </c>
      <c r="G192" s="10" t="s">
        <v>767</v>
      </c>
      <c r="H192" s="10" t="str" cm="1">
        <f t="array" aca="1" ref="H192" ca="1">IF(INDEX(I192:Z192,$H$1)=0,"",INDEX(I192:Z192,$H$1))</f>
        <v>Tonnes per Year</v>
      </c>
      <c r="I192" s="13" t="s">
        <v>2297</v>
      </c>
      <c r="J192" s="10" t="s">
        <v>769</v>
      </c>
      <c r="K192" s="27" t="s">
        <v>2298</v>
      </c>
    </row>
    <row r="193" spans="1:11" x14ac:dyDescent="0.35">
      <c r="A193" s="10" t="s">
        <v>2750</v>
      </c>
      <c r="B193" s="255">
        <v>5</v>
      </c>
      <c r="C193" s="10" t="s">
        <v>332</v>
      </c>
      <c r="D193" s="10">
        <v>2</v>
      </c>
      <c r="E193" s="10">
        <v>22</v>
      </c>
      <c r="F193" s="10" t="s">
        <v>693</v>
      </c>
      <c r="G193" s="10" t="s">
        <v>767</v>
      </c>
      <c r="H193" s="10" t="str" cm="1">
        <f t="array" aca="1" ref="H193" ca="1">IF(INDEX(I193:Z193,$H$1)=0,"",INDEX(I193:Z193,$H$1))</f>
        <v>Tonnes per Year</v>
      </c>
      <c r="I193" s="13" t="s">
        <v>2297</v>
      </c>
      <c r="J193" s="10" t="s">
        <v>769</v>
      </c>
      <c r="K193" s="27" t="s">
        <v>2298</v>
      </c>
    </row>
    <row r="194" spans="1:11" x14ac:dyDescent="0.35">
      <c r="A194" s="10" t="s">
        <v>2750</v>
      </c>
      <c r="B194" s="255">
        <v>5</v>
      </c>
      <c r="C194" s="10" t="s">
        <v>332</v>
      </c>
      <c r="D194" s="10">
        <v>2</v>
      </c>
      <c r="E194" s="10">
        <v>23</v>
      </c>
      <c r="F194" s="10" t="s">
        <v>693</v>
      </c>
      <c r="G194" s="10" t="s">
        <v>767</v>
      </c>
      <c r="H194" s="10" t="str" cm="1">
        <f t="array" aca="1" ref="H194" ca="1">IF(INDEX(I194:Z194,$H$1)=0,"",INDEX(I194:Z194,$H$1))</f>
        <v>Tonnes per Year</v>
      </c>
      <c r="I194" s="13" t="s">
        <v>2297</v>
      </c>
      <c r="J194" s="10" t="s">
        <v>769</v>
      </c>
      <c r="K194" s="27" t="s">
        <v>2298</v>
      </c>
    </row>
    <row r="195" spans="1:11" x14ac:dyDescent="0.35">
      <c r="A195" s="10" t="s">
        <v>2750</v>
      </c>
      <c r="B195" s="255">
        <v>5</v>
      </c>
      <c r="C195" s="10" t="s">
        <v>332</v>
      </c>
      <c r="D195" s="10">
        <v>2</v>
      </c>
      <c r="E195" s="10">
        <v>24</v>
      </c>
      <c r="F195" s="10" t="s">
        <v>690</v>
      </c>
      <c r="G195" s="10" t="s">
        <v>695</v>
      </c>
      <c r="H195" s="10" t="str" cm="1">
        <f t="array" aca="1" ref="H195" ca="1">IF(INDEX(I195:Z195,$H$1)=0,"",INDEX(I195:Z195,$H$1))</f>
        <v xml:space="preserve">Liquid Fuels:   </v>
      </c>
      <c r="I195" s="10" t="s">
        <v>766</v>
      </c>
      <c r="J195" s="10" t="s">
        <v>735</v>
      </c>
      <c r="K195" s="27" t="s">
        <v>1428</v>
      </c>
    </row>
    <row r="196" spans="1:11" x14ac:dyDescent="0.35">
      <c r="A196" s="10" t="s">
        <v>2750</v>
      </c>
      <c r="B196" s="255">
        <v>5</v>
      </c>
      <c r="C196" s="10" t="s">
        <v>332</v>
      </c>
      <c r="D196" s="10">
        <v>2</v>
      </c>
      <c r="E196" s="10">
        <v>24</v>
      </c>
      <c r="F196" s="10" t="s">
        <v>693</v>
      </c>
      <c r="G196" s="10" t="s">
        <v>767</v>
      </c>
      <c r="H196" s="10" t="str" cm="1">
        <f t="array" aca="1" ref="H196" ca="1">IF(INDEX(I196:Z196,$H$1)=0,"",INDEX(I196:Z196,$H$1))</f>
        <v>Tonnes per Year</v>
      </c>
      <c r="I196" s="13" t="s">
        <v>2297</v>
      </c>
      <c r="J196" s="10" t="s">
        <v>769</v>
      </c>
      <c r="K196" s="27" t="s">
        <v>2298</v>
      </c>
    </row>
    <row r="197" spans="1:11" x14ac:dyDescent="0.35">
      <c r="A197" s="10" t="s">
        <v>2750</v>
      </c>
      <c r="B197" s="255">
        <v>5</v>
      </c>
      <c r="C197" s="10" t="s">
        <v>332</v>
      </c>
      <c r="D197" s="10">
        <v>2</v>
      </c>
      <c r="E197" s="10">
        <v>25</v>
      </c>
      <c r="F197" s="10" t="s">
        <v>693</v>
      </c>
      <c r="G197" s="10" t="s">
        <v>767</v>
      </c>
      <c r="H197" s="10" t="str" cm="1">
        <f t="array" aca="1" ref="H197" ca="1">IF(INDEX(I197:Z197,$H$1)=0,"",INDEX(I197:Z197,$H$1))</f>
        <v>Tonnes per Year</v>
      </c>
      <c r="I197" s="13" t="s">
        <v>2297</v>
      </c>
      <c r="J197" s="10" t="s">
        <v>769</v>
      </c>
      <c r="K197" s="27" t="s">
        <v>2298</v>
      </c>
    </row>
    <row r="198" spans="1:11" x14ac:dyDescent="0.35">
      <c r="A198" s="10" t="s">
        <v>2750</v>
      </c>
      <c r="B198" s="255">
        <v>5</v>
      </c>
      <c r="C198" s="10" t="s">
        <v>332</v>
      </c>
      <c r="D198" s="10">
        <v>2</v>
      </c>
      <c r="E198" s="10">
        <v>26</v>
      </c>
      <c r="F198" s="10" t="s">
        <v>693</v>
      </c>
      <c r="G198" s="10" t="s">
        <v>767</v>
      </c>
      <c r="H198" s="10" t="str" cm="1">
        <f t="array" aca="1" ref="H198" ca="1">IF(INDEX(I198:Z198,$H$1)=0,"",INDEX(I198:Z198,$H$1))</f>
        <v>Tonnes per Year</v>
      </c>
      <c r="I198" s="13" t="s">
        <v>2297</v>
      </c>
      <c r="J198" s="10" t="s">
        <v>769</v>
      </c>
      <c r="K198" s="27" t="s">
        <v>2298</v>
      </c>
    </row>
    <row r="199" spans="1:11" x14ac:dyDescent="0.35">
      <c r="A199" s="10" t="s">
        <v>2750</v>
      </c>
      <c r="B199" s="255">
        <v>5</v>
      </c>
      <c r="C199" s="10" t="s">
        <v>332</v>
      </c>
      <c r="D199" s="10">
        <v>2</v>
      </c>
      <c r="E199" s="10">
        <v>27</v>
      </c>
      <c r="F199" s="10" t="s">
        <v>690</v>
      </c>
      <c r="G199" s="10" t="s">
        <v>695</v>
      </c>
      <c r="H199" s="10" t="str" cm="1">
        <f t="array" aca="1" ref="H199" ca="1">IF(INDEX(I199:Z199,$H$1)=0,"",INDEX(I199:Z199,$H$1))</f>
        <v xml:space="preserve">Gaseous Fuels:  </v>
      </c>
      <c r="I199" s="10" t="s">
        <v>1329</v>
      </c>
      <c r="J199" s="10" t="s">
        <v>746</v>
      </c>
      <c r="K199" s="27" t="s">
        <v>1429</v>
      </c>
    </row>
    <row r="200" spans="1:11" ht="16.5" x14ac:dyDescent="0.35">
      <c r="A200" s="10" t="s">
        <v>2750</v>
      </c>
      <c r="B200" s="255">
        <v>5</v>
      </c>
      <c r="C200" s="10" t="s">
        <v>332</v>
      </c>
      <c r="D200" s="10">
        <v>2</v>
      </c>
      <c r="E200" s="10">
        <v>27</v>
      </c>
      <c r="F200" s="10" t="s">
        <v>693</v>
      </c>
      <c r="G200" s="10" t="s">
        <v>767</v>
      </c>
      <c r="H200" s="10" t="str" cm="1">
        <f t="array" aca="1" ref="H200" ca="1">IF(INDEX(I200:Z200,$H$1)=0,"",INDEX(I200:Z200,$H$1))</f>
        <v>E+03 Nm3 per day</v>
      </c>
      <c r="I200" s="13" t="s">
        <v>3367</v>
      </c>
      <c r="J200" s="10" t="s">
        <v>2296</v>
      </c>
      <c r="K200" s="13" t="s">
        <v>2295</v>
      </c>
    </row>
    <row r="201" spans="1:11" ht="16.5" x14ac:dyDescent="0.35">
      <c r="A201" s="10" t="s">
        <v>2750</v>
      </c>
      <c r="B201" s="255">
        <v>5</v>
      </c>
      <c r="C201" s="10" t="s">
        <v>332</v>
      </c>
      <c r="D201" s="10">
        <v>2</v>
      </c>
      <c r="E201" s="10">
        <v>28</v>
      </c>
      <c r="F201" s="10" t="s">
        <v>693</v>
      </c>
      <c r="G201" s="10" t="s">
        <v>767</v>
      </c>
      <c r="H201" s="10" t="str" cm="1">
        <f t="array" aca="1" ref="H201" ca="1">IF(INDEX(I201:Z201,$H$1)=0,"",INDEX(I201:Z201,$H$1))</f>
        <v>E+03 Nm3 per day</v>
      </c>
      <c r="I201" s="13" t="s">
        <v>3367</v>
      </c>
      <c r="J201" s="10" t="s">
        <v>2296</v>
      </c>
      <c r="K201" s="13" t="s">
        <v>2295</v>
      </c>
    </row>
    <row r="202" spans="1:11" ht="16.5" x14ac:dyDescent="0.35">
      <c r="A202" s="10" t="s">
        <v>2750</v>
      </c>
      <c r="B202" s="255">
        <v>5</v>
      </c>
      <c r="C202" s="10" t="s">
        <v>332</v>
      </c>
      <c r="D202" s="10">
        <v>2</v>
      </c>
      <c r="E202" s="10">
        <v>29</v>
      </c>
      <c r="F202" s="10" t="s">
        <v>693</v>
      </c>
      <c r="G202" s="10" t="s">
        <v>767</v>
      </c>
      <c r="H202" s="10" t="str" cm="1">
        <f t="array" aca="1" ref="H202" ca="1">IF(INDEX(I202:Z202,$H$1)=0,"",INDEX(I202:Z202,$H$1))</f>
        <v>E+03 Nm3 per day</v>
      </c>
      <c r="I202" s="13" t="s">
        <v>3367</v>
      </c>
      <c r="J202" s="10" t="s">
        <v>2296</v>
      </c>
      <c r="K202" s="13" t="s">
        <v>2295</v>
      </c>
    </row>
    <row r="203" spans="1:11" x14ac:dyDescent="0.35">
      <c r="A203" s="10" t="s">
        <v>2750</v>
      </c>
      <c r="B203" s="255">
        <v>5</v>
      </c>
      <c r="C203" s="10" t="s">
        <v>332</v>
      </c>
      <c r="D203" s="10">
        <v>2</v>
      </c>
      <c r="E203" s="10">
        <v>30</v>
      </c>
      <c r="F203" s="10" t="s">
        <v>690</v>
      </c>
      <c r="G203" s="10" t="s">
        <v>695</v>
      </c>
      <c r="H203" s="10" t="str" cm="1">
        <f t="array" aca="1" ref="H203" ca="1">IF(INDEX(I203:Z203,$H$1)=0,"",INDEX(I203:Z203,$H$1))</f>
        <v>Electric Power Purchases:</v>
      </c>
      <c r="I203" s="10" t="s">
        <v>1330</v>
      </c>
      <c r="J203" s="10" t="s">
        <v>736</v>
      </c>
      <c r="K203" s="27" t="s">
        <v>1430</v>
      </c>
    </row>
    <row r="204" spans="1:11" x14ac:dyDescent="0.35">
      <c r="A204" s="10" t="s">
        <v>2750</v>
      </c>
      <c r="B204" s="255">
        <v>5</v>
      </c>
      <c r="C204" s="10" t="s">
        <v>332</v>
      </c>
      <c r="D204" s="10">
        <v>2</v>
      </c>
      <c r="E204" s="10">
        <v>30</v>
      </c>
      <c r="F204" s="10" t="s">
        <v>693</v>
      </c>
      <c r="G204" s="10" t="s">
        <v>767</v>
      </c>
      <c r="H204" s="10" t="str" cm="1">
        <f t="array" aca="1" ref="H204" ca="1">IF(INDEX(I204:Z204,$H$1)=0,"",INDEX(I204:Z204,$H$1))</f>
        <v>MWh per Year</v>
      </c>
      <c r="I204" s="13" t="s">
        <v>2299</v>
      </c>
      <c r="J204" s="13" t="s">
        <v>2300</v>
      </c>
      <c r="K204" s="13" t="s">
        <v>2300</v>
      </c>
    </row>
    <row r="205" spans="1:11" x14ac:dyDescent="0.35">
      <c r="A205" s="10" t="s">
        <v>2750</v>
      </c>
      <c r="B205" s="255">
        <v>5</v>
      </c>
      <c r="C205" s="10" t="s">
        <v>332</v>
      </c>
      <c r="D205" s="10">
        <v>2</v>
      </c>
      <c r="E205" s="10">
        <v>31</v>
      </c>
      <c r="F205" s="10" t="s">
        <v>693</v>
      </c>
      <c r="G205" s="10" t="s">
        <v>767</v>
      </c>
      <c r="H205" s="10" t="str" cm="1">
        <f t="array" aca="1" ref="H205" ca="1">IF(INDEX(I205:Z205,$H$1)=0,"",INDEX(I205:Z205,$H$1))</f>
        <v>MWh per Year</v>
      </c>
      <c r="I205" s="13" t="s">
        <v>2299</v>
      </c>
      <c r="J205" s="13" t="s">
        <v>2300</v>
      </c>
      <c r="K205" s="13" t="s">
        <v>2300</v>
      </c>
    </row>
    <row r="206" spans="1:11" x14ac:dyDescent="0.35">
      <c r="A206" s="10" t="s">
        <v>2750</v>
      </c>
      <c r="B206" s="255">
        <v>5</v>
      </c>
      <c r="C206" s="10" t="s">
        <v>332</v>
      </c>
      <c r="D206" s="10">
        <v>2</v>
      </c>
      <c r="E206" s="10">
        <v>32</v>
      </c>
      <c r="F206" s="10" t="s">
        <v>693</v>
      </c>
      <c r="G206" s="10" t="s">
        <v>767</v>
      </c>
      <c r="H206" s="10" t="str" cm="1">
        <f t="array" aca="1" ref="H206" ca="1">IF(INDEX(I206:Z206,$H$1)=0,"",INDEX(I206:Z206,$H$1))</f>
        <v>MWh per Year</v>
      </c>
      <c r="I206" s="13" t="s">
        <v>2299</v>
      </c>
      <c r="J206" s="13" t="s">
        <v>2300</v>
      </c>
      <c r="K206" s="13" t="s">
        <v>2300</v>
      </c>
    </row>
    <row r="207" spans="1:11" x14ac:dyDescent="0.35">
      <c r="A207" s="10" t="s">
        <v>2750</v>
      </c>
      <c r="B207" s="255">
        <v>5</v>
      </c>
      <c r="C207" s="10" t="s">
        <v>332</v>
      </c>
      <c r="D207" s="10">
        <v>2</v>
      </c>
      <c r="E207" s="10">
        <v>33</v>
      </c>
      <c r="F207" s="10" t="s">
        <v>693</v>
      </c>
      <c r="G207" s="10" t="s">
        <v>767</v>
      </c>
      <c r="H207" s="10" t="str" cm="1">
        <f t="array" aca="1" ref="H207" ca="1">IF(INDEX(I207:Z207,$H$1)=0,"",INDEX(I207:Z207,$H$1))</f>
        <v>MWh per Year</v>
      </c>
      <c r="I207" s="13" t="s">
        <v>2299</v>
      </c>
      <c r="J207" s="13" t="s">
        <v>2300</v>
      </c>
      <c r="K207" s="13" t="s">
        <v>2300</v>
      </c>
    </row>
    <row r="208" spans="1:11" x14ac:dyDescent="0.35">
      <c r="A208" s="10" t="s">
        <v>2750</v>
      </c>
      <c r="B208" s="255">
        <v>5</v>
      </c>
      <c r="C208" s="10" t="s">
        <v>332</v>
      </c>
      <c r="D208" s="10">
        <v>2</v>
      </c>
      <c r="E208" s="10">
        <v>34</v>
      </c>
      <c r="F208" s="10" t="s">
        <v>690</v>
      </c>
      <c r="G208" s="10" t="s">
        <v>695</v>
      </c>
      <c r="H208" s="10" t="str" cm="1">
        <f t="array" aca="1" ref="H208" ca="1">IF(INDEX(I208:Z208,$H$1)=0,"",INDEX(I208:Z208,$H$1))</f>
        <v>Heat Purchased: Steam:</v>
      </c>
      <c r="I208" s="10" t="s">
        <v>622</v>
      </c>
      <c r="J208" s="10" t="s">
        <v>737</v>
      </c>
      <c r="K208" s="27" t="s">
        <v>1431</v>
      </c>
    </row>
    <row r="209" spans="1:11" x14ac:dyDescent="0.35">
      <c r="A209" s="10" t="s">
        <v>2750</v>
      </c>
      <c r="B209" s="255">
        <v>5</v>
      </c>
      <c r="C209" s="10" t="s">
        <v>332</v>
      </c>
      <c r="D209" s="10">
        <v>2</v>
      </c>
      <c r="E209" s="10">
        <v>35</v>
      </c>
      <c r="F209" s="10" t="s">
        <v>690</v>
      </c>
      <c r="G209" s="10" t="s">
        <v>695</v>
      </c>
      <c r="H209" s="10" t="str" cm="1">
        <f t="array" aca="1" ref="H209" ca="1">IF(INDEX(I209:Z209,$H$1)=0,"",INDEX(I209:Z209,$H$1))</f>
        <v>Heat Purchased: Hot Water:</v>
      </c>
      <c r="I209" s="10" t="s">
        <v>623</v>
      </c>
      <c r="J209" s="10" t="s">
        <v>738</v>
      </c>
      <c r="K209" s="27" t="s">
        <v>1432</v>
      </c>
    </row>
    <row r="210" spans="1:11" x14ac:dyDescent="0.35">
      <c r="A210" s="10" t="s">
        <v>2750</v>
      </c>
      <c r="B210" s="255">
        <v>5</v>
      </c>
      <c r="C210" s="10" t="s">
        <v>332</v>
      </c>
      <c r="D210" s="10">
        <v>2</v>
      </c>
      <c r="E210" s="10">
        <v>34</v>
      </c>
      <c r="F210" s="10" t="s">
        <v>693</v>
      </c>
      <c r="G210" s="10" t="s">
        <v>767</v>
      </c>
      <c r="H210" s="10" t="str" cm="1">
        <f t="array" aca="1" ref="H210" ca="1">IF(INDEX(I210:Z210,$H$1)=0,"",INDEX(I210:Z210,$H$1))</f>
        <v>GJ per Year</v>
      </c>
      <c r="I210" s="13" t="s">
        <v>2301</v>
      </c>
      <c r="J210" s="13" t="s">
        <v>2302</v>
      </c>
      <c r="K210" s="27" t="s">
        <v>2302</v>
      </c>
    </row>
    <row r="211" spans="1:11" x14ac:dyDescent="0.35">
      <c r="A211" s="10" t="s">
        <v>2750</v>
      </c>
      <c r="B211" s="255">
        <v>5</v>
      </c>
      <c r="C211" s="10" t="s">
        <v>332</v>
      </c>
      <c r="D211" s="10">
        <v>2</v>
      </c>
      <c r="E211" s="10">
        <v>35</v>
      </c>
      <c r="F211" s="10" t="s">
        <v>693</v>
      </c>
      <c r="G211" s="10" t="s">
        <v>767</v>
      </c>
      <c r="H211" s="10" t="str" cm="1">
        <f t="array" aca="1" ref="H211" ca="1">IF(INDEX(I211:Z211,$H$1)=0,"",INDEX(I211:Z211,$H$1))</f>
        <v>GJ per Year</v>
      </c>
      <c r="I211" s="13" t="s">
        <v>2301</v>
      </c>
      <c r="J211" s="13" t="s">
        <v>2302</v>
      </c>
      <c r="K211" s="27" t="s">
        <v>2302</v>
      </c>
    </row>
    <row r="212" spans="1:11" x14ac:dyDescent="0.35">
      <c r="A212" s="10" t="s">
        <v>2750</v>
      </c>
      <c r="B212" s="255">
        <v>5</v>
      </c>
      <c r="C212" s="10" t="s">
        <v>332</v>
      </c>
      <c r="D212" s="10">
        <v>2</v>
      </c>
      <c r="E212" s="10">
        <v>35</v>
      </c>
      <c r="F212" s="10" t="s">
        <v>693</v>
      </c>
      <c r="G212" s="10" t="s">
        <v>767</v>
      </c>
      <c r="H212" s="10" t="str" cm="1">
        <f t="array" aca="1" ref="H212" ca="1">IF(INDEX(I212:Z212,$H$1)=0,"",INDEX(I212:Z212,$H$1))</f>
        <v>Measured Emission Contributions (Values entered here override corresponding emission factor calculations)</v>
      </c>
      <c r="I212" s="13" t="s">
        <v>3264</v>
      </c>
      <c r="J212" s="13" t="s">
        <v>3124</v>
      </c>
      <c r="K212" s="27" t="s">
        <v>3125</v>
      </c>
    </row>
    <row r="213" spans="1:11" x14ac:dyDescent="0.35">
      <c r="A213" s="10" t="s">
        <v>2750</v>
      </c>
      <c r="B213" s="255">
        <v>5</v>
      </c>
      <c r="C213" s="10" t="s">
        <v>2035</v>
      </c>
      <c r="D213" s="10">
        <v>3</v>
      </c>
      <c r="E213" s="10">
        <v>39</v>
      </c>
      <c r="F213" s="10" t="s">
        <v>690</v>
      </c>
      <c r="G213" s="10" t="s">
        <v>696</v>
      </c>
      <c r="H213" s="10" t="str" cm="1">
        <f t="array" aca="1" ref="H213" ca="1">IF(INDEX(I213:Z213,$H$1)=0,"",INDEX(I213:Z213,$H$1))</f>
        <v>Parameter</v>
      </c>
      <c r="I213" s="13" t="s">
        <v>333</v>
      </c>
      <c r="J213" s="13" t="s">
        <v>723</v>
      </c>
      <c r="K213" s="27" t="s">
        <v>1410</v>
      </c>
    </row>
    <row r="214" spans="1:11" x14ac:dyDescent="0.35">
      <c r="A214" s="10" t="s">
        <v>2750</v>
      </c>
      <c r="B214" s="255">
        <v>5</v>
      </c>
      <c r="C214" s="10" t="s">
        <v>2035</v>
      </c>
      <c r="D214" s="10">
        <v>3</v>
      </c>
      <c r="E214" s="10">
        <v>39</v>
      </c>
      <c r="F214" s="10" t="s">
        <v>38</v>
      </c>
      <c r="G214" s="10" t="s">
        <v>696</v>
      </c>
      <c r="H214" s="10" t="str" cm="1">
        <f t="array" aca="1" ref="H214" ca="1">IF(INDEX(I214:Z214,$H$1)=0,"",INDEX(I214:Z214,$H$1))</f>
        <v>Measured Value</v>
      </c>
      <c r="I214" s="13" t="s">
        <v>2792</v>
      </c>
      <c r="J214" s="13" t="s">
        <v>2039</v>
      </c>
      <c r="K214" s="27" t="s">
        <v>1411</v>
      </c>
    </row>
    <row r="215" spans="1:11" x14ac:dyDescent="0.35">
      <c r="A215" s="10" t="s">
        <v>2750</v>
      </c>
      <c r="B215" s="255">
        <v>5</v>
      </c>
      <c r="C215" s="10" t="s">
        <v>2035</v>
      </c>
      <c r="D215" s="10">
        <v>3</v>
      </c>
      <c r="E215" s="10">
        <v>39</v>
      </c>
      <c r="F215" s="10" t="s">
        <v>692</v>
      </c>
      <c r="G215" s="10" t="s">
        <v>696</v>
      </c>
      <c r="H215" s="10" t="str" cm="1">
        <f t="array" aca="1" ref="H215" ca="1">IF(INDEX(I215:Z215,$H$1)=0,"",INDEX(I215:Z215,$H$1))</f>
        <v>Units of Measure</v>
      </c>
      <c r="I215" s="13" t="s">
        <v>331</v>
      </c>
      <c r="J215" s="13" t="s">
        <v>726</v>
      </c>
      <c r="K215" s="27" t="s">
        <v>2045</v>
      </c>
    </row>
    <row r="216" spans="1:11" x14ac:dyDescent="0.35">
      <c r="A216" s="10" t="s">
        <v>2750</v>
      </c>
      <c r="B216" s="255">
        <v>5</v>
      </c>
      <c r="C216" s="10" t="s">
        <v>2035</v>
      </c>
      <c r="D216" s="10">
        <v>3</v>
      </c>
      <c r="E216" s="10">
        <v>39</v>
      </c>
      <c r="F216" s="10" t="s">
        <v>692</v>
      </c>
      <c r="G216" s="10" t="s">
        <v>696</v>
      </c>
      <c r="H216" s="10" t="str" cm="1">
        <f t="array" aca="1" ref="H216" ca="1">IF(INDEX(I216:Z216,$H$1)=0,"",INDEX(I216:Z216,$H$1))</f>
        <v>Emitted Substance</v>
      </c>
      <c r="I216" s="13" t="s">
        <v>3089</v>
      </c>
      <c r="J216" s="13" t="s">
        <v>3126</v>
      </c>
      <c r="K216" s="27" t="s">
        <v>3127</v>
      </c>
    </row>
    <row r="217" spans="1:11" x14ac:dyDescent="0.35">
      <c r="A217" s="10" t="s">
        <v>2750</v>
      </c>
      <c r="B217" s="255">
        <v>5</v>
      </c>
      <c r="C217" s="10" t="s">
        <v>2035</v>
      </c>
      <c r="D217" s="10">
        <v>3</v>
      </c>
      <c r="E217" s="10">
        <v>39</v>
      </c>
      <c r="F217" s="10" t="s">
        <v>693</v>
      </c>
      <c r="G217" s="10" t="s">
        <v>696</v>
      </c>
      <c r="H217" s="10" t="str" cm="1">
        <f t="array" aca="1" ref="H217" ca="1">IF(INDEX(I217:Z217,$H$1)=0,"",INDEX(I217:Z217,$H$1))</f>
        <v>Comment</v>
      </c>
      <c r="I217" s="13" t="s">
        <v>2036</v>
      </c>
      <c r="J217" s="13" t="s">
        <v>2040</v>
      </c>
      <c r="K217" s="27" t="s">
        <v>2046</v>
      </c>
    </row>
    <row r="218" spans="1:11" x14ac:dyDescent="0.35">
      <c r="A218" s="10" t="s">
        <v>2750</v>
      </c>
      <c r="B218" s="255">
        <v>5</v>
      </c>
      <c r="C218" s="10" t="s">
        <v>2035</v>
      </c>
      <c r="D218" s="10">
        <v>3</v>
      </c>
      <c r="E218" s="10">
        <v>39</v>
      </c>
      <c r="F218" s="10" t="s">
        <v>712</v>
      </c>
      <c r="G218" s="10" t="s">
        <v>696</v>
      </c>
      <c r="H218" s="10" t="str" cm="1">
        <f t="array" aca="1" ref="H218" ca="1">IF(INDEX(I218:Z218,$H$1)=0,"",INDEX(I218:Z218,$H$1))</f>
        <v>Value (sm^3 CH4/h)</v>
      </c>
      <c r="I218" s="13" t="s">
        <v>2482</v>
      </c>
      <c r="J218" s="13" t="s">
        <v>2483</v>
      </c>
      <c r="K218" s="27" t="s">
        <v>2484</v>
      </c>
    </row>
    <row r="219" spans="1:11" x14ac:dyDescent="0.35">
      <c r="A219" s="10" t="s">
        <v>2750</v>
      </c>
      <c r="B219" s="255">
        <v>5</v>
      </c>
      <c r="C219" s="10" t="s">
        <v>2035</v>
      </c>
      <c r="D219" s="10">
        <v>3</v>
      </c>
      <c r="E219" s="10">
        <v>40</v>
      </c>
      <c r="F219" s="10" t="s">
        <v>690</v>
      </c>
      <c r="G219" s="10" t="s">
        <v>695</v>
      </c>
      <c r="H219" s="10" t="str" cm="1">
        <f t="array" aca="1" ref="H219" ca="1">IF(INDEX(I219:Z219,$H$1)=0,"",INDEX(I219:Z219,$H$1))</f>
        <v>Emissions From Detected Leaks</v>
      </c>
      <c r="I219" s="4" t="s">
        <v>2037</v>
      </c>
      <c r="J219" s="13" t="s">
        <v>2041</v>
      </c>
      <c r="K219" s="27" t="s">
        <v>2047</v>
      </c>
    </row>
    <row r="220" spans="1:11" x14ac:dyDescent="0.35">
      <c r="A220" s="10" t="s">
        <v>2750</v>
      </c>
      <c r="B220" s="255">
        <v>5</v>
      </c>
      <c r="C220" s="10" t="s">
        <v>2035</v>
      </c>
      <c r="D220" s="10">
        <v>3</v>
      </c>
      <c r="E220" s="10">
        <v>40</v>
      </c>
      <c r="F220" s="10" t="s">
        <v>690</v>
      </c>
      <c r="G220" s="10" t="s">
        <v>695</v>
      </c>
      <c r="H220" s="10" t="str" cm="1">
        <f t="array" aca="1" ref="H220" ca="1">IF(INDEX(I220:Z220,$H$1)=0,"",INDEX(I220:Z220,$H$1))</f>
        <v>Emissions From Compressor Seals</v>
      </c>
      <c r="I220" s="4" t="s">
        <v>3227</v>
      </c>
      <c r="J220" s="13" t="s">
        <v>3260</v>
      </c>
      <c r="K220" s="27" t="s">
        <v>3261</v>
      </c>
    </row>
    <row r="221" spans="1:11" x14ac:dyDescent="0.35">
      <c r="A221" s="10" t="s">
        <v>2750</v>
      </c>
      <c r="B221" s="255">
        <v>5</v>
      </c>
      <c r="C221" s="10" t="s">
        <v>2035</v>
      </c>
      <c r="D221" s="10">
        <v>3</v>
      </c>
      <c r="E221" s="10">
        <v>40</v>
      </c>
      <c r="F221" s="10" t="s">
        <v>690</v>
      </c>
      <c r="G221" s="10" t="s">
        <v>695</v>
      </c>
      <c r="H221" s="10" t="str" cm="1">
        <f t="array" aca="1" ref="H221" ca="1">IF(INDEX(I221:Z221,$H$1)=0,"",INDEX(I221:Z221,$H$1))</f>
        <v>Emissions From Pits &amp; Ponds</v>
      </c>
      <c r="I221" s="4" t="s">
        <v>2725</v>
      </c>
      <c r="J221" s="13"/>
      <c r="K221" s="27"/>
    </row>
    <row r="222" spans="1:11" x14ac:dyDescent="0.35">
      <c r="A222" s="10" t="s">
        <v>2750</v>
      </c>
      <c r="B222" s="255">
        <v>5</v>
      </c>
      <c r="C222" s="10" t="s">
        <v>2035</v>
      </c>
      <c r="D222" s="10">
        <v>3</v>
      </c>
      <c r="E222" s="10">
        <v>40</v>
      </c>
      <c r="F222" s="10" t="s">
        <v>690</v>
      </c>
      <c r="G222" s="10" t="s">
        <v>695</v>
      </c>
      <c r="H222" s="10" t="str" cm="1">
        <f t="array" aca="1" ref="H222" ca="1">IF(INDEX(I222:Z222,$H$1)=0,"",INDEX(I222:Z222,$H$1))</f>
        <v>Emissions From Associated Well Sites</v>
      </c>
      <c r="I222" s="4" t="s">
        <v>2726</v>
      </c>
      <c r="J222" s="13"/>
      <c r="K222" s="27"/>
    </row>
    <row r="223" spans="1:11" x14ac:dyDescent="0.35">
      <c r="A223" s="10" t="s">
        <v>2750</v>
      </c>
      <c r="B223" s="255">
        <v>5</v>
      </c>
      <c r="C223" s="10" t="s">
        <v>2035</v>
      </c>
      <c r="D223" s="10">
        <v>3</v>
      </c>
      <c r="E223" s="10">
        <v>40</v>
      </c>
      <c r="F223" s="10" t="s">
        <v>690</v>
      </c>
      <c r="G223" s="10" t="s">
        <v>695</v>
      </c>
      <c r="H223" s="10" t="str" cm="1">
        <f t="array" aca="1" ref="H223" ca="1">IF(INDEX(I223:Z223,$H$1)=0,"",INDEX(I223:Z223,$H$1))</f>
        <v>Emissions From Other Associated Offsite Installations</v>
      </c>
      <c r="I223" s="4" t="s">
        <v>2727</v>
      </c>
      <c r="J223" s="13"/>
      <c r="K223" s="27"/>
    </row>
    <row r="224" spans="1:11" x14ac:dyDescent="0.35">
      <c r="A224" s="10" t="s">
        <v>2750</v>
      </c>
      <c r="B224" s="255">
        <v>5</v>
      </c>
      <c r="C224" s="10" t="s">
        <v>2035</v>
      </c>
      <c r="D224" s="10">
        <v>3</v>
      </c>
      <c r="E224" s="10">
        <v>40</v>
      </c>
      <c r="F224" s="10" t="s">
        <v>690</v>
      </c>
      <c r="G224" s="10" t="s">
        <v>695</v>
      </c>
      <c r="H224" s="10" t="str" cm="1">
        <f t="array" aca="1" ref="H224" ca="1">IF(INDEX(I224:Z224,$H$1)=0,"",INDEX(I224:Z224,$H$1))</f>
        <v>Venting by Glycol Dehydrators</v>
      </c>
      <c r="I224" s="4" t="s">
        <v>2477</v>
      </c>
      <c r="J224" s="13"/>
      <c r="K224" s="27"/>
    </row>
    <row r="225" spans="1:11" x14ac:dyDescent="0.35">
      <c r="A225" s="10" t="s">
        <v>2750</v>
      </c>
      <c r="B225" s="255">
        <v>5</v>
      </c>
      <c r="C225" s="10" t="s">
        <v>2035</v>
      </c>
      <c r="D225" s="10">
        <v>3</v>
      </c>
      <c r="E225" s="10">
        <v>40</v>
      </c>
      <c r="F225" s="10" t="s">
        <v>690</v>
      </c>
      <c r="G225" s="10" t="s">
        <v>695</v>
      </c>
      <c r="H225" s="10" t="str" cm="1">
        <f t="array" aca="1" ref="H225" ca="1">IF(INDEX(I225:Z225,$H$1)=0,"",INDEX(I225:Z225,$H$1))</f>
        <v>Venting by Gas Sweetening Units</v>
      </c>
      <c r="I225" s="4" t="s">
        <v>2481</v>
      </c>
      <c r="J225" s="13"/>
      <c r="K225" s="27"/>
    </row>
    <row r="226" spans="1:11" x14ac:dyDescent="0.35">
      <c r="A226" s="10" t="s">
        <v>2750</v>
      </c>
      <c r="B226" s="255">
        <v>5</v>
      </c>
      <c r="C226" s="10" t="s">
        <v>2035</v>
      </c>
      <c r="D226" s="10">
        <v>3</v>
      </c>
      <c r="E226" s="10">
        <v>41</v>
      </c>
      <c r="F226" s="10" t="s">
        <v>690</v>
      </c>
      <c r="G226" s="10" t="s">
        <v>695</v>
      </c>
      <c r="H226" s="10" t="str" cm="1">
        <f t="array" aca="1" ref="H226" ca="1">IF(INDEX(I226:Z226,$H$1)=0,"",INDEX(I226:Z226,$H$1))</f>
        <v>Venting by Pneumatic Controllers</v>
      </c>
      <c r="I226" s="4" t="s">
        <v>2668</v>
      </c>
      <c r="J226" s="13" t="s">
        <v>2042</v>
      </c>
      <c r="K226" s="27" t="s">
        <v>2048</v>
      </c>
    </row>
    <row r="227" spans="1:11" x14ac:dyDescent="0.35">
      <c r="A227" s="10" t="s">
        <v>2750</v>
      </c>
      <c r="B227" s="255">
        <v>5</v>
      </c>
      <c r="C227" s="10" t="s">
        <v>2035</v>
      </c>
      <c r="D227" s="10">
        <v>3</v>
      </c>
      <c r="E227" s="10">
        <v>42</v>
      </c>
      <c r="F227" s="10" t="s">
        <v>690</v>
      </c>
      <c r="G227" s="10" t="s">
        <v>695</v>
      </c>
      <c r="H227" s="10" t="str" cm="1">
        <f t="array" aca="1" ref="H227" ca="1">IF(INDEX(I227:Z227,$H$1)=0,"",INDEX(I227:Z227,$H$1))</f>
        <v>Venting by Pneumatic Chemical Injection Pumps</v>
      </c>
      <c r="I227" s="4" t="s">
        <v>2669</v>
      </c>
      <c r="J227" s="13" t="s">
        <v>2043</v>
      </c>
      <c r="K227" s="27" t="s">
        <v>2670</v>
      </c>
    </row>
    <row r="228" spans="1:11" x14ac:dyDescent="0.35">
      <c r="A228" s="10" t="s">
        <v>2750</v>
      </c>
      <c r="B228" s="255">
        <v>5</v>
      </c>
      <c r="C228" s="10" t="s">
        <v>2035</v>
      </c>
      <c r="D228" s="10">
        <v>3</v>
      </c>
      <c r="E228" s="10">
        <v>42</v>
      </c>
      <c r="F228" s="10" t="s">
        <v>690</v>
      </c>
      <c r="G228" s="10" t="s">
        <v>695</v>
      </c>
      <c r="H228" s="10" t="str" cm="1">
        <f t="array" aca="1" ref="H228" ca="1">IF(INDEX(I228:Z228,$H$1)=0,"",INDEX(I228:Z228,$H$1))</f>
        <v>Venting by Other Sources</v>
      </c>
      <c r="I228" s="4" t="s">
        <v>2721</v>
      </c>
      <c r="J228" s="13"/>
      <c r="K228" s="27"/>
    </row>
    <row r="229" spans="1:11" x14ac:dyDescent="0.35">
      <c r="A229" s="10" t="s">
        <v>2750</v>
      </c>
      <c r="B229" s="255">
        <v>5</v>
      </c>
      <c r="C229" s="10" t="s">
        <v>2035</v>
      </c>
      <c r="D229" s="10">
        <v>3</v>
      </c>
      <c r="E229" s="10">
        <v>43</v>
      </c>
      <c r="F229" s="10" t="s">
        <v>690</v>
      </c>
      <c r="G229" s="10" t="s">
        <v>695</v>
      </c>
      <c r="H229" s="10" t="str" cm="1">
        <f t="array" aca="1" ref="H229" ca="1">IF(INDEX(I229:Z229,$H$1)=0,"",INDEX(I229:Z229,$H$1))</f>
        <v>Non-Flashing Losses from Storage Tanks</v>
      </c>
      <c r="I229" s="4" t="s">
        <v>3088</v>
      </c>
      <c r="J229" s="13"/>
      <c r="K229" s="27"/>
    </row>
    <row r="230" spans="1:11" x14ac:dyDescent="0.35">
      <c r="A230" s="10" t="s">
        <v>2750</v>
      </c>
      <c r="B230" s="255">
        <v>5</v>
      </c>
      <c r="C230" s="10" t="s">
        <v>2035</v>
      </c>
      <c r="D230" s="10">
        <v>3</v>
      </c>
      <c r="E230" s="10">
        <v>44</v>
      </c>
      <c r="F230" s="10" t="s">
        <v>690</v>
      </c>
      <c r="G230" s="10" t="s">
        <v>695</v>
      </c>
      <c r="H230" s="10" t="str" cm="1">
        <f t="array" aca="1" ref="H230" ca="1">IF(INDEX(I230:Z230,$H$1)=0,"",INDEX(I230:Z230,$H$1))</f>
        <v>Casinghead Venting</v>
      </c>
      <c r="I230" s="4" t="s">
        <v>2038</v>
      </c>
      <c r="J230" s="13" t="s">
        <v>2044</v>
      </c>
      <c r="K230" s="27" t="s">
        <v>2049</v>
      </c>
    </row>
    <row r="231" spans="1:11" x14ac:dyDescent="0.35">
      <c r="A231" s="10" t="s">
        <v>2750</v>
      </c>
      <c r="B231" s="255">
        <v>5</v>
      </c>
      <c r="C231" s="10" t="s">
        <v>2035</v>
      </c>
      <c r="D231" s="10">
        <v>3</v>
      </c>
      <c r="E231" s="10">
        <v>45</v>
      </c>
      <c r="F231" s="10" t="s">
        <v>690</v>
      </c>
      <c r="G231" s="10" t="s">
        <v>695</v>
      </c>
      <c r="H231" s="10" t="str" cm="1">
        <f t="array" aca="1" ref="H231" ca="1">IF(INDEX(I231:Z231,$H$1)=0,"",INDEX(I231:Z231,$H$1))</f>
        <v>Storage Losses</v>
      </c>
      <c r="I231" s="4" t="s">
        <v>2052</v>
      </c>
      <c r="J231" s="13" t="s">
        <v>2054</v>
      </c>
      <c r="K231" s="27" t="s">
        <v>2053</v>
      </c>
    </row>
    <row r="232" spans="1:11" x14ac:dyDescent="0.35">
      <c r="A232" s="10" t="s">
        <v>2750</v>
      </c>
      <c r="B232" s="255">
        <v>5</v>
      </c>
      <c r="C232" s="10" t="s">
        <v>239</v>
      </c>
      <c r="D232" s="10">
        <v>4</v>
      </c>
      <c r="E232" s="10">
        <v>47</v>
      </c>
      <c r="F232" s="10" t="s">
        <v>690</v>
      </c>
      <c r="G232" s="10" t="s">
        <v>688</v>
      </c>
      <c r="H232" s="10" t="str" cm="1">
        <f t="array" aca="1" ref="H232" ca="1">IF(INDEX(I232:Z232,$H$1)=0,"",INDEX(I232:Z232,$H$1))</f>
        <v>Processes Used at the Facility</v>
      </c>
      <c r="I232" s="10" t="s">
        <v>239</v>
      </c>
      <c r="J232" s="10" t="s">
        <v>739</v>
      </c>
      <c r="K232" s="27" t="s">
        <v>1433</v>
      </c>
    </row>
    <row r="233" spans="1:11" x14ac:dyDescent="0.35">
      <c r="A233" s="10" t="s">
        <v>2750</v>
      </c>
      <c r="B233" s="255">
        <v>5</v>
      </c>
      <c r="C233" s="10" t="s">
        <v>239</v>
      </c>
      <c r="D233" s="10">
        <v>4</v>
      </c>
      <c r="E233" s="10">
        <v>48</v>
      </c>
      <c r="F233" s="10" t="s">
        <v>690</v>
      </c>
      <c r="G233" s="10" t="s">
        <v>696</v>
      </c>
      <c r="H233" s="10" t="str" cm="1">
        <f t="array" aca="1" ref="H233" ca="1">IF(INDEX(I233:Z233,$H$1)=0,"",INDEX(I233:Z233,$H$1))</f>
        <v>Unit No.</v>
      </c>
      <c r="I233" s="10" t="s">
        <v>251</v>
      </c>
      <c r="J233" s="10" t="s">
        <v>740</v>
      </c>
      <c r="K233" s="27" t="s">
        <v>1434</v>
      </c>
    </row>
    <row r="234" spans="1:11" x14ac:dyDescent="0.35">
      <c r="A234" s="10" t="s">
        <v>2750</v>
      </c>
      <c r="B234" s="255">
        <v>5</v>
      </c>
      <c r="C234" s="10" t="s">
        <v>239</v>
      </c>
      <c r="D234" s="10">
        <v>4</v>
      </c>
      <c r="E234" s="10">
        <v>48</v>
      </c>
      <c r="F234" s="10" t="s">
        <v>38</v>
      </c>
      <c r="G234" s="10" t="s">
        <v>696</v>
      </c>
      <c r="H234" s="10" t="str" cm="1">
        <f t="array" aca="1" ref="H234" ca="1">IF(INDEX(I234:Z234,$H$1)=0,"",INDEX(I234:Z234,$H$1))</f>
        <v>Process Type</v>
      </c>
      <c r="I234" s="10" t="s">
        <v>252</v>
      </c>
      <c r="J234" s="10" t="s">
        <v>741</v>
      </c>
      <c r="K234" s="27" t="s">
        <v>1435</v>
      </c>
    </row>
    <row r="235" spans="1:11" x14ac:dyDescent="0.35">
      <c r="A235" s="10" t="s">
        <v>2750</v>
      </c>
      <c r="B235" s="255">
        <v>5</v>
      </c>
      <c r="C235" s="10" t="s">
        <v>239</v>
      </c>
      <c r="D235" s="10">
        <v>4</v>
      </c>
      <c r="E235" s="10">
        <v>48</v>
      </c>
      <c r="F235" s="10" t="s">
        <v>692</v>
      </c>
      <c r="G235" s="10" t="s">
        <v>696</v>
      </c>
      <c r="H235" s="10" t="str" cm="1">
        <f t="array" aca="1" ref="H235" ca="1">IF(INDEX(I235:Z235,$H$1)=0,"",INDEX(I235:Z235,$H$1))</f>
        <v>Quantity</v>
      </c>
      <c r="I235" s="10" t="s">
        <v>253</v>
      </c>
      <c r="J235" s="10" t="s">
        <v>742</v>
      </c>
      <c r="K235" s="27" t="s">
        <v>1436</v>
      </c>
    </row>
    <row r="236" spans="1:11" x14ac:dyDescent="0.35">
      <c r="A236" s="10" t="s">
        <v>2750</v>
      </c>
      <c r="B236" s="255">
        <v>5</v>
      </c>
      <c r="C236" s="10" t="s">
        <v>239</v>
      </c>
      <c r="D236" s="10">
        <v>4</v>
      </c>
      <c r="E236" s="10">
        <v>48</v>
      </c>
      <c r="F236" s="10" t="s">
        <v>693</v>
      </c>
      <c r="G236" s="10" t="s">
        <v>696</v>
      </c>
      <c r="H236" s="10" t="str" cm="1">
        <f t="array" aca="1" ref="H236" ca="1">IF(INDEX(I236:Z236,$H$1)=0,"",INDEX(I236:Z236,$H$1))</f>
        <v>Pneumatic Devices</v>
      </c>
      <c r="I236" s="10" t="s">
        <v>322</v>
      </c>
      <c r="J236" s="10" t="s">
        <v>743</v>
      </c>
      <c r="K236" s="27" t="s">
        <v>1401</v>
      </c>
    </row>
    <row r="237" spans="1:11" x14ac:dyDescent="0.35">
      <c r="A237" s="10" t="s">
        <v>2750</v>
      </c>
      <c r="B237" s="255">
        <v>5</v>
      </c>
      <c r="C237" s="10" t="s">
        <v>239</v>
      </c>
      <c r="D237" s="10">
        <v>4</v>
      </c>
      <c r="E237" s="10">
        <v>48</v>
      </c>
      <c r="F237" s="10" t="s">
        <v>711</v>
      </c>
      <c r="G237" s="10" t="s">
        <v>696</v>
      </c>
      <c r="H237" s="10" t="str" cm="1">
        <f t="array" aca="1" ref="H237" ca="1">IF(INDEX(I237:Z237,$H$1)=0,"",INDEX(I237:Z237,$H$1))</f>
        <v>Operating Time (Percentage)</v>
      </c>
      <c r="I237" s="10" t="s">
        <v>300</v>
      </c>
      <c r="J237" s="10" t="s">
        <v>744</v>
      </c>
      <c r="K237" s="27" t="s">
        <v>1437</v>
      </c>
    </row>
    <row r="238" spans="1:11" x14ac:dyDescent="0.35">
      <c r="A238" s="10" t="s">
        <v>2750</v>
      </c>
      <c r="B238" s="255">
        <v>5</v>
      </c>
      <c r="C238" s="10" t="s">
        <v>239</v>
      </c>
      <c r="D238" s="10">
        <v>4</v>
      </c>
      <c r="E238" s="10">
        <v>48</v>
      </c>
      <c r="F238" s="10" t="s">
        <v>713</v>
      </c>
      <c r="G238" s="10" t="s">
        <v>696</v>
      </c>
      <c r="H238" s="10" t="str" cm="1">
        <f t="array" aca="1" ref="H238" ca="1">IF(INDEX(I238:Z238,$H$1)=0,"",INDEX(I238:Z238,$H$1))</f>
        <v>Error Messages</v>
      </c>
      <c r="I238" s="10" t="s">
        <v>326</v>
      </c>
      <c r="J238" s="10" t="s">
        <v>745</v>
      </c>
      <c r="K238" s="27" t="s">
        <v>1821</v>
      </c>
    </row>
    <row r="239" spans="1:11" x14ac:dyDescent="0.35">
      <c r="A239" s="10" t="s">
        <v>2750</v>
      </c>
      <c r="B239" s="255">
        <v>5</v>
      </c>
      <c r="C239" s="10" t="s">
        <v>239</v>
      </c>
      <c r="D239" s="10">
        <v>4</v>
      </c>
      <c r="E239" s="10">
        <v>49</v>
      </c>
      <c r="F239" s="10" t="s">
        <v>693</v>
      </c>
      <c r="G239" s="10" t="s">
        <v>696</v>
      </c>
      <c r="H239" s="10" t="str" cm="1">
        <f t="array" aca="1" ref="H239" ca="1">IF(INDEX(I239:Z239,$H$1)=0,"",INDEX(I239:Z239,$H$1))</f>
        <v>Supply Gas</v>
      </c>
      <c r="I239" s="10" t="s">
        <v>321</v>
      </c>
      <c r="J239" s="10" t="s">
        <v>747</v>
      </c>
      <c r="K239" s="27" t="s">
        <v>1438</v>
      </c>
    </row>
    <row r="240" spans="1:11" x14ac:dyDescent="0.35">
      <c r="A240" s="10" t="s">
        <v>2750</v>
      </c>
      <c r="B240" s="255">
        <v>5</v>
      </c>
      <c r="C240" s="10" t="s">
        <v>239</v>
      </c>
      <c r="D240" s="10">
        <v>4</v>
      </c>
      <c r="E240" s="10">
        <v>49</v>
      </c>
      <c r="F240" s="10" t="s">
        <v>694</v>
      </c>
      <c r="G240" s="10" t="s">
        <v>696</v>
      </c>
      <c r="H240" s="10" t="str" cm="1">
        <f t="array" aca="1" ref="H240" ca="1">IF(INDEX(I240:Z240,$H$1)=0,"",INDEX(I240:Z240,$H$1))</f>
        <v>Type of Controllers</v>
      </c>
      <c r="I240" s="10" t="s">
        <v>323</v>
      </c>
      <c r="J240" s="10" t="s">
        <v>748</v>
      </c>
      <c r="K240" s="27" t="s">
        <v>1439</v>
      </c>
    </row>
    <row r="241" spans="1:11" x14ac:dyDescent="0.35">
      <c r="A241" s="10" t="s">
        <v>2750</v>
      </c>
      <c r="B241" s="255">
        <v>5</v>
      </c>
      <c r="C241" s="10" t="s">
        <v>239</v>
      </c>
      <c r="D241" s="10">
        <v>4</v>
      </c>
      <c r="E241" s="10">
        <v>49</v>
      </c>
      <c r="F241" s="10" t="s">
        <v>711</v>
      </c>
      <c r="G241" s="10" t="s">
        <v>696</v>
      </c>
      <c r="H241" s="10" t="str" cm="1">
        <f t="array" aca="1" ref="H241" ca="1">IF(INDEX(I241:Z241,$H$1)=0,"",INDEX(I241:Z241,$H$1))</f>
        <v>Operating</v>
      </c>
      <c r="I241" s="10" t="s">
        <v>297</v>
      </c>
      <c r="J241" s="10" t="s">
        <v>749</v>
      </c>
      <c r="K241" s="27" t="s">
        <v>1440</v>
      </c>
    </row>
    <row r="242" spans="1:11" x14ac:dyDescent="0.35">
      <c r="A242" s="10" t="s">
        <v>2750</v>
      </c>
      <c r="B242" s="255">
        <v>5</v>
      </c>
      <c r="C242" s="10" t="s">
        <v>239</v>
      </c>
      <c r="D242" s="10">
        <v>4</v>
      </c>
      <c r="E242" s="10">
        <v>49</v>
      </c>
      <c r="F242" s="10" t="s">
        <v>591</v>
      </c>
      <c r="G242" s="10" t="s">
        <v>696</v>
      </c>
      <c r="H242" s="10" t="str" cm="1">
        <f t="array" aca="1" ref="H242" ca="1">IF(INDEX(I242:Z242,$H$1)=0,"",INDEX(I242:Z242,$H$1))</f>
        <v>Standby &amp; Pressurized</v>
      </c>
      <c r="I242" s="10" t="s">
        <v>298</v>
      </c>
      <c r="J242" s="10" t="s">
        <v>750</v>
      </c>
      <c r="K242" s="27" t="s">
        <v>1441</v>
      </c>
    </row>
    <row r="243" spans="1:11" x14ac:dyDescent="0.35">
      <c r="A243" s="10" t="s">
        <v>2750</v>
      </c>
      <c r="B243" s="255">
        <v>5</v>
      </c>
      <c r="C243" s="10" t="s">
        <v>239</v>
      </c>
      <c r="D243" s="10">
        <v>4</v>
      </c>
      <c r="E243" s="10">
        <v>49</v>
      </c>
      <c r="F243" s="10" t="s">
        <v>712</v>
      </c>
      <c r="G243" s="10" t="s">
        <v>696</v>
      </c>
      <c r="H243" s="10" t="str" cm="1">
        <f t="array" aca="1" ref="H243" ca="1">IF(INDEX(I243:Z243,$H$1)=0,"",INDEX(I243:Z243,$H$1))</f>
        <v xml:space="preserve">Depressurized </v>
      </c>
      <c r="I243" s="10" t="s">
        <v>299</v>
      </c>
      <c r="J243" s="10" t="s">
        <v>751</v>
      </c>
      <c r="K243" s="27" t="s">
        <v>1442</v>
      </c>
    </row>
    <row r="244" spans="1:11" x14ac:dyDescent="0.35">
      <c r="A244" s="10" t="s">
        <v>2750</v>
      </c>
      <c r="B244" s="255">
        <v>5</v>
      </c>
      <c r="C244" s="10" t="s">
        <v>265</v>
      </c>
      <c r="D244" s="10">
        <v>5</v>
      </c>
      <c r="E244" s="10">
        <v>66</v>
      </c>
      <c r="F244" s="10" t="s">
        <v>690</v>
      </c>
      <c r="G244" s="10" t="s">
        <v>688</v>
      </c>
      <c r="H244" s="10" t="str" cm="1">
        <f t="array" aca="1" ref="H244" ca="1">IF(INDEX(I244:Z244,$H$1)=0,"",INDEX(I244:Z244,$H$1))</f>
        <v>Gas Compositions</v>
      </c>
      <c r="I244" s="10" t="s">
        <v>265</v>
      </c>
      <c r="J244" s="10" t="s">
        <v>752</v>
      </c>
      <c r="K244" s="27" t="s">
        <v>1443</v>
      </c>
    </row>
    <row r="245" spans="1:11" x14ac:dyDescent="0.35">
      <c r="A245" s="10" t="s">
        <v>2750</v>
      </c>
      <c r="B245" s="255">
        <v>5</v>
      </c>
      <c r="C245" s="10" t="s">
        <v>265</v>
      </c>
      <c r="D245" s="10">
        <v>5</v>
      </c>
      <c r="E245" s="10">
        <v>67</v>
      </c>
      <c r="F245" s="10" t="s">
        <v>690</v>
      </c>
      <c r="G245" s="10" t="s">
        <v>696</v>
      </c>
      <c r="H245" s="10" t="str" cm="1">
        <f t="array" aca="1" ref="H245" ca="1">IF(INDEX(I245:Z245,$H$1)=0,"",INDEX(I245:Z245,$H$1))</f>
        <v>Stream</v>
      </c>
      <c r="I245" s="10" t="s">
        <v>266</v>
      </c>
      <c r="J245" s="10" t="s">
        <v>753</v>
      </c>
      <c r="K245" s="27" t="s">
        <v>1444</v>
      </c>
    </row>
    <row r="246" spans="1:11" x14ac:dyDescent="0.35">
      <c r="A246" s="10" t="s">
        <v>2750</v>
      </c>
      <c r="B246" s="255">
        <v>5</v>
      </c>
      <c r="C246" s="10" t="s">
        <v>265</v>
      </c>
      <c r="D246" s="10">
        <v>5</v>
      </c>
      <c r="E246" s="10">
        <v>67</v>
      </c>
      <c r="F246" s="10" t="s">
        <v>38</v>
      </c>
      <c r="G246" s="10" t="s">
        <v>696</v>
      </c>
      <c r="H246" s="10" t="str" cm="1">
        <f t="array" aca="1" ref="H246" ca="1">IF(INDEX(I246:Z246,$H$1)=0,"",INDEX(I246:Z246,$H$1))</f>
        <v>Molecular Weight of Gas Mixture</v>
      </c>
      <c r="I246" s="10" t="s">
        <v>274</v>
      </c>
      <c r="J246" s="10" t="s">
        <v>754</v>
      </c>
      <c r="K246" s="27" t="s">
        <v>1445</v>
      </c>
    </row>
    <row r="247" spans="1:11" x14ac:dyDescent="0.35">
      <c r="A247" s="10" t="s">
        <v>2750</v>
      </c>
      <c r="B247" s="255">
        <v>5</v>
      </c>
      <c r="C247" s="10" t="s">
        <v>265</v>
      </c>
      <c r="D247" s="10">
        <v>5</v>
      </c>
      <c r="E247" s="10">
        <v>67</v>
      </c>
      <c r="F247" s="10" t="s">
        <v>692</v>
      </c>
      <c r="G247" s="10" t="s">
        <v>696</v>
      </c>
      <c r="H247" s="10" t="str" cm="1">
        <f t="array" aca="1" ref="H247" ca="1">IF(INDEX(I247:Z247,$H$1)=0,"",INDEX(I247:Z247,$H$1))</f>
        <v>CH4 Content (mol%)</v>
      </c>
      <c r="I247" s="10" t="s">
        <v>714</v>
      </c>
      <c r="J247" s="10" t="s">
        <v>755</v>
      </c>
      <c r="K247" s="27" t="s">
        <v>1446</v>
      </c>
    </row>
    <row r="248" spans="1:11" x14ac:dyDescent="0.35">
      <c r="A248" s="10" t="s">
        <v>2750</v>
      </c>
      <c r="B248" s="255">
        <v>5</v>
      </c>
      <c r="C248" s="10" t="s">
        <v>265</v>
      </c>
      <c r="D248" s="10">
        <v>5</v>
      </c>
      <c r="E248" s="10">
        <v>67</v>
      </c>
      <c r="F248" s="10" t="s">
        <v>693</v>
      </c>
      <c r="G248" s="10" t="s">
        <v>696</v>
      </c>
      <c r="H248" s="10" t="str" cm="1">
        <f t="array" aca="1" ref="H248" ca="1">IF(INDEX(I248:Z248,$H$1)=0,"",INDEX(I248:Z248,$H$1))</f>
        <v>CO2 Content (mol%)</v>
      </c>
      <c r="I248" s="10" t="s">
        <v>715</v>
      </c>
      <c r="J248" s="10" t="s">
        <v>756</v>
      </c>
      <c r="K248" s="27" t="s">
        <v>1447</v>
      </c>
    </row>
    <row r="249" spans="1:11" x14ac:dyDescent="0.35">
      <c r="A249" s="10" t="s">
        <v>2750</v>
      </c>
      <c r="B249" s="255">
        <v>5</v>
      </c>
      <c r="C249" s="10" t="s">
        <v>265</v>
      </c>
      <c r="D249" s="10">
        <v>5</v>
      </c>
      <c r="E249" s="10">
        <v>67</v>
      </c>
      <c r="F249" s="10" t="s">
        <v>694</v>
      </c>
      <c r="G249" s="10" t="s">
        <v>696</v>
      </c>
      <c r="H249" s="10" t="str" cm="1">
        <f t="array" aca="1" ref="H249" ca="1">IF(INDEX(I249:Z249,$H$1)=0,"",INDEX(I249:Z249,$H$1))</f>
        <v>N2 Content (mol%)</v>
      </c>
      <c r="I249" s="10" t="s">
        <v>716</v>
      </c>
      <c r="J249" s="10" t="s">
        <v>757</v>
      </c>
      <c r="K249" s="27" t="s">
        <v>1448</v>
      </c>
    </row>
    <row r="250" spans="1:11" x14ac:dyDescent="0.35">
      <c r="A250" s="10" t="s">
        <v>2750</v>
      </c>
      <c r="B250" s="255">
        <v>5</v>
      </c>
      <c r="C250" s="10" t="s">
        <v>265</v>
      </c>
      <c r="D250" s="10">
        <v>5</v>
      </c>
      <c r="E250" s="10">
        <v>67</v>
      </c>
      <c r="F250" s="10" t="s">
        <v>711</v>
      </c>
      <c r="G250" s="10" t="s">
        <v>696</v>
      </c>
      <c r="H250" s="10" t="str" cm="1">
        <f t="array" aca="1" ref="H250" ca="1">IF(INDEX(I250:Z250,$H$1)=0,"",INDEX(I250:Z250,$H$1))</f>
        <v>H2S Content (mol%)</v>
      </c>
      <c r="I250" s="10" t="s">
        <v>717</v>
      </c>
      <c r="J250" s="10" t="s">
        <v>758</v>
      </c>
      <c r="K250" s="27" t="s">
        <v>1449</v>
      </c>
    </row>
    <row r="251" spans="1:11" x14ac:dyDescent="0.35">
      <c r="A251" s="10" t="s">
        <v>2750</v>
      </c>
      <c r="B251" s="255">
        <v>5</v>
      </c>
      <c r="C251" s="10" t="s">
        <v>265</v>
      </c>
      <c r="D251" s="10">
        <v>5</v>
      </c>
      <c r="E251" s="10">
        <v>67</v>
      </c>
      <c r="F251" s="10" t="s">
        <v>591</v>
      </c>
      <c r="G251" s="10" t="s">
        <v>696</v>
      </c>
      <c r="H251" s="10" t="str" cm="1">
        <f t="array" aca="1" ref="H251" ca="1">IF(INDEX(I251:Z251,$H$1)=0,"",INDEX(I251:Z251,$H$1))</f>
        <v>Source of Values</v>
      </c>
      <c r="I251" s="10" t="s">
        <v>655</v>
      </c>
      <c r="J251" s="10" t="s">
        <v>727</v>
      </c>
      <c r="K251" s="27" t="s">
        <v>1450</v>
      </c>
    </row>
    <row r="252" spans="1:11" x14ac:dyDescent="0.35">
      <c r="A252" s="10" t="s">
        <v>2750</v>
      </c>
      <c r="B252" s="255">
        <v>5</v>
      </c>
      <c r="C252" s="10" t="s">
        <v>265</v>
      </c>
      <c r="D252" s="10">
        <v>5</v>
      </c>
      <c r="E252" s="10">
        <v>67</v>
      </c>
      <c r="F252" s="10" t="s">
        <v>712</v>
      </c>
      <c r="G252" s="10" t="s">
        <v>696</v>
      </c>
      <c r="H252" s="10" t="str" cm="1">
        <f t="array" aca="1" ref="H252" ca="1">IF(INDEX(I252:Z252,$H$1)=0,"",INDEX(I252:Z252,$H$1))</f>
        <v>Error Messages</v>
      </c>
      <c r="I252" s="10" t="s">
        <v>326</v>
      </c>
      <c r="J252" s="10" t="s">
        <v>745</v>
      </c>
      <c r="K252" s="27" t="s">
        <v>1821</v>
      </c>
    </row>
    <row r="253" spans="1:11" x14ac:dyDescent="0.35">
      <c r="A253" s="10" t="s">
        <v>2750</v>
      </c>
      <c r="B253" s="255">
        <v>5</v>
      </c>
      <c r="C253" s="10" t="s">
        <v>265</v>
      </c>
      <c r="D253" s="10">
        <v>5</v>
      </c>
      <c r="E253" s="10">
        <v>68</v>
      </c>
      <c r="F253" s="10" t="s">
        <v>690</v>
      </c>
      <c r="G253" s="10" t="s">
        <v>695</v>
      </c>
      <c r="H253" s="10" t="str" cm="1">
        <f t="array" aca="1" ref="H253" ca="1">IF(INDEX(I253:Z253,$H$1)=0,"",INDEX(I253:Z253,$H$1))</f>
        <v>Process Gas</v>
      </c>
      <c r="I253" s="10" t="s">
        <v>268</v>
      </c>
      <c r="J253" s="10" t="s">
        <v>759</v>
      </c>
      <c r="K253" s="27" t="s">
        <v>1451</v>
      </c>
    </row>
    <row r="254" spans="1:11" x14ac:dyDescent="0.35">
      <c r="A254" s="10" t="s">
        <v>2750</v>
      </c>
      <c r="B254" s="255">
        <v>5</v>
      </c>
      <c r="C254" s="10" t="s">
        <v>265</v>
      </c>
      <c r="D254" s="10">
        <v>5</v>
      </c>
      <c r="E254" s="10">
        <v>69</v>
      </c>
      <c r="F254" s="10" t="s">
        <v>690</v>
      </c>
      <c r="G254" s="10" t="s">
        <v>695</v>
      </c>
      <c r="H254" s="10" t="str" cm="1">
        <f t="array" aca="1" ref="H254" ca="1">IF(INDEX(I254:Z254,$H$1)=0,"",INDEX(I254:Z254,$H$1))</f>
        <v>Fuel Gas</v>
      </c>
      <c r="I254" s="10" t="s">
        <v>267</v>
      </c>
      <c r="J254" s="10" t="s">
        <v>760</v>
      </c>
      <c r="K254" s="27" t="s">
        <v>1452</v>
      </c>
    </row>
    <row r="255" spans="1:11" x14ac:dyDescent="0.35">
      <c r="A255" s="10" t="s">
        <v>2750</v>
      </c>
      <c r="B255" s="255">
        <v>5</v>
      </c>
      <c r="C255" s="10" t="s">
        <v>265</v>
      </c>
      <c r="D255" s="10">
        <v>5</v>
      </c>
      <c r="E255" s="10">
        <v>70</v>
      </c>
      <c r="F255" s="10" t="s">
        <v>690</v>
      </c>
      <c r="G255" s="10" t="s">
        <v>695</v>
      </c>
      <c r="H255" s="10" t="str" cm="1">
        <f t="array" aca="1" ref="H255" ca="1">IF(INDEX(I255:Z255,$H$1)=0,"",INDEX(I255:Z255,$H$1))</f>
        <v>Flared Hydrocarbon Gas:</v>
      </c>
      <c r="I255" s="10" t="s">
        <v>530</v>
      </c>
      <c r="J255" s="10" t="s">
        <v>1237</v>
      </c>
      <c r="K255" s="27" t="s">
        <v>1423</v>
      </c>
    </row>
    <row r="256" spans="1:11" x14ac:dyDescent="0.35">
      <c r="A256" s="10" t="s">
        <v>2750</v>
      </c>
      <c r="B256" s="255">
        <v>5</v>
      </c>
      <c r="C256" s="10" t="s">
        <v>265</v>
      </c>
      <c r="D256" s="10">
        <v>5</v>
      </c>
      <c r="E256" s="10">
        <v>71</v>
      </c>
      <c r="F256" s="10" t="s">
        <v>690</v>
      </c>
      <c r="G256" s="10" t="s">
        <v>695</v>
      </c>
      <c r="H256" s="10" t="str" cm="1">
        <f t="array" aca="1" ref="H256" ca="1">IF(INDEX(I256:Z256,$H$1)=0,"",INDEX(I256:Z256,$H$1))</f>
        <v>Vented Hydrocarbon Gas</v>
      </c>
      <c r="I256" s="10" t="s">
        <v>532</v>
      </c>
      <c r="J256" s="10" t="s">
        <v>761</v>
      </c>
      <c r="K256" s="27" t="s">
        <v>1425</v>
      </c>
    </row>
    <row r="257" spans="1:11" x14ac:dyDescent="0.35">
      <c r="A257" s="10" t="s">
        <v>2750</v>
      </c>
      <c r="B257" s="255">
        <v>5</v>
      </c>
      <c r="C257" s="10" t="s">
        <v>265</v>
      </c>
      <c r="D257" s="10">
        <v>5</v>
      </c>
      <c r="E257" s="10">
        <v>72</v>
      </c>
      <c r="F257" s="10" t="s">
        <v>690</v>
      </c>
      <c r="G257" s="10" t="s">
        <v>695</v>
      </c>
      <c r="H257" s="10" t="str" cm="1">
        <f t="array" aca="1" ref="H257" ca="1">IF(INDEX(I257:Z257,$H$1)=0,"",INDEX(I257:Z257,$H$1))</f>
        <v>Flared Acid Gas:</v>
      </c>
      <c r="I257" s="10" t="s">
        <v>1236</v>
      </c>
      <c r="J257" s="10" t="s">
        <v>1235</v>
      </c>
      <c r="K257" s="27" t="s">
        <v>1424</v>
      </c>
    </row>
    <row r="258" spans="1:11" x14ac:dyDescent="0.35">
      <c r="A258" s="10" t="s">
        <v>2750</v>
      </c>
      <c r="B258" s="255">
        <v>5</v>
      </c>
      <c r="C258" s="10" t="s">
        <v>265</v>
      </c>
      <c r="D258" s="10">
        <v>5</v>
      </c>
      <c r="E258" s="10">
        <v>73</v>
      </c>
      <c r="F258" s="10" t="s">
        <v>690</v>
      </c>
      <c r="G258" s="10" t="s">
        <v>695</v>
      </c>
      <c r="H258" s="10" t="str" cm="1">
        <f t="array" aca="1" ref="H258" ca="1">IF(INDEX(I258:Z258,$H$1)=0,"",INDEX(I258:Z258,$H$1))</f>
        <v>Vented Acid Gas</v>
      </c>
      <c r="I258" s="10" t="s">
        <v>533</v>
      </c>
      <c r="J258" s="10" t="s">
        <v>762</v>
      </c>
      <c r="K258" s="27" t="s">
        <v>1426</v>
      </c>
    </row>
    <row r="259" spans="1:11" x14ac:dyDescent="0.35">
      <c r="A259" s="10" t="s">
        <v>2750</v>
      </c>
      <c r="B259" s="255">
        <v>5</v>
      </c>
      <c r="C259" s="10" t="s">
        <v>265</v>
      </c>
      <c r="D259" s="10">
        <v>5</v>
      </c>
      <c r="E259" s="10">
        <v>74</v>
      </c>
      <c r="F259" s="10" t="s">
        <v>690</v>
      </c>
      <c r="G259" s="10" t="s">
        <v>695</v>
      </c>
      <c r="H259" s="10" t="str" cm="1">
        <f t="array" aca="1" ref="H259" ca="1">IF(INDEX(I259:Z259,$H$1)=0,"",INDEX(I259:Z259,$H$1))</f>
        <v>Pneumatic Supply Gas (Natural Gas)</v>
      </c>
      <c r="I259" s="10" t="s">
        <v>270</v>
      </c>
      <c r="J259" s="10" t="s">
        <v>763</v>
      </c>
      <c r="K259" s="27" t="s">
        <v>1453</v>
      </c>
    </row>
    <row r="260" spans="1:11" x14ac:dyDescent="0.35">
      <c r="A260" s="10" t="s">
        <v>2750</v>
      </c>
      <c r="B260" s="255">
        <v>5</v>
      </c>
      <c r="C260" s="10" t="s">
        <v>265</v>
      </c>
      <c r="D260" s="10">
        <v>5</v>
      </c>
      <c r="E260" s="10">
        <v>75</v>
      </c>
      <c r="F260" s="10" t="s">
        <v>690</v>
      </c>
      <c r="G260" s="10" t="s">
        <v>695</v>
      </c>
      <c r="H260" s="10" t="str" cm="1">
        <f t="array" aca="1" ref="H260" ca="1">IF(INDEX(I260:Z260,$H$1)=0,"",INDEX(I260:Z260,$H$1))</f>
        <v>Casinghead Vent Gas</v>
      </c>
      <c r="I260" s="10" t="s">
        <v>2055</v>
      </c>
      <c r="J260" s="10" t="s">
        <v>2056</v>
      </c>
      <c r="K260" s="27" t="s">
        <v>2057</v>
      </c>
    </row>
    <row r="261" spans="1:11" x14ac:dyDescent="0.35">
      <c r="A261" s="10" t="s">
        <v>2750</v>
      </c>
      <c r="B261" s="255">
        <v>5</v>
      </c>
      <c r="C261" s="10" t="s">
        <v>265</v>
      </c>
      <c r="D261" s="10">
        <v>5</v>
      </c>
      <c r="E261" s="10">
        <v>76</v>
      </c>
      <c r="F261" s="10" t="s">
        <v>690</v>
      </c>
      <c r="G261" s="10" t="s">
        <v>695</v>
      </c>
      <c r="H261" s="10" t="str" cm="1">
        <f t="array" aca="1" ref="H261" ca="1">IF(INDEX(I261:Z261,$H$1)=0,"",INDEX(I261:Z261,$H$1))</f>
        <v>Product Vapours</v>
      </c>
      <c r="I261" s="10" t="s">
        <v>3265</v>
      </c>
      <c r="J261" s="10" t="s">
        <v>764</v>
      </c>
      <c r="K261" s="27" t="s">
        <v>1454</v>
      </c>
    </row>
    <row r="262" spans="1:11" x14ac:dyDescent="0.35">
      <c r="A262" s="10" t="s">
        <v>2750</v>
      </c>
      <c r="B262" s="255">
        <v>5</v>
      </c>
      <c r="C262" s="10" t="s">
        <v>2632</v>
      </c>
      <c r="D262" s="10">
        <v>5</v>
      </c>
      <c r="E262" s="10">
        <v>77</v>
      </c>
      <c r="F262" s="10" t="s">
        <v>690</v>
      </c>
      <c r="G262" s="10" t="s">
        <v>695</v>
      </c>
      <c r="H262" s="10" t="str" cm="1">
        <f t="array" aca="1" ref="H262" ca="1">IF(INDEX(I262:Z262,$H$1)=0,"",INDEX(I262:Z262,$H$1))</f>
        <v>Solid Fuel Compositions</v>
      </c>
      <c r="I262" s="10" t="s">
        <v>2632</v>
      </c>
      <c r="J262" s="10" t="s">
        <v>2635</v>
      </c>
      <c r="K262" s="27" t="s">
        <v>2634</v>
      </c>
    </row>
    <row r="263" spans="1:11" x14ac:dyDescent="0.35">
      <c r="A263" s="10" t="s">
        <v>2750</v>
      </c>
      <c r="B263" s="255">
        <v>5</v>
      </c>
      <c r="C263" s="10" t="s">
        <v>2632</v>
      </c>
      <c r="D263" s="10">
        <v>5</v>
      </c>
      <c r="E263" s="10">
        <v>78</v>
      </c>
      <c r="F263" s="10" t="s">
        <v>690</v>
      </c>
      <c r="G263" s="10" t="s">
        <v>695</v>
      </c>
      <c r="H263" s="10" t="str" cm="1">
        <f t="array" aca="1" ref="H263" ca="1">IF(INDEX(I263:Z263,$H$1)=0,"",INDEX(I263:Z263,$H$1))</f>
        <v>Stream</v>
      </c>
      <c r="I263" s="10" t="s">
        <v>266</v>
      </c>
      <c r="J263" s="10" t="s">
        <v>753</v>
      </c>
      <c r="K263" s="27" t="s">
        <v>1444</v>
      </c>
    </row>
    <row r="264" spans="1:11" x14ac:dyDescent="0.35">
      <c r="A264" s="10" t="s">
        <v>2750</v>
      </c>
      <c r="B264" s="255">
        <v>5</v>
      </c>
      <c r="C264" s="10" t="s">
        <v>2632</v>
      </c>
      <c r="D264" s="10">
        <v>5</v>
      </c>
      <c r="E264" s="10">
        <v>79</v>
      </c>
      <c r="F264" s="10" t="s">
        <v>690</v>
      </c>
      <c r="G264" s="10" t="s">
        <v>695</v>
      </c>
      <c r="H264" s="10" t="str" cm="1">
        <f t="array" aca="1" ref="H264" ca="1">IF(INDEX(I264:Z264,$H$1)=0,"",INDEX(I264:Z264,$H$1))</f>
        <v>S (Mass Percent)</v>
      </c>
      <c r="I264" s="10" t="s">
        <v>2633</v>
      </c>
      <c r="J264" s="10" t="s">
        <v>2636</v>
      </c>
      <c r="K264" s="27" t="s">
        <v>2637</v>
      </c>
    </row>
    <row r="265" spans="1:11" x14ac:dyDescent="0.35">
      <c r="A265" s="10" t="s">
        <v>2750</v>
      </c>
      <c r="B265" s="255">
        <v>5</v>
      </c>
      <c r="C265" s="10" t="s">
        <v>2632</v>
      </c>
      <c r="D265" s="10">
        <v>5</v>
      </c>
      <c r="E265" s="10">
        <v>80</v>
      </c>
      <c r="F265" s="10" t="s">
        <v>690</v>
      </c>
      <c r="G265" s="10" t="s">
        <v>695</v>
      </c>
      <c r="H265" s="10" t="str" cm="1">
        <f t="array" aca="1" ref="H265" ca="1">IF(INDEX(I265:Z265,$H$1)=0,"",INDEX(I265:Z265,$H$1))</f>
        <v>All</v>
      </c>
      <c r="I265" s="10" t="s">
        <v>49</v>
      </c>
      <c r="J265" s="10" t="s">
        <v>1376</v>
      </c>
      <c r="K265" s="27" t="s">
        <v>2638</v>
      </c>
    </row>
    <row r="266" spans="1:11" x14ac:dyDescent="0.35">
      <c r="A266" s="10" t="s">
        <v>1282</v>
      </c>
      <c r="B266" s="255">
        <v>6</v>
      </c>
      <c r="C266" s="10" t="s">
        <v>577</v>
      </c>
      <c r="D266" s="10">
        <v>1</v>
      </c>
      <c r="E266" s="10">
        <v>2</v>
      </c>
      <c r="F266" s="10" t="s">
        <v>690</v>
      </c>
      <c r="G266" s="10" t="s">
        <v>688</v>
      </c>
      <c r="H266" s="10" t="str" cm="1">
        <f t="array" aca="1" ref="H266" ca="1">IF(INDEX(I266:Z266,$H$1)=0,"",INDEX(I266:Z266,$H$1))</f>
        <v>Solid Fuel Properties</v>
      </c>
      <c r="I266" s="10" t="s">
        <v>577</v>
      </c>
      <c r="J266" s="10" t="s">
        <v>770</v>
      </c>
      <c r="K266" s="27" t="s">
        <v>1455</v>
      </c>
    </row>
    <row r="267" spans="1:11" x14ac:dyDescent="0.35">
      <c r="A267" s="10" t="s">
        <v>1282</v>
      </c>
      <c r="B267" s="255">
        <v>6</v>
      </c>
      <c r="C267" s="10" t="s">
        <v>577</v>
      </c>
      <c r="D267" s="10">
        <v>1</v>
      </c>
      <c r="E267" s="10">
        <v>2</v>
      </c>
      <c r="F267" s="10" t="s">
        <v>690</v>
      </c>
      <c r="G267" s="10" t="s">
        <v>2717</v>
      </c>
      <c r="H267" s="10" t="str" cm="1">
        <f t="array" aca="1" ref="H267" ca="1">IF(INDEX(I267:Z267,$H$1)=0,"",INDEX(I267:Z267,$H$1))</f>
        <v xml:space="preserve">Allowed Values for Source are: </v>
      </c>
      <c r="I267" s="10" t="s">
        <v>2718</v>
      </c>
      <c r="J267" s="10" t="s">
        <v>2720</v>
      </c>
      <c r="K267" s="27" t="s">
        <v>2719</v>
      </c>
    </row>
    <row r="268" spans="1:11" x14ac:dyDescent="0.35">
      <c r="A268" s="10" t="s">
        <v>1282</v>
      </c>
      <c r="B268" s="255">
        <v>6</v>
      </c>
      <c r="C268" s="10" t="s">
        <v>577</v>
      </c>
      <c r="D268" s="10">
        <v>1</v>
      </c>
      <c r="E268" s="10">
        <v>4</v>
      </c>
      <c r="F268" s="10" t="s">
        <v>690</v>
      </c>
      <c r="G268" s="10" t="s">
        <v>696</v>
      </c>
      <c r="H268" s="10" t="str" cm="1">
        <f t="array" aca="1" ref="H268" ca="1">IF(INDEX(I268:Z268,$H$1)=0,"",INDEX(I268:Z268,$H$1))</f>
        <v>Fuel Type</v>
      </c>
      <c r="I268" s="10" t="s">
        <v>554</v>
      </c>
      <c r="J268" s="10" t="s">
        <v>779</v>
      </c>
      <c r="K268" s="27" t="s">
        <v>1456</v>
      </c>
    </row>
    <row r="269" spans="1:11" x14ac:dyDescent="0.35">
      <c r="A269" s="10" t="s">
        <v>1282</v>
      </c>
      <c r="B269" s="255">
        <v>6</v>
      </c>
      <c r="C269" s="10" t="s">
        <v>577</v>
      </c>
      <c r="D269" s="10">
        <v>1</v>
      </c>
      <c r="E269" s="10">
        <v>4</v>
      </c>
      <c r="F269" s="10" t="s">
        <v>38</v>
      </c>
      <c r="G269" s="10" t="s">
        <v>696</v>
      </c>
      <c r="H269" s="10" t="str" cm="1">
        <f t="array" aca="1" ref="H269" ca="1">IF(INDEX(I269:Z269,$H$1)=0,"",INDEX(I269:Z269,$H$1))</f>
        <v xml:space="preserve">Combusted </v>
      </c>
      <c r="I269" s="10" t="s">
        <v>555</v>
      </c>
      <c r="J269" s="10" t="s">
        <v>780</v>
      </c>
      <c r="K269" s="28" t="s">
        <v>1436</v>
      </c>
    </row>
    <row r="270" spans="1:11" x14ac:dyDescent="0.35">
      <c r="A270" s="10" t="s">
        <v>1282</v>
      </c>
      <c r="B270" s="255">
        <v>6</v>
      </c>
      <c r="C270" s="10" t="s">
        <v>577</v>
      </c>
      <c r="D270" s="10">
        <v>1</v>
      </c>
      <c r="E270" s="10">
        <v>4</v>
      </c>
      <c r="F270" s="10" t="s">
        <v>692</v>
      </c>
      <c r="G270" s="10" t="s">
        <v>696</v>
      </c>
      <c r="H270" s="10" t="str" cm="1">
        <f t="array" aca="1" ref="H270" ca="1">IF(INDEX(I270:Z270,$H$1)=0,"",INDEX(I270:Z270,$H$1))</f>
        <v>Higher Heating Value</v>
      </c>
      <c r="I270" s="10" t="s">
        <v>595</v>
      </c>
      <c r="J270" s="10" t="s">
        <v>2319</v>
      </c>
      <c r="K270" s="27" t="s">
        <v>2321</v>
      </c>
    </row>
    <row r="271" spans="1:11" x14ac:dyDescent="0.35">
      <c r="A271" s="10" t="s">
        <v>1282</v>
      </c>
      <c r="B271" s="255">
        <v>6</v>
      </c>
      <c r="C271" s="10" t="s">
        <v>577</v>
      </c>
      <c r="D271" s="10">
        <v>1</v>
      </c>
      <c r="E271" s="10">
        <v>4</v>
      </c>
      <c r="F271" s="10" t="s">
        <v>692</v>
      </c>
      <c r="G271" s="10" t="s">
        <v>696</v>
      </c>
      <c r="H271" s="10" t="str" cm="1">
        <f t="array" aca="1" ref="H271" ca="1">IF(INDEX(I271:Z271,$H$1)=0,"",INDEX(I271:Z271,$H$1))</f>
        <v>Lower Heating Value</v>
      </c>
      <c r="I271" s="10" t="s">
        <v>559</v>
      </c>
      <c r="J271" s="10"/>
      <c r="K271" s="27"/>
    </row>
    <row r="272" spans="1:11" x14ac:dyDescent="0.35">
      <c r="A272" s="10" t="s">
        <v>1282</v>
      </c>
      <c r="B272" s="255">
        <v>6</v>
      </c>
      <c r="C272" s="10" t="s">
        <v>577</v>
      </c>
      <c r="D272" s="10">
        <v>1</v>
      </c>
      <c r="E272" s="10">
        <v>4</v>
      </c>
      <c r="F272" s="10" t="s">
        <v>711</v>
      </c>
      <c r="G272" s="10" t="s">
        <v>696</v>
      </c>
      <c r="H272" s="10" t="str" cm="1">
        <f t="array" aca="1" ref="H272" ca="1">IF(INDEX(I272:Z272,$H$1)=0,"",INDEX(I272:Z272,$H$1))</f>
        <v>Density</v>
      </c>
      <c r="I272" s="10" t="s">
        <v>628</v>
      </c>
      <c r="J272" s="10" t="s">
        <v>810</v>
      </c>
      <c r="K272" s="27" t="s">
        <v>1497</v>
      </c>
    </row>
    <row r="273" spans="1:11" x14ac:dyDescent="0.35">
      <c r="A273" s="10" t="s">
        <v>1282</v>
      </c>
      <c r="B273" s="255">
        <v>6</v>
      </c>
      <c r="C273" s="10" t="s">
        <v>577</v>
      </c>
      <c r="D273" s="10">
        <v>1</v>
      </c>
      <c r="E273" s="10">
        <v>4</v>
      </c>
      <c r="F273" s="10" t="s">
        <v>711</v>
      </c>
      <c r="G273" s="10" t="s">
        <v>696</v>
      </c>
      <c r="H273" s="10" t="str" cm="1">
        <f t="array" aca="1" ref="H273" ca="1">IF(INDEX(I273:Z273,$H$1)=0,"",INDEX(I273:Z273,$H$1))</f>
        <v>Carbon Content</v>
      </c>
      <c r="I273" s="10" t="s">
        <v>558</v>
      </c>
      <c r="J273" s="10" t="s">
        <v>781</v>
      </c>
      <c r="K273" s="27" t="s">
        <v>1458</v>
      </c>
    </row>
    <row r="274" spans="1:11" x14ac:dyDescent="0.35">
      <c r="A274" s="10" t="s">
        <v>1282</v>
      </c>
      <c r="B274" s="255">
        <v>6</v>
      </c>
      <c r="C274" s="10" t="s">
        <v>577</v>
      </c>
      <c r="D274" s="10">
        <v>1</v>
      </c>
      <c r="E274" s="10">
        <v>4</v>
      </c>
      <c r="F274" s="10" t="s">
        <v>711</v>
      </c>
      <c r="G274" s="10" t="s">
        <v>696</v>
      </c>
      <c r="H274" s="10" t="str" cm="1">
        <f t="array" aca="1" ref="H274" ca="1">IF(INDEX(I274:Z274,$H$1)=0,"",INDEX(I274:Z274,$H$1))</f>
        <v>Application</v>
      </c>
      <c r="I274" s="10" t="s">
        <v>2269</v>
      </c>
      <c r="J274" s="10" t="s">
        <v>2344</v>
      </c>
      <c r="K274" s="27" t="s">
        <v>2343</v>
      </c>
    </row>
    <row r="275" spans="1:11" x14ac:dyDescent="0.35">
      <c r="A275" s="10" t="s">
        <v>1282</v>
      </c>
      <c r="B275" s="255">
        <v>6</v>
      </c>
      <c r="C275" s="10" t="s">
        <v>577</v>
      </c>
      <c r="D275" s="10">
        <v>1</v>
      </c>
      <c r="E275" s="10">
        <v>4</v>
      </c>
      <c r="F275" s="10" t="s">
        <v>713</v>
      </c>
      <c r="G275" s="10" t="s">
        <v>696</v>
      </c>
      <c r="H275" s="10" t="str" cm="1">
        <f t="array" aca="1" ref="H275" ca="1">IF(INDEX(I275:Z275,$H$1)=0,"",INDEX(I275:Z275,$H$1))</f>
        <v>Carbon Oxidation Rate</v>
      </c>
      <c r="I275" s="10" t="s">
        <v>562</v>
      </c>
      <c r="J275" s="10" t="s">
        <v>783</v>
      </c>
      <c r="K275" s="27" t="s">
        <v>1459</v>
      </c>
    </row>
    <row r="276" spans="1:11" x14ac:dyDescent="0.35">
      <c r="A276" s="10" t="s">
        <v>1282</v>
      </c>
      <c r="B276" s="255">
        <v>6</v>
      </c>
      <c r="C276" s="10" t="s">
        <v>577</v>
      </c>
      <c r="D276" s="10">
        <v>1</v>
      </c>
      <c r="E276" s="10">
        <v>4</v>
      </c>
      <c r="F276" s="10" t="s">
        <v>713</v>
      </c>
      <c r="G276" s="10" t="s">
        <v>696</v>
      </c>
      <c r="H276" s="10" t="str" cm="1">
        <f t="array" aca="1" ref="H276" ca="1">IF(INDEX(I276:Z276,$H$1)=0,"",INDEX(I276:Z276,$H$1))</f>
        <v>CH4 Emission Factor</v>
      </c>
      <c r="I276" s="10" t="s">
        <v>2274</v>
      </c>
      <c r="J276" s="10" t="s">
        <v>2362</v>
      </c>
      <c r="K276" s="27" t="s">
        <v>2361</v>
      </c>
    </row>
    <row r="277" spans="1:11" x14ac:dyDescent="0.35">
      <c r="A277" s="10" t="s">
        <v>1282</v>
      </c>
      <c r="B277" s="255">
        <v>6</v>
      </c>
      <c r="C277" s="10" t="s">
        <v>577</v>
      </c>
      <c r="D277" s="10">
        <v>1</v>
      </c>
      <c r="E277" s="10">
        <v>4</v>
      </c>
      <c r="F277" s="10" t="s">
        <v>713</v>
      </c>
      <c r="G277" s="10" t="s">
        <v>696</v>
      </c>
      <c r="H277" s="10" t="str" cm="1">
        <f t="array" aca="1" ref="H277" ca="1">IF(INDEX(I277:Z277,$H$1)=0,"",INDEX(I277:Z277,$H$1))</f>
        <v>N2O Emission Factor</v>
      </c>
      <c r="I277" s="10" t="s">
        <v>2273</v>
      </c>
      <c r="J277" s="10" t="s">
        <v>2363</v>
      </c>
      <c r="K277" s="27" t="s">
        <v>2364</v>
      </c>
    </row>
    <row r="278" spans="1:11" x14ac:dyDescent="0.35">
      <c r="A278" s="10" t="s">
        <v>1282</v>
      </c>
      <c r="B278" s="255">
        <v>6</v>
      </c>
      <c r="C278" s="10" t="s">
        <v>577</v>
      </c>
      <c r="D278" s="10">
        <v>1</v>
      </c>
      <c r="E278" s="10">
        <v>4</v>
      </c>
      <c r="F278" s="10" t="s">
        <v>713</v>
      </c>
      <c r="G278" s="10" t="s">
        <v>696</v>
      </c>
      <c r="H278" s="10" t="str" cm="1">
        <f t="array" aca="1" ref="H278" ca="1">IF(INDEX(I278:Z278,$H$1)=0,"",INDEX(I278:Z278,$H$1))</f>
        <v>NOx Emission Factor</v>
      </c>
      <c r="I278" s="10" t="s">
        <v>2591</v>
      </c>
      <c r="J278" s="10" t="s">
        <v>2639</v>
      </c>
      <c r="K278" s="27" t="s">
        <v>2640</v>
      </c>
    </row>
    <row r="279" spans="1:11" x14ac:dyDescent="0.35">
      <c r="A279" s="10" t="s">
        <v>1282</v>
      </c>
      <c r="B279" s="255">
        <v>6</v>
      </c>
      <c r="C279" s="10" t="s">
        <v>577</v>
      </c>
      <c r="D279" s="10">
        <v>1</v>
      </c>
      <c r="E279" s="10">
        <v>4</v>
      </c>
      <c r="F279" s="10" t="s">
        <v>713</v>
      </c>
      <c r="G279" s="10" t="s">
        <v>696</v>
      </c>
      <c r="H279" s="10" t="str" cm="1">
        <f t="array" aca="1" ref="H279" ca="1">IF(INDEX(I279:Z279,$H$1)=0,"",INDEX(I279:Z279,$H$1))</f>
        <v>CO Emission Factor</v>
      </c>
      <c r="I279" s="10" t="s">
        <v>2592</v>
      </c>
      <c r="J279" s="10" t="s">
        <v>2646</v>
      </c>
      <c r="K279" s="27" t="s">
        <v>2641</v>
      </c>
    </row>
    <row r="280" spans="1:11" x14ac:dyDescent="0.35">
      <c r="A280" s="10" t="s">
        <v>1282</v>
      </c>
      <c r="B280" s="255">
        <v>6</v>
      </c>
      <c r="C280" s="10" t="s">
        <v>577</v>
      </c>
      <c r="D280" s="10">
        <v>1</v>
      </c>
      <c r="E280" s="10">
        <v>4</v>
      </c>
      <c r="F280" s="10" t="s">
        <v>713</v>
      </c>
      <c r="G280" s="10" t="s">
        <v>696</v>
      </c>
      <c r="H280" s="10" t="str" cm="1">
        <f t="array" aca="1" ref="H280" ca="1">IF(INDEX(I280:Z280,$H$1)=0,"",INDEX(I280:Z280,$H$1))</f>
        <v>NMVOC Emission Factor</v>
      </c>
      <c r="I280" s="10" t="s">
        <v>2593</v>
      </c>
      <c r="J280" s="10" t="s">
        <v>2645</v>
      </c>
      <c r="K280" s="27" t="s">
        <v>2642</v>
      </c>
    </row>
    <row r="281" spans="1:11" x14ac:dyDescent="0.35">
      <c r="A281" s="10" t="s">
        <v>1282</v>
      </c>
      <c r="B281" s="255">
        <v>6</v>
      </c>
      <c r="C281" s="10" t="s">
        <v>577</v>
      </c>
      <c r="D281" s="10">
        <v>1</v>
      </c>
      <c r="E281" s="10">
        <v>4</v>
      </c>
      <c r="F281" s="10" t="s">
        <v>713</v>
      </c>
      <c r="G281" s="10" t="s">
        <v>696</v>
      </c>
      <c r="H281" s="10" t="str" cm="1">
        <f t="array" aca="1" ref="H281" ca="1">IF(INDEX(I281:Z281,$H$1)=0,"",INDEX(I281:Z281,$H$1))</f>
        <v>SO2 Emission Factor</v>
      </c>
      <c r="I281" s="10" t="s">
        <v>2594</v>
      </c>
      <c r="J281" s="10" t="s">
        <v>2644</v>
      </c>
      <c r="K281" s="27" t="s">
        <v>2643</v>
      </c>
    </row>
    <row r="282" spans="1:11" x14ac:dyDescent="0.35">
      <c r="A282" s="10" t="s">
        <v>1282</v>
      </c>
      <c r="B282" s="255">
        <v>6</v>
      </c>
      <c r="C282" s="10" t="s">
        <v>577</v>
      </c>
      <c r="D282" s="10">
        <v>1</v>
      </c>
      <c r="E282" s="10">
        <v>4</v>
      </c>
      <c r="F282" s="10" t="s">
        <v>771</v>
      </c>
      <c r="G282" s="10" t="s">
        <v>696</v>
      </c>
      <c r="H282" s="10" t="str" cm="1">
        <f t="array" aca="1" ref="H282" ca="1">IF(INDEX(I282:Z282,$H$1)=0,"",INDEX(I282:Z282,$H$1))</f>
        <v>Emissions</v>
      </c>
      <c r="I282" s="10" t="s">
        <v>360</v>
      </c>
      <c r="J282" s="6" t="s">
        <v>807</v>
      </c>
      <c r="K282" s="27" t="s">
        <v>1460</v>
      </c>
    </row>
    <row r="283" spans="1:11" x14ac:dyDescent="0.35">
      <c r="A283" s="10" t="s">
        <v>1282</v>
      </c>
      <c r="B283" s="255">
        <v>6</v>
      </c>
      <c r="C283" s="10" t="s">
        <v>577</v>
      </c>
      <c r="D283" s="10">
        <v>1</v>
      </c>
      <c r="E283" s="10">
        <v>5</v>
      </c>
      <c r="F283" s="10" t="s">
        <v>38</v>
      </c>
      <c r="G283" s="10" t="s">
        <v>696</v>
      </c>
      <c r="H283" s="10" t="str" cm="1">
        <f t="array" aca="1" ref="H283" ca="1">IF(INDEX(I283:Z283,$H$1)=0,"",INDEX(I283:Z283,$H$1))</f>
        <v>Amount</v>
      </c>
      <c r="I283" s="10" t="s">
        <v>556</v>
      </c>
      <c r="J283" s="10" t="s">
        <v>784</v>
      </c>
      <c r="K283" s="28" t="s">
        <v>1461</v>
      </c>
    </row>
    <row r="284" spans="1:11" x14ac:dyDescent="0.35">
      <c r="A284" s="10" t="s">
        <v>1282</v>
      </c>
      <c r="B284" s="255">
        <v>6</v>
      </c>
      <c r="C284" s="10" t="s">
        <v>577</v>
      </c>
      <c r="D284" s="10">
        <v>1</v>
      </c>
      <c r="E284" s="10">
        <v>5</v>
      </c>
      <c r="F284" s="10" t="s">
        <v>692</v>
      </c>
      <c r="G284" s="10" t="s">
        <v>696</v>
      </c>
      <c r="H284" s="10" t="str" cm="1">
        <f t="array" aca="1" ref="H284" ca="1">IF(INDEX(I284:Z284,$H$1)=0,"",INDEX(I284:Z284,$H$1))</f>
        <v>Value</v>
      </c>
      <c r="I284" s="10" t="s">
        <v>6</v>
      </c>
      <c r="J284" s="10" t="s">
        <v>725</v>
      </c>
      <c r="K284" s="27" t="s">
        <v>1411</v>
      </c>
    </row>
    <row r="285" spans="1:11" x14ac:dyDescent="0.35">
      <c r="A285" s="10" t="s">
        <v>1282</v>
      </c>
      <c r="B285" s="255">
        <v>6</v>
      </c>
      <c r="C285" s="10" t="s">
        <v>577</v>
      </c>
      <c r="D285" s="10">
        <v>1</v>
      </c>
      <c r="E285" s="10">
        <v>5</v>
      </c>
      <c r="F285" s="10" t="s">
        <v>693</v>
      </c>
      <c r="G285" s="10" t="s">
        <v>696</v>
      </c>
      <c r="H285" s="10" t="str" cm="1">
        <f t="array" aca="1" ref="H285" ca="1">IF(INDEX(I285:Z285,$H$1)=0,"",INDEX(I285:Z285,$H$1))</f>
        <v>Source</v>
      </c>
      <c r="I285" s="10" t="s">
        <v>4</v>
      </c>
      <c r="J285" s="10" t="s">
        <v>785</v>
      </c>
      <c r="K285" s="27" t="s">
        <v>1462</v>
      </c>
    </row>
    <row r="286" spans="1:11" x14ac:dyDescent="0.35">
      <c r="A286" s="10" t="s">
        <v>1282</v>
      </c>
      <c r="B286" s="255">
        <v>6</v>
      </c>
      <c r="C286" s="10" t="s">
        <v>577</v>
      </c>
      <c r="D286" s="10">
        <v>1</v>
      </c>
      <c r="E286" s="10">
        <v>5</v>
      </c>
      <c r="F286" s="10" t="s">
        <v>694</v>
      </c>
      <c r="G286" s="10" t="s">
        <v>696</v>
      </c>
      <c r="H286" s="10" t="str" cm="1">
        <f t="array" aca="1" ref="H286" ca="1">IF(INDEX(I286:Z286,$H$1)=0,"",INDEX(I286:Z286,$H$1))</f>
        <v>Reference</v>
      </c>
      <c r="I286" s="10" t="s">
        <v>666</v>
      </c>
      <c r="J286" s="6" t="s">
        <v>809</v>
      </c>
      <c r="K286" s="27" t="s">
        <v>1463</v>
      </c>
    </row>
    <row r="287" spans="1:11" x14ac:dyDescent="0.35">
      <c r="A287" s="10" t="s">
        <v>1282</v>
      </c>
      <c r="B287" s="255">
        <v>6</v>
      </c>
      <c r="C287" s="10" t="s">
        <v>577</v>
      </c>
      <c r="D287" s="10">
        <v>1</v>
      </c>
      <c r="E287" s="10">
        <v>5</v>
      </c>
      <c r="F287" s="10" t="s">
        <v>711</v>
      </c>
      <c r="G287" s="10" t="s">
        <v>696</v>
      </c>
      <c r="H287" s="10" t="str" cm="1">
        <f t="array" aca="1" ref="H287" ca="1">IF(INDEX(I287:Z287,$H$1)=0,"",INDEX(I287:Z287,$H$1))</f>
        <v>Value</v>
      </c>
      <c r="I287" s="10" t="s">
        <v>6</v>
      </c>
      <c r="J287" s="10" t="s">
        <v>725</v>
      </c>
      <c r="K287" s="27" t="s">
        <v>1411</v>
      </c>
    </row>
    <row r="288" spans="1:11" x14ac:dyDescent="0.35">
      <c r="A288" s="10" t="s">
        <v>1282</v>
      </c>
      <c r="B288" s="255">
        <v>6</v>
      </c>
      <c r="C288" s="10" t="s">
        <v>577</v>
      </c>
      <c r="D288" s="10">
        <v>1</v>
      </c>
      <c r="E288" s="10">
        <v>5</v>
      </c>
      <c r="F288" s="10" t="s">
        <v>591</v>
      </c>
      <c r="G288" s="10" t="s">
        <v>696</v>
      </c>
      <c r="H288" s="10" t="str" cm="1">
        <f t="array" aca="1" ref="H288" ca="1">IF(INDEX(I288:Z288,$H$1)=0,"",INDEX(I288:Z288,$H$1))</f>
        <v>Source</v>
      </c>
      <c r="I288" s="10" t="s">
        <v>4</v>
      </c>
      <c r="J288" s="10" t="s">
        <v>785</v>
      </c>
      <c r="K288" s="27" t="s">
        <v>1462</v>
      </c>
    </row>
    <row r="289" spans="1:11" x14ac:dyDescent="0.35">
      <c r="A289" s="10" t="s">
        <v>1282</v>
      </c>
      <c r="B289" s="255">
        <v>6</v>
      </c>
      <c r="C289" s="10" t="s">
        <v>577</v>
      </c>
      <c r="D289" s="10">
        <v>1</v>
      </c>
      <c r="E289" s="10">
        <v>5</v>
      </c>
      <c r="F289" s="10" t="s">
        <v>712</v>
      </c>
      <c r="G289" s="10" t="s">
        <v>696</v>
      </c>
      <c r="H289" s="10" t="str" cm="1">
        <f t="array" aca="1" ref="H289" ca="1">IF(INDEX(I289:Z289,$H$1)=0,"",INDEX(I289:Z289,$H$1))</f>
        <v>Reference</v>
      </c>
      <c r="I289" s="10" t="s">
        <v>666</v>
      </c>
      <c r="J289" s="6" t="s">
        <v>809</v>
      </c>
      <c r="K289" s="27" t="s">
        <v>1463</v>
      </c>
    </row>
    <row r="290" spans="1:11" x14ac:dyDescent="0.35">
      <c r="A290" s="10" t="s">
        <v>1282</v>
      </c>
      <c r="B290" s="255">
        <v>6</v>
      </c>
      <c r="C290" s="10" t="s">
        <v>577</v>
      </c>
      <c r="D290" s="10">
        <v>1</v>
      </c>
      <c r="E290" s="10">
        <v>5</v>
      </c>
      <c r="F290" s="10" t="s">
        <v>713</v>
      </c>
      <c r="G290" s="10" t="s">
        <v>696</v>
      </c>
      <c r="H290" s="10" t="str" cm="1">
        <f t="array" aca="1" ref="H290" ca="1">IF(INDEX(I290:Z290,$H$1)=0,"",INDEX(I290:Z290,$H$1))</f>
        <v>Value</v>
      </c>
      <c r="I290" s="10" t="s">
        <v>6</v>
      </c>
      <c r="J290" s="10" t="s">
        <v>725</v>
      </c>
      <c r="K290" s="27" t="s">
        <v>1411</v>
      </c>
    </row>
    <row r="291" spans="1:11" x14ac:dyDescent="0.35">
      <c r="A291" s="10" t="s">
        <v>1282</v>
      </c>
      <c r="B291" s="255">
        <v>6</v>
      </c>
      <c r="C291" s="10" t="s">
        <v>577</v>
      </c>
      <c r="D291" s="10">
        <v>1</v>
      </c>
      <c r="E291" s="10">
        <v>5</v>
      </c>
      <c r="F291" s="10" t="s">
        <v>713</v>
      </c>
      <c r="G291" s="10" t="s">
        <v>696</v>
      </c>
      <c r="H291" s="10" t="str" cm="1">
        <f t="array" aca="1" ref="H291" ca="1">IF(INDEX(I291:Z291,$H$1)=0,"",INDEX(I291:Z291,$H$1))</f>
        <v>Conversion</v>
      </c>
      <c r="I291" s="10" t="s">
        <v>16</v>
      </c>
      <c r="J291" s="10" t="s">
        <v>2365</v>
      </c>
      <c r="K291" s="27" t="s">
        <v>1684</v>
      </c>
    </row>
    <row r="292" spans="1:11" x14ac:dyDescent="0.35">
      <c r="A292" s="10" t="s">
        <v>1282</v>
      </c>
      <c r="B292" s="255">
        <v>6</v>
      </c>
      <c r="C292" s="10" t="s">
        <v>577</v>
      </c>
      <c r="D292" s="10">
        <v>1</v>
      </c>
      <c r="E292" s="10">
        <v>5</v>
      </c>
      <c r="F292" s="10" t="s">
        <v>713</v>
      </c>
      <c r="G292" s="10" t="s">
        <v>696</v>
      </c>
      <c r="H292" s="10" t="str" cm="1">
        <f t="array" aca="1" ref="H292" ca="1">IF(INDEX(I292:Z292,$H$1)=0,"",INDEX(I292:Z292,$H$1))</f>
        <v>Units of Measure</v>
      </c>
      <c r="I292" s="10" t="s">
        <v>331</v>
      </c>
      <c r="J292" s="10" t="s">
        <v>726</v>
      </c>
      <c r="K292" s="27" t="s">
        <v>2045</v>
      </c>
    </row>
    <row r="293" spans="1:11" x14ac:dyDescent="0.35">
      <c r="A293" s="10" t="s">
        <v>1282</v>
      </c>
      <c r="B293" s="255">
        <v>6</v>
      </c>
      <c r="C293" s="10" t="s">
        <v>577</v>
      </c>
      <c r="D293" s="10">
        <v>1</v>
      </c>
      <c r="E293" s="10">
        <v>5</v>
      </c>
      <c r="F293" s="10" t="s">
        <v>772</v>
      </c>
      <c r="G293" s="10" t="s">
        <v>696</v>
      </c>
      <c r="H293" s="10" t="str" cm="1">
        <f t="array" aca="1" ref="H293" ca="1">IF(INDEX(I293:Z293,$H$1)=0,"",INDEX(I293:Z293,$H$1))</f>
        <v>Source</v>
      </c>
      <c r="I293" s="10" t="s">
        <v>4</v>
      </c>
      <c r="J293" s="10" t="s">
        <v>785</v>
      </c>
      <c r="K293" s="27" t="s">
        <v>1462</v>
      </c>
    </row>
    <row r="294" spans="1:11" x14ac:dyDescent="0.35">
      <c r="A294" s="10" t="s">
        <v>1282</v>
      </c>
      <c r="B294" s="255">
        <v>6</v>
      </c>
      <c r="C294" s="10" t="s">
        <v>577</v>
      </c>
      <c r="D294" s="10">
        <v>1</v>
      </c>
      <c r="E294" s="10">
        <v>5</v>
      </c>
      <c r="F294" s="10" t="s">
        <v>773</v>
      </c>
      <c r="G294" s="10" t="s">
        <v>696</v>
      </c>
      <c r="H294" s="10" t="str" cm="1">
        <f t="array" aca="1" ref="H294" ca="1">IF(INDEX(I294:Z294,$H$1)=0,"",INDEX(I294:Z294,$H$1))</f>
        <v>Reference</v>
      </c>
      <c r="I294" s="10" t="s">
        <v>666</v>
      </c>
      <c r="J294" s="6" t="s">
        <v>809</v>
      </c>
      <c r="K294" s="27" t="s">
        <v>1463</v>
      </c>
    </row>
    <row r="295" spans="1:11" x14ac:dyDescent="0.35">
      <c r="A295" s="10" t="s">
        <v>1282</v>
      </c>
      <c r="B295" s="255">
        <v>6</v>
      </c>
      <c r="C295" s="10" t="s">
        <v>577</v>
      </c>
      <c r="D295" s="10">
        <v>1</v>
      </c>
      <c r="E295" s="10">
        <v>5</v>
      </c>
      <c r="F295" s="10" t="s">
        <v>773</v>
      </c>
      <c r="G295" s="10" t="s">
        <v>696</v>
      </c>
      <c r="H295" s="10" t="str" cm="1">
        <f t="array" aca="1" ref="H295" ca="1">IF(INDEX(I295:Z295,$H$1)=0,"",INDEX(I295:Z295,$H$1))</f>
        <v>Conversion Factor</v>
      </c>
      <c r="I295" s="10" t="s">
        <v>15</v>
      </c>
      <c r="J295" s="6" t="s">
        <v>1306</v>
      </c>
      <c r="K295" s="27" t="s">
        <v>2360</v>
      </c>
    </row>
    <row r="296" spans="1:11" x14ac:dyDescent="0.35">
      <c r="A296" s="10" t="s">
        <v>1282</v>
      </c>
      <c r="B296" s="255">
        <v>6</v>
      </c>
      <c r="C296" s="10" t="s">
        <v>577</v>
      </c>
      <c r="D296" s="10">
        <v>1</v>
      </c>
      <c r="E296" s="10">
        <v>5</v>
      </c>
      <c r="F296" s="10" t="s">
        <v>771</v>
      </c>
      <c r="G296" s="10" t="s">
        <v>696</v>
      </c>
      <c r="H296" s="10" t="str" cm="1">
        <f t="array" aca="1" ref="H296" ca="1">IF(INDEX(I296:Z296,$H$1)=0,"",INDEX(I296:Z296,$H$1))</f>
        <v>CO2</v>
      </c>
      <c r="I296" s="10" t="s">
        <v>65</v>
      </c>
      <c r="J296" s="10" t="s">
        <v>65</v>
      </c>
      <c r="K296" s="10" t="s">
        <v>65</v>
      </c>
    </row>
    <row r="297" spans="1:11" x14ac:dyDescent="0.35">
      <c r="A297" s="10" t="s">
        <v>1282</v>
      </c>
      <c r="B297" s="255">
        <v>6</v>
      </c>
      <c r="C297" s="10" t="s">
        <v>577</v>
      </c>
      <c r="D297" s="10">
        <v>1</v>
      </c>
      <c r="E297" s="10">
        <v>5</v>
      </c>
      <c r="F297" s="10" t="s">
        <v>593</v>
      </c>
      <c r="G297" s="10" t="s">
        <v>696</v>
      </c>
      <c r="H297" s="10" t="str" cm="1">
        <f t="array" aca="1" ref="H297" ca="1">IF(INDEX(I297:Z297,$H$1)=0,"",INDEX(I297:Z297,$H$1))</f>
        <v>CH4</v>
      </c>
      <c r="I297" s="10" t="s">
        <v>60</v>
      </c>
      <c r="J297" s="10" t="s">
        <v>60</v>
      </c>
      <c r="K297" s="10" t="s">
        <v>60</v>
      </c>
    </row>
    <row r="298" spans="1:11" x14ac:dyDescent="0.35">
      <c r="A298" s="10" t="s">
        <v>1282</v>
      </c>
      <c r="B298" s="255">
        <v>6</v>
      </c>
      <c r="C298" s="10" t="s">
        <v>577</v>
      </c>
      <c r="D298" s="10">
        <v>1</v>
      </c>
      <c r="E298" s="10">
        <v>5</v>
      </c>
      <c r="F298" s="10" t="s">
        <v>593</v>
      </c>
      <c r="G298" s="10" t="s">
        <v>696</v>
      </c>
      <c r="H298" s="10" t="str" cm="1">
        <f t="array" aca="1" ref="H298" ca="1">IF(INDEX(I298:Z298,$H$1)=0,"",INDEX(I298:Z298,$H$1))</f>
        <v>N2O</v>
      </c>
      <c r="I298" s="10" t="s">
        <v>582</v>
      </c>
      <c r="J298" s="10" t="s">
        <v>582</v>
      </c>
      <c r="K298" s="10" t="s">
        <v>582</v>
      </c>
    </row>
    <row r="299" spans="1:11" x14ac:dyDescent="0.35">
      <c r="A299" s="10" t="s">
        <v>1282</v>
      </c>
      <c r="B299" s="255">
        <v>6</v>
      </c>
      <c r="C299" s="10" t="s">
        <v>577</v>
      </c>
      <c r="D299" s="10">
        <v>1</v>
      </c>
      <c r="E299" s="10">
        <v>5</v>
      </c>
      <c r="F299" s="10" t="s">
        <v>593</v>
      </c>
      <c r="G299" s="10" t="s">
        <v>696</v>
      </c>
      <c r="H299" s="10" t="str" cm="1">
        <f t="array" aca="1" ref="H299" ca="1">IF(INDEX(I299:Z299,$H$1)=0,"",INDEX(I299:Z299,$H$1))</f>
        <v>NOx</v>
      </c>
      <c r="I299" s="10" t="s">
        <v>2587</v>
      </c>
      <c r="J299" s="10" t="s">
        <v>2587</v>
      </c>
      <c r="K299" s="10" t="s">
        <v>2587</v>
      </c>
    </row>
    <row r="300" spans="1:11" x14ac:dyDescent="0.35">
      <c r="A300" s="10" t="s">
        <v>1282</v>
      </c>
      <c r="B300" s="255">
        <v>6</v>
      </c>
      <c r="C300" s="10" t="s">
        <v>577</v>
      </c>
      <c r="D300" s="10">
        <v>1</v>
      </c>
      <c r="E300" s="10">
        <v>5</v>
      </c>
      <c r="F300" s="10" t="s">
        <v>593</v>
      </c>
      <c r="G300" s="10" t="s">
        <v>696</v>
      </c>
      <c r="H300" s="10" t="str" cm="1">
        <f t="array" aca="1" ref="H300" ca="1">IF(INDEX(I300:Z300,$H$1)=0,"",INDEX(I300:Z300,$H$1))</f>
        <v>CO</v>
      </c>
      <c r="I300" s="10" t="s">
        <v>2588</v>
      </c>
      <c r="J300" s="10" t="s">
        <v>2588</v>
      </c>
      <c r="K300" s="10" t="s">
        <v>2588</v>
      </c>
    </row>
    <row r="301" spans="1:11" x14ac:dyDescent="0.35">
      <c r="A301" s="10" t="s">
        <v>1282</v>
      </c>
      <c r="B301" s="255">
        <v>6</v>
      </c>
      <c r="C301" s="10" t="s">
        <v>577</v>
      </c>
      <c r="D301" s="10">
        <v>1</v>
      </c>
      <c r="E301" s="10">
        <v>5</v>
      </c>
      <c r="F301" s="10" t="s">
        <v>593</v>
      </c>
      <c r="G301" s="10" t="s">
        <v>696</v>
      </c>
      <c r="H301" s="10" t="str" cm="1">
        <f t="array" aca="1" ref="H301" ca="1">IF(INDEX(I301:Z301,$H$1)=0,"",INDEX(I301:Z301,$H$1))</f>
        <v>NMVOC</v>
      </c>
      <c r="I301" s="10" t="s">
        <v>2589</v>
      </c>
      <c r="J301" s="10" t="s">
        <v>2589</v>
      </c>
      <c r="K301" s="10" t="s">
        <v>2589</v>
      </c>
    </row>
    <row r="302" spans="1:11" x14ac:dyDescent="0.35">
      <c r="A302" s="10" t="s">
        <v>1282</v>
      </c>
      <c r="B302" s="255">
        <v>6</v>
      </c>
      <c r="C302" s="10" t="s">
        <v>577</v>
      </c>
      <c r="D302" s="10">
        <v>1</v>
      </c>
      <c r="E302" s="10">
        <v>5</v>
      </c>
      <c r="F302" s="10" t="s">
        <v>593</v>
      </c>
      <c r="G302" s="10" t="s">
        <v>696</v>
      </c>
      <c r="H302" s="10" t="str" cm="1">
        <f t="array" aca="1" ref="H302" ca="1">IF(INDEX(I302:Z302,$H$1)=0,"",INDEX(I302:Z302,$H$1))</f>
        <v>SO2</v>
      </c>
      <c r="I302" s="10" t="s">
        <v>2590</v>
      </c>
      <c r="J302" s="10" t="s">
        <v>2590</v>
      </c>
      <c r="K302" s="10" t="s">
        <v>2590</v>
      </c>
    </row>
    <row r="303" spans="1:11" x14ac:dyDescent="0.35">
      <c r="A303" s="10" t="s">
        <v>1282</v>
      </c>
      <c r="B303" s="255">
        <v>6</v>
      </c>
      <c r="C303" s="10" t="s">
        <v>577</v>
      </c>
      <c r="D303" s="10">
        <v>1</v>
      </c>
      <c r="E303" s="10">
        <v>5</v>
      </c>
      <c r="F303" s="10" t="s">
        <v>593</v>
      </c>
      <c r="G303" s="10" t="s">
        <v>696</v>
      </c>
      <c r="H303" s="10" t="str" cm="1">
        <f t="array" aca="1" ref="H303" ca="1">IF(INDEX(I303:Z303,$H$1)=0,"",INDEX(I303:Z303,$H$1))</f>
        <v>Total for Turbines Engines</v>
      </c>
      <c r="I303" s="10" t="s">
        <v>2706</v>
      </c>
      <c r="J303" s="10" t="s">
        <v>2706</v>
      </c>
      <c r="K303" s="10" t="s">
        <v>2706</v>
      </c>
    </row>
    <row r="304" spans="1:11" x14ac:dyDescent="0.35">
      <c r="A304" s="10" t="s">
        <v>1282</v>
      </c>
      <c r="B304" s="255">
        <v>6</v>
      </c>
      <c r="C304" s="10" t="s">
        <v>577</v>
      </c>
      <c r="D304" s="10">
        <v>1</v>
      </c>
      <c r="E304" s="10">
        <v>5</v>
      </c>
      <c r="F304" s="10" t="s">
        <v>593</v>
      </c>
      <c r="G304" s="10" t="s">
        <v>696</v>
      </c>
      <c r="H304" s="10" t="str" cm="1">
        <f t="array" aca="1" ref="H304" ca="1">IF(INDEX(I304:Z304,$H$1)=0,"",INDEX(I304:Z304,$H$1))</f>
        <v>Total for Reciprocating Engines</v>
      </c>
      <c r="I304" s="10" t="s">
        <v>2326</v>
      </c>
      <c r="J304" s="10" t="s">
        <v>2326</v>
      </c>
      <c r="K304" s="10" t="s">
        <v>2326</v>
      </c>
    </row>
    <row r="305" spans="1:11" x14ac:dyDescent="0.35">
      <c r="A305" s="10" t="s">
        <v>1282</v>
      </c>
      <c r="B305" s="255">
        <v>6</v>
      </c>
      <c r="C305" s="10" t="s">
        <v>577</v>
      </c>
      <c r="D305" s="10">
        <v>1</v>
      </c>
      <c r="E305" s="10">
        <v>5</v>
      </c>
      <c r="F305" s="10" t="s">
        <v>593</v>
      </c>
      <c r="G305" s="10" t="s">
        <v>696</v>
      </c>
      <c r="H305" s="10" t="str" cm="1">
        <f t="array" aca="1" ref="H305" ca="1">IF(INDEX(I305:Z305,$H$1)=0,"",INDEX(I305:Z305,$H$1))</f>
        <v>Total for Heaters and Boilers</v>
      </c>
      <c r="I305" s="10" t="s">
        <v>2707</v>
      </c>
      <c r="J305" s="10" t="s">
        <v>2707</v>
      </c>
      <c r="K305" s="10" t="s">
        <v>2707</v>
      </c>
    </row>
    <row r="306" spans="1:11" x14ac:dyDescent="0.35">
      <c r="A306" s="10" t="s">
        <v>1282</v>
      </c>
      <c r="B306" s="255">
        <v>6</v>
      </c>
      <c r="C306" s="10" t="s">
        <v>577</v>
      </c>
      <c r="D306" s="10">
        <v>1</v>
      </c>
      <c r="E306" s="10">
        <v>5</v>
      </c>
      <c r="F306" s="10" t="s">
        <v>593</v>
      </c>
      <c r="G306" s="10" t="s">
        <v>696</v>
      </c>
      <c r="H306" s="10" t="str" cm="1">
        <f t="array" aca="1" ref="H306" ca="1">IF(INDEX(I306:Z306,$H$1)=0,"",INDEX(I306:Z306,$H$1))</f>
        <v>Grand Total</v>
      </c>
      <c r="I306" s="10" t="s">
        <v>2708</v>
      </c>
      <c r="J306" s="10" t="s">
        <v>2708</v>
      </c>
      <c r="K306" s="10" t="s">
        <v>2708</v>
      </c>
    </row>
    <row r="307" spans="1:11" x14ac:dyDescent="0.35">
      <c r="A307" s="10" t="s">
        <v>1282</v>
      </c>
      <c r="B307" s="255">
        <v>6</v>
      </c>
      <c r="C307" s="10" t="s">
        <v>577</v>
      </c>
      <c r="D307" s="10">
        <v>1</v>
      </c>
      <c r="E307" s="10">
        <v>6</v>
      </c>
      <c r="F307" s="10" t="s">
        <v>38</v>
      </c>
      <c r="G307" s="10" t="s">
        <v>696</v>
      </c>
      <c r="H307" s="10" t="str" cm="1">
        <f t="array" aca="1" ref="H307" ca="1">IF(INDEX(I307:Z307,$H$1)=0,"",INDEX(I307:Z307,$H$1))</f>
        <v>(tonnes/y)</v>
      </c>
      <c r="I307" s="10" t="s">
        <v>2303</v>
      </c>
      <c r="J307" s="10" t="s">
        <v>786</v>
      </c>
      <c r="K307" s="27" t="s">
        <v>2304</v>
      </c>
    </row>
    <row r="308" spans="1:11" x14ac:dyDescent="0.35">
      <c r="A308" s="10" t="s">
        <v>1282</v>
      </c>
      <c r="B308" s="255">
        <v>6</v>
      </c>
      <c r="C308" s="10" t="s">
        <v>577</v>
      </c>
      <c r="D308" s="10">
        <v>1</v>
      </c>
      <c r="E308" s="10">
        <v>6</v>
      </c>
      <c r="F308" s="10" t="s">
        <v>692</v>
      </c>
      <c r="G308" s="10" t="s">
        <v>696</v>
      </c>
      <c r="H308" s="10" t="str" cm="1">
        <f t="array" aca="1" ref="H308" ca="1">IF(INDEX(I308:Z308,$H$1)=0,"",INDEX(I308:Z308,$H$1))</f>
        <v>(GJ/Tonne)</v>
      </c>
      <c r="I308" s="10" t="s">
        <v>561</v>
      </c>
      <c r="J308" s="10" t="s">
        <v>787</v>
      </c>
      <c r="K308" s="27" t="s">
        <v>1464</v>
      </c>
    </row>
    <row r="309" spans="1:11" x14ac:dyDescent="0.35">
      <c r="A309" s="10" t="s">
        <v>1282</v>
      </c>
      <c r="B309" s="255">
        <v>6</v>
      </c>
      <c r="C309" s="10" t="s">
        <v>577</v>
      </c>
      <c r="D309" s="10">
        <v>1</v>
      </c>
      <c r="E309" s="10">
        <v>6</v>
      </c>
      <c r="F309" s="10" t="s">
        <v>711</v>
      </c>
      <c r="G309" s="10" t="s">
        <v>696</v>
      </c>
      <c r="H309" s="10" t="str" cm="1">
        <f t="array" aca="1" ref="H309" ca="1">IF(INDEX(I309:Z309,$H$1)=0,"",INDEX(I309:Z309,$H$1))</f>
        <v>(kg/m3)</v>
      </c>
      <c r="I309" s="10" t="s">
        <v>61</v>
      </c>
      <c r="J309" s="10" t="s">
        <v>2356</v>
      </c>
      <c r="K309" s="10" t="s">
        <v>61</v>
      </c>
    </row>
    <row r="310" spans="1:11" x14ac:dyDescent="0.35">
      <c r="A310" s="10" t="s">
        <v>1282</v>
      </c>
      <c r="B310" s="255">
        <v>6</v>
      </c>
      <c r="C310" s="10" t="s">
        <v>577</v>
      </c>
      <c r="D310" s="10">
        <v>1</v>
      </c>
      <c r="E310" s="10">
        <v>6</v>
      </c>
      <c r="F310" s="10" t="s">
        <v>713</v>
      </c>
      <c r="G310" s="10" t="s">
        <v>696</v>
      </c>
      <c r="H310" s="10" t="str" cm="1">
        <f t="array" aca="1" ref="H310" ca="1">IF(INDEX(I310:Z310,$H$1)=0,"",INDEX(I310:Z310,$H$1))</f>
        <v>(Tonne C/GJ)</v>
      </c>
      <c r="I310" s="10" t="s">
        <v>560</v>
      </c>
      <c r="J310" s="10" t="s">
        <v>788</v>
      </c>
      <c r="K310" s="27" t="s">
        <v>1465</v>
      </c>
    </row>
    <row r="311" spans="1:11" x14ac:dyDescent="0.35">
      <c r="A311" s="10" t="s">
        <v>1282</v>
      </c>
      <c r="B311" s="255">
        <v>6</v>
      </c>
      <c r="C311" s="10" t="s">
        <v>577</v>
      </c>
      <c r="D311" s="10">
        <v>1</v>
      </c>
      <c r="E311" s="10">
        <v>6</v>
      </c>
      <c r="F311" s="10" t="s">
        <v>713</v>
      </c>
      <c r="G311" s="10" t="s">
        <v>696</v>
      </c>
      <c r="H311" s="10" t="str" cm="1">
        <f t="array" aca="1" ref="H311" ca="1">IF(INDEX(I311:Z311,$H$1)=0,"",INDEX(I311:Z311,$H$1))</f>
        <v>(%)</v>
      </c>
      <c r="I311" s="10" t="s">
        <v>146</v>
      </c>
      <c r="J311" s="10" t="s">
        <v>146</v>
      </c>
      <c r="K311" s="27" t="s">
        <v>146</v>
      </c>
    </row>
    <row r="312" spans="1:11" x14ac:dyDescent="0.35">
      <c r="A312" s="10" t="s">
        <v>1282</v>
      </c>
      <c r="B312" s="255">
        <v>6</v>
      </c>
      <c r="C312" s="10" t="s">
        <v>577</v>
      </c>
      <c r="D312" s="10">
        <v>1</v>
      </c>
      <c r="E312" s="10">
        <v>6</v>
      </c>
      <c r="F312" s="10" t="s">
        <v>771</v>
      </c>
      <c r="G312" s="10" t="s">
        <v>696</v>
      </c>
      <c r="H312" s="10" t="str" cm="1">
        <f t="array" aca="1" ref="H312" ca="1">IF(INDEX(I312:Z312,$H$1)=0,"",INDEX(I312:Z312,$H$1))</f>
        <v>(tonnes/y)</v>
      </c>
      <c r="I312" s="10" t="s">
        <v>2303</v>
      </c>
      <c r="J312" s="10" t="s">
        <v>786</v>
      </c>
      <c r="K312" s="27" t="s">
        <v>2304</v>
      </c>
    </row>
    <row r="313" spans="1:11" x14ac:dyDescent="0.35">
      <c r="A313" s="10" t="s">
        <v>1282</v>
      </c>
      <c r="B313" s="255">
        <v>6</v>
      </c>
      <c r="C313" s="10" t="s">
        <v>577</v>
      </c>
      <c r="D313" s="10">
        <v>1</v>
      </c>
      <c r="E313" s="10">
        <v>6</v>
      </c>
      <c r="F313" s="10" t="s">
        <v>593</v>
      </c>
      <c r="G313" s="10" t="s">
        <v>696</v>
      </c>
      <c r="H313" s="10" t="str" cm="1">
        <f t="array" aca="1" ref="H313" ca="1">IF(INDEX(I313:Z313,$H$1)=0,"",INDEX(I313:Z313,$H$1))</f>
        <v>(tonnes/y)</v>
      </c>
      <c r="I313" s="10" t="s">
        <v>2303</v>
      </c>
      <c r="J313" s="10" t="s">
        <v>786</v>
      </c>
      <c r="K313" s="27" t="s">
        <v>2304</v>
      </c>
    </row>
    <row r="314" spans="1:11" x14ac:dyDescent="0.35">
      <c r="A314" s="10" t="s">
        <v>1282</v>
      </c>
      <c r="B314" s="255">
        <v>6</v>
      </c>
      <c r="C314" s="10" t="s">
        <v>577</v>
      </c>
      <c r="D314" s="10">
        <v>1</v>
      </c>
      <c r="E314" s="10">
        <v>7</v>
      </c>
      <c r="F314" s="10" t="s">
        <v>690</v>
      </c>
      <c r="G314" s="10" t="s">
        <v>695</v>
      </c>
      <c r="H314" s="10" t="str" cm="1">
        <f t="array" aca="1" ref="H314" ca="1">IF(INDEX(I314:Z314,$H$1)=0,"",INDEX(I314:Z314,$H$1))</f>
        <v>Anthracite</v>
      </c>
      <c r="I314" s="10" t="s">
        <v>563</v>
      </c>
      <c r="J314" s="10" t="s">
        <v>789</v>
      </c>
      <c r="K314" s="27" t="s">
        <v>1466</v>
      </c>
    </row>
    <row r="315" spans="1:11" x14ac:dyDescent="0.35">
      <c r="A315" s="10" t="s">
        <v>1282</v>
      </c>
      <c r="B315" s="255">
        <v>6</v>
      </c>
      <c r="C315" s="10" t="s">
        <v>577</v>
      </c>
      <c r="D315" s="10">
        <v>1</v>
      </c>
      <c r="E315" s="10">
        <v>8</v>
      </c>
      <c r="F315" s="10" t="s">
        <v>690</v>
      </c>
      <c r="G315" s="10" t="s">
        <v>695</v>
      </c>
      <c r="H315" s="10" t="str" cm="1">
        <f t="array" aca="1" ref="H315" ca="1">IF(INDEX(I315:Z315,$H$1)=0,"",INDEX(I315:Z315,$H$1))</f>
        <v>Bituminous</v>
      </c>
      <c r="I315" s="10" t="s">
        <v>1116</v>
      </c>
      <c r="J315" s="10" t="s">
        <v>790</v>
      </c>
      <c r="K315" s="27" t="s">
        <v>2083</v>
      </c>
    </row>
    <row r="316" spans="1:11" x14ac:dyDescent="0.35">
      <c r="A316" s="10" t="s">
        <v>1282</v>
      </c>
      <c r="B316" s="255">
        <v>6</v>
      </c>
      <c r="C316" s="10" t="s">
        <v>577</v>
      </c>
      <c r="D316" s="10">
        <v>1</v>
      </c>
      <c r="E316" s="10">
        <v>9</v>
      </c>
      <c r="F316" s="10" t="s">
        <v>690</v>
      </c>
      <c r="G316" s="10" t="s">
        <v>695</v>
      </c>
      <c r="H316" s="10" t="str" cm="1">
        <f t="array" aca="1" ref="H316" ca="1">IF(INDEX(I316:Z316,$H$1)=0,"",INDEX(I316:Z316,$H$1))</f>
        <v>Lignite</v>
      </c>
      <c r="I316" s="10" t="s">
        <v>565</v>
      </c>
      <c r="J316" s="10" t="s">
        <v>791</v>
      </c>
      <c r="K316" s="27" t="s">
        <v>1467</v>
      </c>
    </row>
    <row r="317" spans="1:11" x14ac:dyDescent="0.35">
      <c r="A317" s="10" t="s">
        <v>1282</v>
      </c>
      <c r="B317" s="255">
        <v>6</v>
      </c>
      <c r="C317" s="10" t="s">
        <v>577</v>
      </c>
      <c r="D317" s="10">
        <v>1</v>
      </c>
      <c r="E317" s="10">
        <v>10</v>
      </c>
      <c r="F317" s="10" t="s">
        <v>690</v>
      </c>
      <c r="G317" s="10" t="s">
        <v>695</v>
      </c>
      <c r="H317" s="10" t="str" cm="1">
        <f t="array" aca="1" ref="H317" ca="1">IF(INDEX(I317:Z317,$H$1)=0,"",INDEX(I317:Z317,$H$1))</f>
        <v>Cleaned Coal</v>
      </c>
      <c r="I317" s="10" t="s">
        <v>566</v>
      </c>
      <c r="J317" s="10" t="s">
        <v>792</v>
      </c>
      <c r="K317" s="27" t="s">
        <v>1468</v>
      </c>
    </row>
    <row r="318" spans="1:11" x14ac:dyDescent="0.35">
      <c r="A318" s="10" t="s">
        <v>1282</v>
      </c>
      <c r="B318" s="255">
        <v>6</v>
      </c>
      <c r="C318" s="10" t="s">
        <v>577</v>
      </c>
      <c r="D318" s="10">
        <v>1</v>
      </c>
      <c r="E318" s="10">
        <v>11</v>
      </c>
      <c r="F318" s="10" t="s">
        <v>690</v>
      </c>
      <c r="G318" s="10" t="s">
        <v>695</v>
      </c>
      <c r="H318" s="10" t="str" cm="1">
        <f t="array" aca="1" ref="H318" ca="1">IF(INDEX(I318:Z318,$H$1)=0,"",INDEX(I318:Z318,$H$1))</f>
        <v>Other Washed Coal</v>
      </c>
      <c r="I318" s="10" t="s">
        <v>567</v>
      </c>
      <c r="J318" s="10" t="s">
        <v>793</v>
      </c>
      <c r="K318" s="27" t="s">
        <v>1469</v>
      </c>
    </row>
    <row r="319" spans="1:11" x14ac:dyDescent="0.35">
      <c r="A319" s="10" t="s">
        <v>1282</v>
      </c>
      <c r="B319" s="255">
        <v>6</v>
      </c>
      <c r="C319" s="10" t="s">
        <v>577</v>
      </c>
      <c r="D319" s="10">
        <v>1</v>
      </c>
      <c r="E319" s="10">
        <v>12</v>
      </c>
      <c r="F319" s="10" t="s">
        <v>690</v>
      </c>
      <c r="G319" s="10" t="s">
        <v>695</v>
      </c>
      <c r="H319" s="10" t="str" cm="1">
        <f t="array" aca="1" ref="H319" ca="1">IF(INDEX(I319:Z319,$H$1)=0,"",INDEX(I319:Z319,$H$1))</f>
        <v>Briquette Coal</v>
      </c>
      <c r="I319" s="10" t="s">
        <v>1323</v>
      </c>
      <c r="J319" s="10" t="s">
        <v>794</v>
      </c>
      <c r="K319" s="27" t="s">
        <v>1470</v>
      </c>
    </row>
    <row r="320" spans="1:11" x14ac:dyDescent="0.35">
      <c r="A320" s="10" t="s">
        <v>1282</v>
      </c>
      <c r="B320" s="255">
        <v>6</v>
      </c>
      <c r="C320" s="10" t="s">
        <v>577</v>
      </c>
      <c r="D320" s="10">
        <v>1</v>
      </c>
      <c r="E320" s="10">
        <v>13</v>
      </c>
      <c r="F320" s="10" t="s">
        <v>690</v>
      </c>
      <c r="G320" s="10" t="s">
        <v>695</v>
      </c>
      <c r="H320" s="10" t="str" cm="1">
        <f t="array" aca="1" ref="H320" ca="1">IF(INDEX(I320:Z320,$H$1)=0,"",INDEX(I320:Z320,$H$1))</f>
        <v>Coke</v>
      </c>
      <c r="I320" s="10" t="s">
        <v>568</v>
      </c>
      <c r="J320" s="10" t="s">
        <v>795</v>
      </c>
      <c r="K320" s="27" t="s">
        <v>1471</v>
      </c>
    </row>
    <row r="321" spans="1:11" x14ac:dyDescent="0.35">
      <c r="A321" s="10" t="s">
        <v>1282</v>
      </c>
      <c r="B321" s="255">
        <v>6</v>
      </c>
      <c r="C321" s="10" t="s">
        <v>577</v>
      </c>
      <c r="D321" s="10">
        <v>1</v>
      </c>
      <c r="E321" s="10">
        <v>14</v>
      </c>
      <c r="F321" s="10" t="s">
        <v>690</v>
      </c>
      <c r="G321" s="10" t="s">
        <v>695</v>
      </c>
      <c r="H321" s="10" t="str" cm="1">
        <f t="array" aca="1" ref="H321" ca="1">IF(INDEX(I321:Z321,$H$1)=0,"",INDEX(I321:Z321,$H$1))</f>
        <v>Petroleum Coke</v>
      </c>
      <c r="I321" s="10" t="s">
        <v>576</v>
      </c>
      <c r="J321" s="10" t="s">
        <v>796</v>
      </c>
      <c r="K321" s="27" t="s">
        <v>1472</v>
      </c>
    </row>
    <row r="322" spans="1:11" x14ac:dyDescent="0.35">
      <c r="A322" s="10" t="s">
        <v>1282</v>
      </c>
      <c r="B322" s="255">
        <v>6</v>
      </c>
      <c r="C322" s="10" t="s">
        <v>577</v>
      </c>
      <c r="D322" s="10">
        <v>1</v>
      </c>
      <c r="E322" s="10">
        <v>15</v>
      </c>
      <c r="F322" s="10" t="s">
        <v>773</v>
      </c>
      <c r="G322" s="10" t="s">
        <v>695</v>
      </c>
      <c r="H322" s="10" t="str" cm="1">
        <f t="array" aca="1" ref="H322" ca="1">IF(INDEX(I322:Z322,$H$1)=0,"",INDEX(I322:Z322,$H$1))</f>
        <v>Total:</v>
      </c>
      <c r="I322" s="10" t="s">
        <v>376</v>
      </c>
      <c r="J322" s="10" t="s">
        <v>804</v>
      </c>
      <c r="K322" s="27" t="s">
        <v>376</v>
      </c>
    </row>
    <row r="323" spans="1:11" x14ac:dyDescent="0.35">
      <c r="A323" s="10" t="s">
        <v>1282</v>
      </c>
      <c r="B323" s="255">
        <v>6</v>
      </c>
      <c r="C323" s="10" t="s">
        <v>578</v>
      </c>
      <c r="D323" s="10">
        <v>2</v>
      </c>
      <c r="E323" s="10">
        <v>16</v>
      </c>
      <c r="F323" s="10" t="s">
        <v>690</v>
      </c>
      <c r="G323" s="10" t="s">
        <v>688</v>
      </c>
      <c r="H323" s="10" t="str" cm="1">
        <f t="array" aca="1" ref="H323" ca="1">IF(INDEX(I323:Z323,$H$1)=0,"",INDEX(I323:Z323,$H$1))</f>
        <v>Liquid Fuel Properties</v>
      </c>
      <c r="I323" s="10" t="s">
        <v>578</v>
      </c>
      <c r="J323" s="10" t="s">
        <v>1074</v>
      </c>
      <c r="K323" s="27" t="s">
        <v>1473</v>
      </c>
    </row>
    <row r="324" spans="1:11" x14ac:dyDescent="0.35">
      <c r="A324" s="10" t="s">
        <v>1282</v>
      </c>
      <c r="B324" s="255">
        <v>6</v>
      </c>
      <c r="C324" s="10" t="s">
        <v>578</v>
      </c>
      <c r="D324" s="10">
        <v>2</v>
      </c>
      <c r="E324" s="10">
        <v>18</v>
      </c>
      <c r="F324" s="10" t="s">
        <v>690</v>
      </c>
      <c r="G324" s="10" t="s">
        <v>696</v>
      </c>
      <c r="H324" s="10" t="str" cm="1">
        <f t="array" aca="1" ref="H324" ca="1">IF(INDEX(I324:Z324,$H$1)=0,"",INDEX(I324:Z324,$H$1))</f>
        <v>Fuel Type</v>
      </c>
      <c r="I324" s="10" t="s">
        <v>554</v>
      </c>
      <c r="J324" s="10" t="s">
        <v>779</v>
      </c>
      <c r="K324" s="27" t="s">
        <v>1456</v>
      </c>
    </row>
    <row r="325" spans="1:11" x14ac:dyDescent="0.35">
      <c r="A325" s="10" t="s">
        <v>1282</v>
      </c>
      <c r="B325" s="255">
        <v>6</v>
      </c>
      <c r="C325" s="10" t="s">
        <v>578</v>
      </c>
      <c r="D325" s="10">
        <v>2</v>
      </c>
      <c r="E325" s="10">
        <v>18</v>
      </c>
      <c r="F325" s="10" t="s">
        <v>38</v>
      </c>
      <c r="G325" s="10" t="s">
        <v>696</v>
      </c>
      <c r="H325" s="10" t="str" cm="1">
        <f t="array" aca="1" ref="H325" ca="1">IF(INDEX(I325:Z325,$H$1)=0,"",INDEX(I325:Z325,$H$1))</f>
        <v xml:space="preserve">Combusted </v>
      </c>
      <c r="I325" s="10" t="s">
        <v>555</v>
      </c>
      <c r="J325" s="10" t="s">
        <v>780</v>
      </c>
      <c r="K325" s="28" t="s">
        <v>1436</v>
      </c>
    </row>
    <row r="326" spans="1:11" x14ac:dyDescent="0.35">
      <c r="A326" s="10" t="s">
        <v>1282</v>
      </c>
      <c r="B326" s="255">
        <v>6</v>
      </c>
      <c r="C326" s="10" t="s">
        <v>578</v>
      </c>
      <c r="D326" s="10">
        <v>2</v>
      </c>
      <c r="E326" s="10">
        <v>18</v>
      </c>
      <c r="F326" s="10" t="s">
        <v>692</v>
      </c>
      <c r="G326" s="10" t="s">
        <v>696</v>
      </c>
      <c r="H326" s="10" t="str" cm="1">
        <f t="array" aca="1" ref="H326" ca="1">IF(INDEX(I326:Z326,$H$1)=0,"",INDEX(I326:Z326,$H$1))</f>
        <v>Higher Heating Value</v>
      </c>
      <c r="I326" s="10" t="s">
        <v>595</v>
      </c>
      <c r="J326" s="10" t="s">
        <v>2319</v>
      </c>
      <c r="K326" s="27" t="s">
        <v>1457</v>
      </c>
    </row>
    <row r="327" spans="1:11" x14ac:dyDescent="0.35">
      <c r="A327" s="10" t="s">
        <v>1282</v>
      </c>
      <c r="B327" s="255">
        <v>6</v>
      </c>
      <c r="C327" s="10" t="s">
        <v>578</v>
      </c>
      <c r="D327" s="10">
        <v>2</v>
      </c>
      <c r="E327" s="10">
        <v>18</v>
      </c>
      <c r="F327" s="10" t="s">
        <v>711</v>
      </c>
      <c r="G327" s="10" t="s">
        <v>696</v>
      </c>
      <c r="H327" s="10" t="str" cm="1">
        <f t="array" aca="1" ref="H327" ca="1">IF(INDEX(I327:Z327,$H$1)=0,"",INDEX(I327:Z327,$H$1))</f>
        <v>Density</v>
      </c>
      <c r="I327" s="10" t="s">
        <v>628</v>
      </c>
      <c r="J327" s="10" t="s">
        <v>810</v>
      </c>
      <c r="K327" s="27" t="s">
        <v>1497</v>
      </c>
    </row>
    <row r="328" spans="1:11" x14ac:dyDescent="0.35">
      <c r="A328" s="10" t="s">
        <v>1282</v>
      </c>
      <c r="B328" s="255">
        <v>6</v>
      </c>
      <c r="C328" s="10" t="s">
        <v>578</v>
      </c>
      <c r="D328" s="10">
        <v>2</v>
      </c>
      <c r="E328" s="10">
        <v>18</v>
      </c>
      <c r="F328" s="10" t="s">
        <v>711</v>
      </c>
      <c r="G328" s="10" t="s">
        <v>696</v>
      </c>
      <c r="H328" s="10" t="str" cm="1">
        <f t="array" aca="1" ref="H328" ca="1">IF(INDEX(I328:Z328,$H$1)=0,"",INDEX(I328:Z328,$H$1))</f>
        <v>Carbon Content</v>
      </c>
      <c r="I328" s="10" t="s">
        <v>558</v>
      </c>
      <c r="J328" s="10" t="s">
        <v>781</v>
      </c>
      <c r="K328" s="27" t="s">
        <v>1458</v>
      </c>
    </row>
    <row r="329" spans="1:11" x14ac:dyDescent="0.35">
      <c r="A329" s="10" t="s">
        <v>1282</v>
      </c>
      <c r="B329" s="255">
        <v>6</v>
      </c>
      <c r="C329" s="10" t="s">
        <v>578</v>
      </c>
      <c r="D329" s="10">
        <v>2</v>
      </c>
      <c r="E329" s="10">
        <v>18</v>
      </c>
      <c r="F329" s="10" t="s">
        <v>713</v>
      </c>
      <c r="G329" s="10" t="s">
        <v>696</v>
      </c>
      <c r="H329" s="10" t="str" cm="1">
        <f t="array" aca="1" ref="H329" ca="1">IF(INDEX(I329:Z329,$H$1)=0,"",INDEX(I329:Z329,$H$1))</f>
        <v>Carbon Oxidation Rate</v>
      </c>
      <c r="I329" s="10" t="s">
        <v>562</v>
      </c>
      <c r="J329" s="10" t="s">
        <v>783</v>
      </c>
      <c r="K329" s="27" t="s">
        <v>1459</v>
      </c>
    </row>
    <row r="330" spans="1:11" x14ac:dyDescent="0.35">
      <c r="A330" s="10" t="s">
        <v>1282</v>
      </c>
      <c r="B330" s="255">
        <v>6</v>
      </c>
      <c r="C330" s="10" t="s">
        <v>578</v>
      </c>
      <c r="D330" s="10">
        <v>2</v>
      </c>
      <c r="E330" s="10">
        <v>18</v>
      </c>
      <c r="F330" s="10" t="s">
        <v>771</v>
      </c>
      <c r="G330" s="10" t="s">
        <v>696</v>
      </c>
      <c r="H330" s="10" t="str" cm="1">
        <f t="array" aca="1" ref="H330" ca="1">IF(INDEX(I330:Z330,$H$1)=0,"",INDEX(I330:Z330,$H$1))</f>
        <v>Emissions</v>
      </c>
      <c r="I330" s="10" t="s">
        <v>360</v>
      </c>
      <c r="J330" s="6" t="s">
        <v>807</v>
      </c>
      <c r="K330" s="27" t="s">
        <v>1460</v>
      </c>
    </row>
    <row r="331" spans="1:11" x14ac:dyDescent="0.35">
      <c r="A331" s="10" t="s">
        <v>1282</v>
      </c>
      <c r="B331" s="255">
        <v>6</v>
      </c>
      <c r="C331" s="10" t="s">
        <v>578</v>
      </c>
      <c r="D331" s="10">
        <v>2</v>
      </c>
      <c r="E331" s="10">
        <v>19</v>
      </c>
      <c r="F331" s="10" t="s">
        <v>38</v>
      </c>
      <c r="G331" s="10" t="s">
        <v>696</v>
      </c>
      <c r="H331" s="10" t="str" cm="1">
        <f t="array" aca="1" ref="H331" ca="1">IF(INDEX(I331:Z331,$H$1)=0,"",INDEX(I331:Z331,$H$1))</f>
        <v>Amount</v>
      </c>
      <c r="I331" s="10" t="s">
        <v>556</v>
      </c>
      <c r="J331" s="10" t="s">
        <v>784</v>
      </c>
      <c r="K331" s="28" t="s">
        <v>1461</v>
      </c>
    </row>
    <row r="332" spans="1:11" x14ac:dyDescent="0.35">
      <c r="A332" s="10" t="s">
        <v>1282</v>
      </c>
      <c r="B332" s="255">
        <v>6</v>
      </c>
      <c r="C332" s="10" t="s">
        <v>578</v>
      </c>
      <c r="D332" s="10">
        <v>2</v>
      </c>
      <c r="E332" s="10">
        <v>19</v>
      </c>
      <c r="F332" s="10" t="s">
        <v>692</v>
      </c>
      <c r="G332" s="10" t="s">
        <v>696</v>
      </c>
      <c r="H332" s="10" t="str" cm="1">
        <f t="array" aca="1" ref="H332" ca="1">IF(INDEX(I332:Z332,$H$1)=0,"",INDEX(I332:Z332,$H$1))</f>
        <v>Value</v>
      </c>
      <c r="I332" s="10" t="s">
        <v>6</v>
      </c>
      <c r="J332" s="10" t="s">
        <v>725</v>
      </c>
      <c r="K332" s="27" t="s">
        <v>1411</v>
      </c>
    </row>
    <row r="333" spans="1:11" x14ac:dyDescent="0.35">
      <c r="A333" s="10" t="s">
        <v>1282</v>
      </c>
      <c r="B333" s="255">
        <v>6</v>
      </c>
      <c r="C333" s="10" t="s">
        <v>578</v>
      </c>
      <c r="D333" s="10">
        <v>2</v>
      </c>
      <c r="E333" s="10">
        <v>19</v>
      </c>
      <c r="F333" s="10" t="s">
        <v>693</v>
      </c>
      <c r="G333" s="10" t="s">
        <v>696</v>
      </c>
      <c r="H333" s="10" t="str" cm="1">
        <f t="array" aca="1" ref="H333" ca="1">IF(INDEX(I333:Z333,$H$1)=0,"",INDEX(I333:Z333,$H$1))</f>
        <v>Source</v>
      </c>
      <c r="I333" s="10" t="s">
        <v>4</v>
      </c>
      <c r="J333" s="10" t="s">
        <v>785</v>
      </c>
      <c r="K333" s="27" t="s">
        <v>1462</v>
      </c>
    </row>
    <row r="334" spans="1:11" x14ac:dyDescent="0.35">
      <c r="A334" s="10" t="s">
        <v>1282</v>
      </c>
      <c r="B334" s="255">
        <v>6</v>
      </c>
      <c r="C334" s="10" t="s">
        <v>578</v>
      </c>
      <c r="D334" s="10">
        <v>2</v>
      </c>
      <c r="E334" s="10">
        <v>19</v>
      </c>
      <c r="F334" s="10" t="s">
        <v>694</v>
      </c>
      <c r="G334" s="10" t="s">
        <v>696</v>
      </c>
      <c r="H334" s="10" t="str" cm="1">
        <f t="array" aca="1" ref="H334" ca="1">IF(INDEX(I334:Z334,$H$1)=0,"",INDEX(I334:Z334,$H$1))</f>
        <v>Reference</v>
      </c>
      <c r="I334" s="10" t="s">
        <v>666</v>
      </c>
      <c r="J334" s="6" t="s">
        <v>809</v>
      </c>
      <c r="K334" s="27" t="s">
        <v>1463</v>
      </c>
    </row>
    <row r="335" spans="1:11" x14ac:dyDescent="0.35">
      <c r="A335" s="10" t="s">
        <v>1282</v>
      </c>
      <c r="B335" s="255">
        <v>6</v>
      </c>
      <c r="C335" s="10" t="s">
        <v>578</v>
      </c>
      <c r="D335" s="10">
        <v>2</v>
      </c>
      <c r="E335" s="10">
        <v>19</v>
      </c>
      <c r="F335" s="10" t="s">
        <v>711</v>
      </c>
      <c r="G335" s="10" t="s">
        <v>696</v>
      </c>
      <c r="H335" s="10" t="str" cm="1">
        <f t="array" aca="1" ref="H335" ca="1">IF(INDEX(I335:Z335,$H$1)=0,"",INDEX(I335:Z335,$H$1))</f>
        <v>Value</v>
      </c>
      <c r="I335" s="10" t="s">
        <v>6</v>
      </c>
      <c r="J335" s="10" t="s">
        <v>725</v>
      </c>
      <c r="K335" s="27" t="s">
        <v>1411</v>
      </c>
    </row>
    <row r="336" spans="1:11" x14ac:dyDescent="0.35">
      <c r="A336" s="10" t="s">
        <v>1282</v>
      </c>
      <c r="B336" s="255">
        <v>6</v>
      </c>
      <c r="C336" s="10" t="s">
        <v>578</v>
      </c>
      <c r="D336" s="10">
        <v>2</v>
      </c>
      <c r="E336" s="10">
        <v>19</v>
      </c>
      <c r="F336" s="10" t="s">
        <v>591</v>
      </c>
      <c r="G336" s="10" t="s">
        <v>696</v>
      </c>
      <c r="H336" s="10" t="str" cm="1">
        <f t="array" aca="1" ref="H336" ca="1">IF(INDEX(I336:Z336,$H$1)=0,"",INDEX(I336:Z336,$H$1))</f>
        <v>Source</v>
      </c>
      <c r="I336" s="10" t="s">
        <v>4</v>
      </c>
      <c r="J336" s="10" t="s">
        <v>785</v>
      </c>
      <c r="K336" s="27" t="s">
        <v>1462</v>
      </c>
    </row>
    <row r="337" spans="1:12" x14ac:dyDescent="0.35">
      <c r="A337" s="10" t="s">
        <v>1282</v>
      </c>
      <c r="B337" s="255">
        <v>6</v>
      </c>
      <c r="C337" s="10" t="s">
        <v>578</v>
      </c>
      <c r="D337" s="10">
        <v>2</v>
      </c>
      <c r="E337" s="10">
        <v>19</v>
      </c>
      <c r="F337" s="10" t="s">
        <v>712</v>
      </c>
      <c r="G337" s="10" t="s">
        <v>696</v>
      </c>
      <c r="H337" s="10" t="str" cm="1">
        <f t="array" aca="1" ref="H337" ca="1">IF(INDEX(I337:Z337,$H$1)=0,"",INDEX(I337:Z337,$H$1))</f>
        <v>Reference</v>
      </c>
      <c r="I337" s="10" t="s">
        <v>666</v>
      </c>
      <c r="J337" s="6" t="s">
        <v>809</v>
      </c>
      <c r="K337" s="27" t="s">
        <v>1463</v>
      </c>
    </row>
    <row r="338" spans="1:12" x14ac:dyDescent="0.35">
      <c r="A338" s="10" t="s">
        <v>1282</v>
      </c>
      <c r="B338" s="255">
        <v>6</v>
      </c>
      <c r="C338" s="10" t="s">
        <v>578</v>
      </c>
      <c r="D338" s="10">
        <v>2</v>
      </c>
      <c r="E338" s="10">
        <v>19</v>
      </c>
      <c r="F338" s="10" t="s">
        <v>713</v>
      </c>
      <c r="G338" s="10" t="s">
        <v>696</v>
      </c>
      <c r="H338" s="10" t="str" cm="1">
        <f t="array" aca="1" ref="H338" ca="1">IF(INDEX(I338:Z338,$H$1)=0,"",INDEX(I338:Z338,$H$1))</f>
        <v>Value</v>
      </c>
      <c r="I338" s="10" t="s">
        <v>6</v>
      </c>
      <c r="J338" s="10" t="s">
        <v>725</v>
      </c>
      <c r="K338" s="27" t="s">
        <v>1411</v>
      </c>
    </row>
    <row r="339" spans="1:12" x14ac:dyDescent="0.35">
      <c r="A339" s="10" t="s">
        <v>1282</v>
      </c>
      <c r="B339" s="255">
        <v>6</v>
      </c>
      <c r="C339" s="10" t="s">
        <v>578</v>
      </c>
      <c r="D339" s="10">
        <v>2</v>
      </c>
      <c r="E339" s="10">
        <v>19</v>
      </c>
      <c r="F339" s="10" t="s">
        <v>772</v>
      </c>
      <c r="G339" s="10" t="s">
        <v>696</v>
      </c>
      <c r="H339" s="10" t="str" cm="1">
        <f t="array" aca="1" ref="H339" ca="1">IF(INDEX(I339:Z339,$H$1)=0,"",INDEX(I339:Z339,$H$1))</f>
        <v>Source</v>
      </c>
      <c r="I339" s="10" t="s">
        <v>4</v>
      </c>
      <c r="J339" s="10" t="s">
        <v>785</v>
      </c>
      <c r="K339" s="27" t="s">
        <v>1462</v>
      </c>
    </row>
    <row r="340" spans="1:12" x14ac:dyDescent="0.35">
      <c r="A340" s="10" t="s">
        <v>1282</v>
      </c>
      <c r="B340" s="255">
        <v>6</v>
      </c>
      <c r="C340" s="10" t="s">
        <v>578</v>
      </c>
      <c r="D340" s="10">
        <v>2</v>
      </c>
      <c r="E340" s="10">
        <v>19</v>
      </c>
      <c r="F340" s="10" t="s">
        <v>773</v>
      </c>
      <c r="G340" s="10" t="s">
        <v>696</v>
      </c>
      <c r="H340" s="10" t="str" cm="1">
        <f t="array" aca="1" ref="H340" ca="1">IF(INDEX(I340:Z340,$H$1)=0,"",INDEX(I340:Z340,$H$1))</f>
        <v>Reference</v>
      </c>
      <c r="I340" s="10" t="s">
        <v>666</v>
      </c>
      <c r="J340" s="6" t="s">
        <v>809</v>
      </c>
      <c r="K340" s="27" t="s">
        <v>1463</v>
      </c>
    </row>
    <row r="341" spans="1:12" x14ac:dyDescent="0.35">
      <c r="A341" s="10" t="s">
        <v>1282</v>
      </c>
      <c r="B341" s="255">
        <v>6</v>
      </c>
      <c r="C341" s="10" t="s">
        <v>578</v>
      </c>
      <c r="D341" s="10">
        <v>2</v>
      </c>
      <c r="E341" s="10">
        <v>20</v>
      </c>
      <c r="F341" s="10" t="s">
        <v>38</v>
      </c>
      <c r="G341" s="10" t="s">
        <v>696</v>
      </c>
      <c r="H341" s="10" t="str" cm="1">
        <f t="array" aca="1" ref="H341" ca="1">IF(INDEX(I341:Z341,$H$1)=0,"",INDEX(I341:Z341,$H$1))</f>
        <v>(tonnes/y)</v>
      </c>
      <c r="I341" s="10" t="s">
        <v>2303</v>
      </c>
      <c r="J341" s="10" t="s">
        <v>786</v>
      </c>
      <c r="K341" s="27" t="s">
        <v>2304</v>
      </c>
    </row>
    <row r="342" spans="1:12" x14ac:dyDescent="0.35">
      <c r="A342" s="10" t="s">
        <v>1282</v>
      </c>
      <c r="B342" s="255">
        <v>6</v>
      </c>
      <c r="C342" s="10" t="s">
        <v>578</v>
      </c>
      <c r="D342" s="10">
        <v>2</v>
      </c>
      <c r="E342" s="10">
        <v>20</v>
      </c>
      <c r="F342" s="10" t="s">
        <v>692</v>
      </c>
      <c r="G342" s="10" t="s">
        <v>696</v>
      </c>
      <c r="H342" s="10" t="str" cm="1">
        <f t="array" aca="1" ref="H342" ca="1">IF(INDEX(I342:Z342,$H$1)=0,"",INDEX(I342:Z342,$H$1))</f>
        <v>(GJ/Tonne)</v>
      </c>
      <c r="I342" s="10" t="s">
        <v>561</v>
      </c>
      <c r="J342" s="10" t="s">
        <v>787</v>
      </c>
      <c r="K342" s="27" t="s">
        <v>1464</v>
      </c>
    </row>
    <row r="343" spans="1:12" x14ac:dyDescent="0.35">
      <c r="A343" s="10" t="s">
        <v>1282</v>
      </c>
      <c r="B343" s="255">
        <v>6</v>
      </c>
      <c r="C343" s="10" t="s">
        <v>577</v>
      </c>
      <c r="D343" s="10">
        <v>2</v>
      </c>
      <c r="E343" s="10">
        <v>20</v>
      </c>
      <c r="F343" s="10" t="s">
        <v>711</v>
      </c>
      <c r="G343" s="10" t="s">
        <v>696</v>
      </c>
      <c r="H343" s="10" t="str" cm="1">
        <f t="array" aca="1" ref="H343" ca="1">IF(INDEX(I343:Z343,$H$1)=0,"",INDEX(I343:Z343,$H$1))</f>
        <v>(kg/m3)</v>
      </c>
      <c r="I343" s="10" t="s">
        <v>61</v>
      </c>
      <c r="J343" s="10" t="s">
        <v>2356</v>
      </c>
      <c r="K343" s="10" t="s">
        <v>61</v>
      </c>
    </row>
    <row r="344" spans="1:12" x14ac:dyDescent="0.35">
      <c r="A344" s="10" t="s">
        <v>1282</v>
      </c>
      <c r="B344" s="255">
        <v>6</v>
      </c>
      <c r="C344" s="10" t="s">
        <v>578</v>
      </c>
      <c r="D344" s="10">
        <v>2</v>
      </c>
      <c r="E344" s="10">
        <v>20</v>
      </c>
      <c r="F344" s="10" t="s">
        <v>711</v>
      </c>
      <c r="G344" s="10" t="s">
        <v>696</v>
      </c>
      <c r="H344" s="10" t="str" cm="1">
        <f t="array" aca="1" ref="H344" ca="1">IF(INDEX(I344:Z344,$H$1)=0,"",INDEX(I344:Z344,$H$1))</f>
        <v>(Tonne C/GJ)</v>
      </c>
      <c r="I344" s="10" t="s">
        <v>560</v>
      </c>
      <c r="J344" s="10" t="s">
        <v>788</v>
      </c>
      <c r="K344" s="27" t="s">
        <v>1465</v>
      </c>
    </row>
    <row r="345" spans="1:12" x14ac:dyDescent="0.35">
      <c r="A345" s="10" t="s">
        <v>1282</v>
      </c>
      <c r="B345" s="255">
        <v>6</v>
      </c>
      <c r="C345" s="10" t="s">
        <v>578</v>
      </c>
      <c r="D345" s="10">
        <v>2</v>
      </c>
      <c r="E345" s="10">
        <v>20</v>
      </c>
      <c r="F345" s="10" t="s">
        <v>713</v>
      </c>
      <c r="G345" s="10" t="s">
        <v>696</v>
      </c>
      <c r="H345" s="10" t="str" cm="1">
        <f t="array" aca="1" ref="H345" ca="1">IF(INDEX(I345:Z345,$H$1)=0,"",INDEX(I345:Z345,$H$1))</f>
        <v>(%)</v>
      </c>
      <c r="I345" s="10" t="s">
        <v>146</v>
      </c>
      <c r="J345" s="10" t="s">
        <v>146</v>
      </c>
      <c r="K345" s="27" t="s">
        <v>146</v>
      </c>
    </row>
    <row r="346" spans="1:12" x14ac:dyDescent="0.35">
      <c r="A346" s="10" t="s">
        <v>1282</v>
      </c>
      <c r="B346" s="255">
        <v>6</v>
      </c>
      <c r="C346" s="10" t="s">
        <v>578</v>
      </c>
      <c r="D346" s="10">
        <v>2</v>
      </c>
      <c r="E346" s="10">
        <v>20</v>
      </c>
      <c r="F346" s="10" t="s">
        <v>771</v>
      </c>
      <c r="G346" s="10" t="s">
        <v>696</v>
      </c>
      <c r="H346" s="10" t="str" cm="1">
        <f t="array" aca="1" ref="H346" ca="1">IF(INDEX(I346:Z346,$H$1)=0,"",INDEX(I346:Z346,$H$1))</f>
        <v>(tonnes/y)</v>
      </c>
      <c r="I346" s="10" t="s">
        <v>2303</v>
      </c>
      <c r="J346" s="10" t="s">
        <v>786</v>
      </c>
      <c r="K346" s="27" t="s">
        <v>2304</v>
      </c>
    </row>
    <row r="347" spans="1:12" x14ac:dyDescent="0.35">
      <c r="A347" s="10" t="s">
        <v>1282</v>
      </c>
      <c r="B347" s="255">
        <v>6</v>
      </c>
      <c r="C347" s="10" t="s">
        <v>578</v>
      </c>
      <c r="D347" s="10">
        <v>2</v>
      </c>
      <c r="E347" s="10">
        <v>20</v>
      </c>
      <c r="F347" s="10" t="s">
        <v>593</v>
      </c>
      <c r="G347" s="10" t="s">
        <v>696</v>
      </c>
      <c r="H347" s="10" t="str" cm="1">
        <f t="array" aca="1" ref="H347" ca="1">IF(INDEX(I347:Z347,$H$1)=0,"",INDEX(I347:Z347,$H$1))</f>
        <v>(tonnes/y)</v>
      </c>
      <c r="I347" s="10" t="s">
        <v>2303</v>
      </c>
      <c r="J347" s="10" t="s">
        <v>786</v>
      </c>
      <c r="K347" s="27" t="s">
        <v>2304</v>
      </c>
    </row>
    <row r="348" spans="1:12" x14ac:dyDescent="0.35">
      <c r="A348" s="10" t="s">
        <v>1282</v>
      </c>
      <c r="B348" s="255">
        <v>6</v>
      </c>
      <c r="C348" s="10" t="s">
        <v>578</v>
      </c>
      <c r="D348" s="10">
        <v>2</v>
      </c>
      <c r="E348" s="10">
        <v>21</v>
      </c>
      <c r="F348" s="10" t="s">
        <v>690</v>
      </c>
      <c r="G348" s="10" t="s">
        <v>695</v>
      </c>
      <c r="H348" s="10" t="str" cm="1">
        <f t="array" aca="1" ref="H348" ca="1">IF(INDEX(I348:Z348,$H$1)=0,"",INDEX(I348:Z348,$H$1))</f>
        <v>Crude Oil</v>
      </c>
      <c r="I348" s="10" t="s">
        <v>52</v>
      </c>
      <c r="J348" s="10" t="s">
        <v>797</v>
      </c>
      <c r="K348" s="27" t="s">
        <v>1474</v>
      </c>
    </row>
    <row r="349" spans="1:12" x14ac:dyDescent="0.35">
      <c r="A349" s="10" t="s">
        <v>1282</v>
      </c>
      <c r="B349" s="255">
        <v>6</v>
      </c>
      <c r="C349" s="10" t="s">
        <v>578</v>
      </c>
      <c r="D349" s="10">
        <v>2</v>
      </c>
      <c r="E349" s="10">
        <v>22</v>
      </c>
      <c r="F349" s="10" t="s">
        <v>690</v>
      </c>
      <c r="G349" s="10" t="s">
        <v>695</v>
      </c>
      <c r="H349" s="10" t="str" cm="1">
        <f t="array" aca="1" ref="H349" ca="1">IF(INDEX(I349:Z349,$H$1)=0,"",INDEX(I349:Z349,$H$1))</f>
        <v>Fuel Oil</v>
      </c>
      <c r="I349" s="10" t="s">
        <v>570</v>
      </c>
      <c r="J349" s="10" t="s">
        <v>798</v>
      </c>
      <c r="K349" s="27" t="s">
        <v>1475</v>
      </c>
      <c r="L349" s="15"/>
    </row>
    <row r="350" spans="1:12" x14ac:dyDescent="0.35">
      <c r="A350" s="10" t="s">
        <v>1282</v>
      </c>
      <c r="B350" s="255">
        <v>6</v>
      </c>
      <c r="C350" s="10" t="s">
        <v>578</v>
      </c>
      <c r="D350" s="10">
        <v>2</v>
      </c>
      <c r="E350" s="10">
        <v>23</v>
      </c>
      <c r="F350" s="10" t="s">
        <v>690</v>
      </c>
      <c r="G350" s="10" t="s">
        <v>695</v>
      </c>
      <c r="H350" s="10" t="str" cm="1">
        <f t="array" aca="1" ref="H350" ca="1">IF(INDEX(I350:Z350,$H$1)=0,"",INDEX(I350:Z350,$H$1))</f>
        <v>Gasoline</v>
      </c>
      <c r="I350" s="10" t="s">
        <v>571</v>
      </c>
      <c r="J350" s="10" t="s">
        <v>799</v>
      </c>
      <c r="K350" s="27" t="s">
        <v>1476</v>
      </c>
    </row>
    <row r="351" spans="1:12" x14ac:dyDescent="0.35">
      <c r="A351" s="10" t="s">
        <v>1282</v>
      </c>
      <c r="B351" s="255">
        <v>6</v>
      </c>
      <c r="C351" s="10" t="s">
        <v>578</v>
      </c>
      <c r="D351" s="10">
        <v>2</v>
      </c>
      <c r="E351" s="10">
        <v>24</v>
      </c>
      <c r="F351" s="10" t="s">
        <v>687</v>
      </c>
      <c r="G351" s="10" t="s">
        <v>695</v>
      </c>
      <c r="H351" s="10" t="str" cm="1">
        <f t="array" aca="1" ref="H351" ca="1">IF(INDEX(I351:Z351,$H$1)=0,"",INDEX(I351:Z351,$H$1))</f>
        <v>Default</v>
      </c>
      <c r="I351" s="10" t="s">
        <v>596</v>
      </c>
      <c r="J351" s="10" t="s">
        <v>1115</v>
      </c>
      <c r="K351" s="27" t="s">
        <v>1477</v>
      </c>
    </row>
    <row r="352" spans="1:12" x14ac:dyDescent="0.35">
      <c r="A352" s="10" t="s">
        <v>1282</v>
      </c>
      <c r="B352" s="255">
        <v>6</v>
      </c>
      <c r="C352" s="10" t="s">
        <v>578</v>
      </c>
      <c r="D352" s="10">
        <v>2</v>
      </c>
      <c r="E352" s="10">
        <v>24</v>
      </c>
      <c r="F352" s="10" t="s">
        <v>690</v>
      </c>
      <c r="G352" s="10" t="s">
        <v>695</v>
      </c>
      <c r="H352" s="10" t="str" cm="1">
        <f t="array" aca="1" ref="H352" ca="1">IF(INDEX(I352:Z352,$H$1)=0,"",INDEX(I352:Z352,$H$1))</f>
        <v>Diesel</v>
      </c>
      <c r="I352" s="10" t="s">
        <v>572</v>
      </c>
      <c r="J352" s="10" t="s">
        <v>800</v>
      </c>
      <c r="K352" s="27" t="s">
        <v>1478</v>
      </c>
    </row>
    <row r="353" spans="1:12" x14ac:dyDescent="0.35">
      <c r="A353" s="10" t="s">
        <v>1282</v>
      </c>
      <c r="B353" s="255">
        <v>6</v>
      </c>
      <c r="C353" s="10" t="s">
        <v>578</v>
      </c>
      <c r="D353" s="10">
        <v>2</v>
      </c>
      <c r="E353" s="10">
        <v>25</v>
      </c>
      <c r="F353" s="10" t="s">
        <v>690</v>
      </c>
      <c r="G353" s="10" t="s">
        <v>695</v>
      </c>
      <c r="H353" s="10" t="str" cm="1">
        <f t="array" aca="1" ref="H353" ca="1">IF(INDEX(I353:Z353,$H$1)=0,"",INDEX(I353:Z353,$H$1))</f>
        <v>Aviation Kerosene</v>
      </c>
      <c r="I353" s="10" t="s">
        <v>573</v>
      </c>
      <c r="J353" s="10" t="s">
        <v>801</v>
      </c>
      <c r="K353" s="27" t="s">
        <v>1479</v>
      </c>
      <c r="L353" s="15"/>
    </row>
    <row r="354" spans="1:12" x14ac:dyDescent="0.35">
      <c r="A354" s="10" t="s">
        <v>1282</v>
      </c>
      <c r="B354" s="255">
        <v>6</v>
      </c>
      <c r="C354" s="10" t="s">
        <v>578</v>
      </c>
      <c r="D354" s="10">
        <v>2</v>
      </c>
      <c r="E354" s="10">
        <v>26</v>
      </c>
      <c r="F354" s="10" t="s">
        <v>690</v>
      </c>
      <c r="G354" s="10" t="s">
        <v>695</v>
      </c>
      <c r="H354" s="10" t="str" cm="1">
        <f t="array" aca="1" ref="H354" ca="1">IF(INDEX(I354:Z354,$H$1)=0,"",INDEX(I354:Z354,$H$1))</f>
        <v>Common Kerosene</v>
      </c>
      <c r="I354" s="10" t="s">
        <v>574</v>
      </c>
      <c r="J354" s="10" t="s">
        <v>802</v>
      </c>
      <c r="K354" s="27" t="s">
        <v>1480</v>
      </c>
    </row>
    <row r="355" spans="1:12" x14ac:dyDescent="0.35">
      <c r="A355" s="10" t="s">
        <v>1282</v>
      </c>
      <c r="B355" s="255">
        <v>6</v>
      </c>
      <c r="C355" s="10" t="s">
        <v>578</v>
      </c>
      <c r="D355" s="10">
        <v>2</v>
      </c>
      <c r="E355" s="10">
        <v>27</v>
      </c>
      <c r="F355" s="10" t="s">
        <v>690</v>
      </c>
      <c r="G355" s="10" t="s">
        <v>695</v>
      </c>
      <c r="H355" s="10" t="str" cm="1">
        <f t="array" aca="1" ref="H355" ca="1">IF(INDEX(I355:Z355,$H$1)=0,"",INDEX(I355:Z355,$H$1))</f>
        <v>Naphtha</v>
      </c>
      <c r="I355" s="10" t="s">
        <v>575</v>
      </c>
      <c r="J355" s="10" t="s">
        <v>803</v>
      </c>
      <c r="K355" s="27" t="s">
        <v>1481</v>
      </c>
    </row>
    <row r="356" spans="1:12" x14ac:dyDescent="0.35">
      <c r="A356" s="10" t="s">
        <v>1282</v>
      </c>
      <c r="B356" s="255">
        <v>6</v>
      </c>
      <c r="C356" s="10" t="s">
        <v>578</v>
      </c>
      <c r="D356" s="10">
        <v>2</v>
      </c>
      <c r="E356" s="10">
        <v>28</v>
      </c>
      <c r="F356" s="10" t="s">
        <v>690</v>
      </c>
      <c r="G356" s="10" t="s">
        <v>695</v>
      </c>
      <c r="H356" s="10" t="str" cm="1">
        <f t="array" aca="1" ref="H356" ca="1">IF(INDEX(I356:Z356,$H$1)=0,"",INDEX(I356:Z356,$H$1))</f>
        <v>Liquid Petroleum Gas</v>
      </c>
      <c r="I356" s="10" t="s">
        <v>598</v>
      </c>
      <c r="J356" s="6" t="s">
        <v>812</v>
      </c>
      <c r="K356" s="27" t="s">
        <v>1482</v>
      </c>
    </row>
    <row r="357" spans="1:12" x14ac:dyDescent="0.35">
      <c r="A357" s="10" t="s">
        <v>1282</v>
      </c>
      <c r="B357" s="255">
        <v>6</v>
      </c>
      <c r="C357" s="10" t="s">
        <v>578</v>
      </c>
      <c r="D357" s="10">
        <v>2</v>
      </c>
      <c r="E357" s="10">
        <v>29</v>
      </c>
      <c r="F357" s="10" t="s">
        <v>690</v>
      </c>
      <c r="G357" s="10" t="s">
        <v>695</v>
      </c>
      <c r="H357" s="10" t="str" cm="1">
        <f t="array" aca="1" ref="H357" ca="1">IF(INDEX(I357:Z357,$H$1)=0,"",INDEX(I357:Z357,$H$1))</f>
        <v>Liquefied Natural Gas</v>
      </c>
      <c r="I357" s="10" t="s">
        <v>599</v>
      </c>
      <c r="J357" s="10" t="s">
        <v>1075</v>
      </c>
      <c r="K357" s="27" t="s">
        <v>1483</v>
      </c>
    </row>
    <row r="358" spans="1:12" x14ac:dyDescent="0.35">
      <c r="A358" s="10" t="s">
        <v>1282</v>
      </c>
      <c r="B358" s="255">
        <v>6</v>
      </c>
      <c r="C358" s="10" t="s">
        <v>578</v>
      </c>
      <c r="D358" s="10">
        <v>2</v>
      </c>
      <c r="E358" s="10">
        <v>30</v>
      </c>
      <c r="F358" s="10" t="s">
        <v>690</v>
      </c>
      <c r="G358" s="10" t="s">
        <v>695</v>
      </c>
      <c r="H358" s="10" t="str" cm="1">
        <f t="array" aca="1" ref="H358" ca="1">IF(INDEX(I358:Z358,$H$1)=0,"",INDEX(I358:Z358,$H$1))</f>
        <v>Propane (liquid)</v>
      </c>
      <c r="I358" s="10" t="s">
        <v>2085</v>
      </c>
      <c r="J358" s="10" t="s">
        <v>2086</v>
      </c>
      <c r="K358" s="27" t="s">
        <v>2087</v>
      </c>
    </row>
    <row r="359" spans="1:12" x14ac:dyDescent="0.35">
      <c r="A359" s="10" t="s">
        <v>1282</v>
      </c>
      <c r="B359" s="255">
        <v>6</v>
      </c>
      <c r="C359" s="10" t="s">
        <v>578</v>
      </c>
      <c r="D359" s="10">
        <v>2</v>
      </c>
      <c r="E359" s="10">
        <v>31</v>
      </c>
      <c r="F359" s="10" t="s">
        <v>773</v>
      </c>
      <c r="G359" s="10" t="s">
        <v>695</v>
      </c>
      <c r="H359" s="10" t="str" cm="1">
        <f t="array" aca="1" ref="H359" ca="1">IF(INDEX(I359:Z359,$H$1)=0,"",INDEX(I359:Z359,$H$1))</f>
        <v>Total:</v>
      </c>
      <c r="I359" s="10" t="s">
        <v>376</v>
      </c>
      <c r="J359" s="10" t="s">
        <v>804</v>
      </c>
      <c r="K359" s="27" t="s">
        <v>376</v>
      </c>
    </row>
    <row r="360" spans="1:12" x14ac:dyDescent="0.35">
      <c r="A360" s="10" t="s">
        <v>1282</v>
      </c>
      <c r="B360" s="255">
        <v>6</v>
      </c>
      <c r="C360" s="10" t="s">
        <v>597</v>
      </c>
      <c r="D360" s="10">
        <v>3</v>
      </c>
      <c r="E360" s="10">
        <v>32</v>
      </c>
      <c r="F360" s="10" t="s">
        <v>690</v>
      </c>
      <c r="G360" s="10" t="s">
        <v>688</v>
      </c>
      <c r="H360" s="10" t="str" cm="1">
        <f t="array" aca="1" ref="H360" ca="1">IF(INDEX(I360:Z360,$H$1)=0,"",INDEX(I360:Z360,$H$1))</f>
        <v>Gaseous Fuel Properties</v>
      </c>
      <c r="I360" s="10" t="s">
        <v>597</v>
      </c>
      <c r="J360" s="10" t="s">
        <v>1076</v>
      </c>
      <c r="K360" s="27" t="s">
        <v>1484</v>
      </c>
    </row>
    <row r="361" spans="1:12" x14ac:dyDescent="0.35">
      <c r="A361" s="10" t="s">
        <v>1282</v>
      </c>
      <c r="B361" s="255">
        <v>6</v>
      </c>
      <c r="C361" s="10" t="s">
        <v>597</v>
      </c>
      <c r="D361" s="10">
        <v>3</v>
      </c>
      <c r="E361" s="10">
        <v>34</v>
      </c>
      <c r="F361" s="10" t="s">
        <v>690</v>
      </c>
      <c r="G361" s="10" t="s">
        <v>696</v>
      </c>
      <c r="H361" s="10" t="str" cm="1">
        <f t="array" aca="1" ref="H361" ca="1">IF(INDEX(I361:Z361,$H$1)=0,"",INDEX(I361:Z361,$H$1))</f>
        <v>Fuel Type</v>
      </c>
      <c r="I361" s="10" t="s">
        <v>554</v>
      </c>
      <c r="J361" s="10" t="s">
        <v>779</v>
      </c>
      <c r="K361" s="27" t="s">
        <v>1456</v>
      </c>
    </row>
    <row r="362" spans="1:12" x14ac:dyDescent="0.35">
      <c r="A362" s="10" t="s">
        <v>1282</v>
      </c>
      <c r="B362" s="255">
        <v>6</v>
      </c>
      <c r="C362" s="10" t="s">
        <v>597</v>
      </c>
      <c r="D362" s="10">
        <v>3</v>
      </c>
      <c r="E362" s="10">
        <v>34</v>
      </c>
      <c r="F362" s="10" t="s">
        <v>38</v>
      </c>
      <c r="G362" s="10" t="s">
        <v>696</v>
      </c>
      <c r="H362" s="10" t="str" cm="1">
        <f t="array" aca="1" ref="H362" ca="1">IF(INDEX(I362:Z362,$H$1)=0,"",INDEX(I362:Z362,$H$1))</f>
        <v xml:space="preserve">Combusted </v>
      </c>
      <c r="I362" s="10" t="s">
        <v>555</v>
      </c>
      <c r="J362" s="10" t="s">
        <v>780</v>
      </c>
      <c r="K362" s="28" t="s">
        <v>1436</v>
      </c>
    </row>
    <row r="363" spans="1:12" x14ac:dyDescent="0.35">
      <c r="A363" s="10" t="s">
        <v>1282</v>
      </c>
      <c r="B363" s="255">
        <v>6</v>
      </c>
      <c r="C363" s="10" t="s">
        <v>597</v>
      </c>
      <c r="D363" s="10">
        <v>3</v>
      </c>
      <c r="E363" s="10">
        <v>34</v>
      </c>
      <c r="F363" s="10" t="s">
        <v>692</v>
      </c>
      <c r="G363" s="10" t="s">
        <v>696</v>
      </c>
      <c r="H363" s="10" t="str" cm="1">
        <f t="array" aca="1" ref="H363" ca="1">IF(INDEX(I363:Z363,$H$1)=0,"",INDEX(I363:Z363,$H$1))</f>
        <v>Higher Heating Value</v>
      </c>
      <c r="I363" s="10" t="s">
        <v>595</v>
      </c>
      <c r="J363" s="10" t="s">
        <v>2319</v>
      </c>
      <c r="K363" s="27" t="s">
        <v>2321</v>
      </c>
    </row>
    <row r="364" spans="1:12" x14ac:dyDescent="0.35">
      <c r="A364" s="10" t="s">
        <v>1282</v>
      </c>
      <c r="B364" s="255">
        <v>6</v>
      </c>
      <c r="C364" s="10" t="s">
        <v>597</v>
      </c>
      <c r="D364" s="10">
        <v>3</v>
      </c>
      <c r="E364" s="10">
        <v>34</v>
      </c>
      <c r="F364" s="10" t="s">
        <v>711</v>
      </c>
      <c r="G364" s="10" t="s">
        <v>696</v>
      </c>
      <c r="H364" s="10" t="str" cm="1">
        <f t="array" aca="1" ref="H364" ca="1">IF(INDEX(I364:Z364,$H$1)=0,"",INDEX(I364:Z364,$H$1))</f>
        <v>Carbon Content</v>
      </c>
      <c r="I364" s="10" t="s">
        <v>558</v>
      </c>
      <c r="J364" s="10" t="s">
        <v>781</v>
      </c>
      <c r="K364" s="27" t="s">
        <v>1458</v>
      </c>
    </row>
    <row r="365" spans="1:12" x14ac:dyDescent="0.35">
      <c r="A365" s="10" t="s">
        <v>1282</v>
      </c>
      <c r="B365" s="255">
        <v>6</v>
      </c>
      <c r="C365" s="10" t="s">
        <v>597</v>
      </c>
      <c r="D365" s="10">
        <v>3</v>
      </c>
      <c r="E365" s="10">
        <v>34</v>
      </c>
      <c r="F365" s="10" t="s">
        <v>713</v>
      </c>
      <c r="G365" s="10" t="s">
        <v>696</v>
      </c>
      <c r="H365" s="10" t="str" cm="1">
        <f t="array" aca="1" ref="H365" ca="1">IF(INDEX(I365:Z365,$H$1)=0,"",INDEX(I365:Z365,$H$1))</f>
        <v>Carbon Oxidation Rate</v>
      </c>
      <c r="I365" s="10" t="s">
        <v>562</v>
      </c>
      <c r="J365" s="10" t="s">
        <v>783</v>
      </c>
      <c r="K365" s="27" t="s">
        <v>1459</v>
      </c>
    </row>
    <row r="366" spans="1:12" x14ac:dyDescent="0.35">
      <c r="A366" s="10" t="s">
        <v>1282</v>
      </c>
      <c r="B366" s="255">
        <v>6</v>
      </c>
      <c r="C366" s="10" t="s">
        <v>597</v>
      </c>
      <c r="D366" s="10">
        <v>3</v>
      </c>
      <c r="E366" s="10">
        <v>34</v>
      </c>
      <c r="F366" s="10" t="s">
        <v>771</v>
      </c>
      <c r="G366" s="10" t="s">
        <v>696</v>
      </c>
      <c r="H366" s="10" t="str" cm="1">
        <f t="array" aca="1" ref="H366" ca="1">IF(INDEX(I366:Z366,$H$1)=0,"",INDEX(I366:Z366,$H$1))</f>
        <v>Emissions</v>
      </c>
      <c r="I366" s="10" t="s">
        <v>360</v>
      </c>
      <c r="J366" s="6" t="s">
        <v>807</v>
      </c>
      <c r="K366" s="27" t="s">
        <v>1460</v>
      </c>
    </row>
    <row r="367" spans="1:12" x14ac:dyDescent="0.35">
      <c r="A367" s="10" t="s">
        <v>1282</v>
      </c>
      <c r="B367" s="255">
        <v>6</v>
      </c>
      <c r="C367" s="10" t="s">
        <v>597</v>
      </c>
      <c r="D367" s="10">
        <v>3</v>
      </c>
      <c r="E367" s="10">
        <v>35</v>
      </c>
      <c r="F367" s="10" t="s">
        <v>38</v>
      </c>
      <c r="G367" s="10" t="s">
        <v>696</v>
      </c>
      <c r="H367" s="10" t="str" cm="1">
        <f t="array" aca="1" ref="H367" ca="1">IF(INDEX(I367:Z367,$H$1)=0,"",INDEX(I367:Z367,$H$1))</f>
        <v>Amount</v>
      </c>
      <c r="I367" s="10" t="s">
        <v>556</v>
      </c>
      <c r="J367" s="10" t="s">
        <v>784</v>
      </c>
      <c r="K367" s="28" t="s">
        <v>1461</v>
      </c>
    </row>
    <row r="368" spans="1:12" x14ac:dyDescent="0.35">
      <c r="A368" s="10" t="s">
        <v>1282</v>
      </c>
      <c r="B368" s="255">
        <v>6</v>
      </c>
      <c r="C368" s="10" t="s">
        <v>597</v>
      </c>
      <c r="D368" s="10">
        <v>3</v>
      </c>
      <c r="E368" s="10">
        <v>35</v>
      </c>
      <c r="F368" s="10" t="s">
        <v>692</v>
      </c>
      <c r="G368" s="10" t="s">
        <v>696</v>
      </c>
      <c r="H368" s="10" t="str" cm="1">
        <f t="array" aca="1" ref="H368" ca="1">IF(INDEX(I368:Z368,$H$1)=0,"",INDEX(I368:Z368,$H$1))</f>
        <v>Value</v>
      </c>
      <c r="I368" s="10" t="s">
        <v>6</v>
      </c>
      <c r="J368" s="10" t="s">
        <v>725</v>
      </c>
      <c r="K368" s="27" t="s">
        <v>1411</v>
      </c>
    </row>
    <row r="369" spans="1:11" x14ac:dyDescent="0.35">
      <c r="A369" s="10" t="s">
        <v>1282</v>
      </c>
      <c r="B369" s="255">
        <v>6</v>
      </c>
      <c r="C369" s="10" t="s">
        <v>597</v>
      </c>
      <c r="D369" s="10">
        <v>3</v>
      </c>
      <c r="E369" s="10">
        <v>35</v>
      </c>
      <c r="F369" s="10" t="s">
        <v>693</v>
      </c>
      <c r="G369" s="10" t="s">
        <v>696</v>
      </c>
      <c r="H369" s="10" t="str" cm="1">
        <f t="array" aca="1" ref="H369" ca="1">IF(INDEX(I369:Z369,$H$1)=0,"",INDEX(I369:Z369,$H$1))</f>
        <v>Source</v>
      </c>
      <c r="I369" s="10" t="s">
        <v>4</v>
      </c>
      <c r="J369" s="10" t="s">
        <v>785</v>
      </c>
      <c r="K369" s="27" t="s">
        <v>1462</v>
      </c>
    </row>
    <row r="370" spans="1:11" x14ac:dyDescent="0.35">
      <c r="A370" s="10" t="s">
        <v>1282</v>
      </c>
      <c r="B370" s="255">
        <v>6</v>
      </c>
      <c r="C370" s="10" t="s">
        <v>597</v>
      </c>
      <c r="D370" s="10">
        <v>3</v>
      </c>
      <c r="E370" s="10">
        <v>35</v>
      </c>
      <c r="F370" s="10" t="s">
        <v>694</v>
      </c>
      <c r="G370" s="10" t="s">
        <v>696</v>
      </c>
      <c r="H370" s="10" t="str" cm="1">
        <f t="array" aca="1" ref="H370" ca="1">IF(INDEX(I370:Z370,$H$1)=0,"",INDEX(I370:Z370,$H$1))</f>
        <v>Reference</v>
      </c>
      <c r="I370" s="10" t="s">
        <v>666</v>
      </c>
      <c r="J370" s="6" t="s">
        <v>809</v>
      </c>
      <c r="K370" s="27" t="s">
        <v>1463</v>
      </c>
    </row>
    <row r="371" spans="1:11" x14ac:dyDescent="0.35">
      <c r="A371" s="10" t="s">
        <v>1282</v>
      </c>
      <c r="B371" s="255">
        <v>6</v>
      </c>
      <c r="C371" s="10" t="s">
        <v>597</v>
      </c>
      <c r="D371" s="10">
        <v>3</v>
      </c>
      <c r="E371" s="10">
        <v>35</v>
      </c>
      <c r="F371" s="10" t="s">
        <v>711</v>
      </c>
      <c r="G371" s="10" t="s">
        <v>696</v>
      </c>
      <c r="H371" s="10" t="str" cm="1">
        <f t="array" aca="1" ref="H371" ca="1">IF(INDEX(I371:Z371,$H$1)=0,"",INDEX(I371:Z371,$H$1))</f>
        <v>Value</v>
      </c>
      <c r="I371" s="10" t="s">
        <v>6</v>
      </c>
      <c r="J371" s="10" t="s">
        <v>725</v>
      </c>
      <c r="K371" s="27" t="s">
        <v>1411</v>
      </c>
    </row>
    <row r="372" spans="1:11" x14ac:dyDescent="0.35">
      <c r="A372" s="10" t="s">
        <v>1282</v>
      </c>
      <c r="B372" s="255">
        <v>6</v>
      </c>
      <c r="C372" s="10" t="s">
        <v>597</v>
      </c>
      <c r="D372" s="10">
        <v>3</v>
      </c>
      <c r="E372" s="10">
        <v>35</v>
      </c>
      <c r="F372" s="10" t="s">
        <v>591</v>
      </c>
      <c r="G372" s="10" t="s">
        <v>696</v>
      </c>
      <c r="H372" s="10" t="str" cm="1">
        <f t="array" aca="1" ref="H372" ca="1">IF(INDEX(I372:Z372,$H$1)=0,"",INDEX(I372:Z372,$H$1))</f>
        <v>Source</v>
      </c>
      <c r="I372" s="10" t="s">
        <v>4</v>
      </c>
      <c r="J372" s="10" t="s">
        <v>785</v>
      </c>
      <c r="K372" s="27" t="s">
        <v>1462</v>
      </c>
    </row>
    <row r="373" spans="1:11" x14ac:dyDescent="0.35">
      <c r="A373" s="10" t="s">
        <v>1282</v>
      </c>
      <c r="B373" s="255">
        <v>6</v>
      </c>
      <c r="C373" s="10" t="s">
        <v>597</v>
      </c>
      <c r="D373" s="10">
        <v>3</v>
      </c>
      <c r="E373" s="10">
        <v>35</v>
      </c>
      <c r="F373" s="10" t="s">
        <v>712</v>
      </c>
      <c r="G373" s="10" t="s">
        <v>696</v>
      </c>
      <c r="H373" s="10" t="str" cm="1">
        <f t="array" aca="1" ref="H373" ca="1">IF(INDEX(I373:Z373,$H$1)=0,"",INDEX(I373:Z373,$H$1))</f>
        <v>Reference</v>
      </c>
      <c r="I373" s="10" t="s">
        <v>666</v>
      </c>
      <c r="J373" s="6" t="s">
        <v>809</v>
      </c>
      <c r="K373" s="27" t="s">
        <v>1463</v>
      </c>
    </row>
    <row r="374" spans="1:11" x14ac:dyDescent="0.35">
      <c r="A374" s="10" t="s">
        <v>1282</v>
      </c>
      <c r="B374" s="255">
        <v>6</v>
      </c>
      <c r="C374" s="10" t="s">
        <v>597</v>
      </c>
      <c r="D374" s="10">
        <v>3</v>
      </c>
      <c r="E374" s="10">
        <v>35</v>
      </c>
      <c r="F374" s="10" t="s">
        <v>713</v>
      </c>
      <c r="G374" s="10" t="s">
        <v>696</v>
      </c>
      <c r="H374" s="10" t="str" cm="1">
        <f t="array" aca="1" ref="H374" ca="1">IF(INDEX(I374:Z374,$H$1)=0,"",INDEX(I374:Z374,$H$1))</f>
        <v>Value</v>
      </c>
      <c r="I374" s="10" t="s">
        <v>6</v>
      </c>
      <c r="J374" s="10" t="s">
        <v>725</v>
      </c>
      <c r="K374" s="27" t="s">
        <v>1411</v>
      </c>
    </row>
    <row r="375" spans="1:11" x14ac:dyDescent="0.35">
      <c r="A375" s="10" t="s">
        <v>1282</v>
      </c>
      <c r="B375" s="255">
        <v>6</v>
      </c>
      <c r="C375" s="10" t="s">
        <v>597</v>
      </c>
      <c r="D375" s="10">
        <v>3</v>
      </c>
      <c r="E375" s="10">
        <v>35</v>
      </c>
      <c r="F375" s="10" t="s">
        <v>772</v>
      </c>
      <c r="G375" s="10" t="s">
        <v>696</v>
      </c>
      <c r="H375" s="10" t="str" cm="1">
        <f t="array" aca="1" ref="H375" ca="1">IF(INDEX(I375:Z375,$H$1)=0,"",INDEX(I375:Z375,$H$1))</f>
        <v>Source</v>
      </c>
      <c r="I375" s="10" t="s">
        <v>4</v>
      </c>
      <c r="J375" s="10" t="s">
        <v>785</v>
      </c>
      <c r="K375" s="27" t="s">
        <v>1462</v>
      </c>
    </row>
    <row r="376" spans="1:11" x14ac:dyDescent="0.35">
      <c r="A376" s="10" t="s">
        <v>1282</v>
      </c>
      <c r="B376" s="255">
        <v>6</v>
      </c>
      <c r="C376" s="10" t="s">
        <v>597</v>
      </c>
      <c r="D376" s="10">
        <v>3</v>
      </c>
      <c r="E376" s="10">
        <v>35</v>
      </c>
      <c r="F376" s="10" t="s">
        <v>773</v>
      </c>
      <c r="G376" s="10" t="s">
        <v>696</v>
      </c>
      <c r="H376" s="10" t="str" cm="1">
        <f t="array" aca="1" ref="H376" ca="1">IF(INDEX(I376:Z376,$H$1)=0,"",INDEX(I376:Z376,$H$1))</f>
        <v>Reference</v>
      </c>
      <c r="I376" s="10" t="s">
        <v>666</v>
      </c>
      <c r="J376" s="6" t="s">
        <v>809</v>
      </c>
      <c r="K376" s="27" t="s">
        <v>1463</v>
      </c>
    </row>
    <row r="377" spans="1:11" x14ac:dyDescent="0.35">
      <c r="A377" s="10" t="s">
        <v>1282</v>
      </c>
      <c r="B377" s="255">
        <v>6</v>
      </c>
      <c r="C377" s="10" t="s">
        <v>597</v>
      </c>
      <c r="D377" s="10">
        <v>3</v>
      </c>
      <c r="E377" s="10">
        <v>36</v>
      </c>
      <c r="F377" s="10" t="s">
        <v>593</v>
      </c>
      <c r="G377" s="10" t="s">
        <v>696</v>
      </c>
      <c r="H377" s="10" t="str" cm="1">
        <f t="array" aca="1" ref="H377" ca="1">IF(INDEX(I377:Z377,$H$1)=0,"",INDEX(I377:Z377,$H$1))</f>
        <v>E+03 m3/day</v>
      </c>
      <c r="I377" s="10" t="s">
        <v>3368</v>
      </c>
      <c r="J377" s="10" t="s">
        <v>2357</v>
      </c>
      <c r="K377" s="10" t="s">
        <v>2358</v>
      </c>
    </row>
    <row r="378" spans="1:11" x14ac:dyDescent="0.35">
      <c r="A378" s="10" t="s">
        <v>1282</v>
      </c>
      <c r="B378" s="255">
        <v>6</v>
      </c>
      <c r="C378" s="10" t="s">
        <v>597</v>
      </c>
      <c r="D378" s="10">
        <v>3</v>
      </c>
      <c r="E378" s="10">
        <v>36</v>
      </c>
      <c r="F378" s="10" t="s">
        <v>593</v>
      </c>
      <c r="G378" s="10" t="s">
        <v>696</v>
      </c>
      <c r="H378" s="10" t="str" cm="1">
        <f t="array" aca="1" ref="H378" ca="1">IF(INDEX(I378:Z378,$H$1)=0,"",INDEX(I378:Z378,$H$1))</f>
        <v>MJ/m3</v>
      </c>
      <c r="I378" s="10" t="s">
        <v>2322</v>
      </c>
      <c r="J378" s="10" t="s">
        <v>2359</v>
      </c>
      <c r="K378" s="10" t="s">
        <v>2322</v>
      </c>
    </row>
    <row r="379" spans="1:11" x14ac:dyDescent="0.35">
      <c r="A379" s="10" t="s">
        <v>1282</v>
      </c>
      <c r="B379" s="255">
        <v>6</v>
      </c>
      <c r="C379" s="10" t="s">
        <v>597</v>
      </c>
      <c r="D379" s="10">
        <v>3</v>
      </c>
      <c r="E379" s="10">
        <v>36</v>
      </c>
      <c r="F379" s="10" t="s">
        <v>38</v>
      </c>
      <c r="G379" s="10" t="s">
        <v>696</v>
      </c>
      <c r="H379" s="10" t="str" cm="1">
        <f t="array" aca="1" ref="H379" ca="1">IF(INDEX(I379:Z379,$H$1)=0,"",INDEX(I379:Z379,$H$1))</f>
        <v>(tonnes/y)</v>
      </c>
      <c r="I379" s="10" t="s">
        <v>2303</v>
      </c>
      <c r="J379" s="10" t="s">
        <v>786</v>
      </c>
      <c r="K379" s="27" t="s">
        <v>2304</v>
      </c>
    </row>
    <row r="380" spans="1:11" x14ac:dyDescent="0.35">
      <c r="A380" s="10" t="s">
        <v>1282</v>
      </c>
      <c r="B380" s="255">
        <v>6</v>
      </c>
      <c r="C380" s="10" t="s">
        <v>597</v>
      </c>
      <c r="D380" s="10">
        <v>3</v>
      </c>
      <c r="E380" s="10">
        <v>36</v>
      </c>
      <c r="F380" s="10" t="s">
        <v>692</v>
      </c>
      <c r="G380" s="10" t="s">
        <v>696</v>
      </c>
      <c r="H380" s="10" t="str" cm="1">
        <f t="array" aca="1" ref="H380" ca="1">IF(INDEX(I380:Z380,$H$1)=0,"",INDEX(I380:Z380,$H$1))</f>
        <v>(GJ/Tonne)</v>
      </c>
      <c r="I380" s="10" t="s">
        <v>561</v>
      </c>
      <c r="J380" s="10" t="s">
        <v>787</v>
      </c>
      <c r="K380" s="27" t="s">
        <v>1464</v>
      </c>
    </row>
    <row r="381" spans="1:11" x14ac:dyDescent="0.35">
      <c r="A381" s="10" t="s">
        <v>1282</v>
      </c>
      <c r="B381" s="255">
        <v>6</v>
      </c>
      <c r="C381" s="10" t="s">
        <v>597</v>
      </c>
      <c r="D381" s="10">
        <v>3</v>
      </c>
      <c r="E381" s="10">
        <v>36</v>
      </c>
      <c r="F381" s="10" t="s">
        <v>711</v>
      </c>
      <c r="G381" s="10" t="s">
        <v>696</v>
      </c>
      <c r="H381" s="10" t="str" cm="1">
        <f t="array" aca="1" ref="H381" ca="1">IF(INDEX(I381:Z381,$H$1)=0,"",INDEX(I381:Z381,$H$1))</f>
        <v>(Tonne C/GJ)</v>
      </c>
      <c r="I381" s="10" t="s">
        <v>560</v>
      </c>
      <c r="J381" s="10" t="s">
        <v>788</v>
      </c>
      <c r="K381" s="27" t="s">
        <v>1465</v>
      </c>
    </row>
    <row r="382" spans="1:11" x14ac:dyDescent="0.35">
      <c r="A382" s="10" t="s">
        <v>1282</v>
      </c>
      <c r="B382" s="255">
        <v>6</v>
      </c>
      <c r="C382" s="10" t="s">
        <v>597</v>
      </c>
      <c r="D382" s="10">
        <v>3</v>
      </c>
      <c r="E382" s="10">
        <v>36</v>
      </c>
      <c r="F382" s="10" t="s">
        <v>713</v>
      </c>
      <c r="G382" s="10" t="s">
        <v>696</v>
      </c>
      <c r="H382" s="10" t="str" cm="1">
        <f t="array" aca="1" ref="H382" ca="1">IF(INDEX(I382:Z382,$H$1)=0,"",INDEX(I382:Z382,$H$1))</f>
        <v>(%)</v>
      </c>
      <c r="I382" s="10" t="s">
        <v>146</v>
      </c>
      <c r="J382" s="10" t="s">
        <v>146</v>
      </c>
      <c r="K382" s="27" t="s">
        <v>146</v>
      </c>
    </row>
    <row r="383" spans="1:11" x14ac:dyDescent="0.35">
      <c r="A383" s="10" t="s">
        <v>1282</v>
      </c>
      <c r="B383" s="255">
        <v>6</v>
      </c>
      <c r="C383" s="10" t="s">
        <v>597</v>
      </c>
      <c r="D383" s="10">
        <v>3</v>
      </c>
      <c r="E383" s="10">
        <v>36</v>
      </c>
      <c r="F383" s="10" t="s">
        <v>771</v>
      </c>
      <c r="G383" s="10" t="s">
        <v>696</v>
      </c>
      <c r="H383" s="10" t="str" cm="1">
        <f t="array" aca="1" ref="H383" ca="1">IF(INDEX(I383:Z383,$H$1)=0,"",INDEX(I383:Z383,$H$1))</f>
        <v>(tonnes/y)</v>
      </c>
      <c r="I383" s="10" t="s">
        <v>2303</v>
      </c>
      <c r="J383" s="10" t="s">
        <v>786</v>
      </c>
      <c r="K383" s="27" t="s">
        <v>2304</v>
      </c>
    </row>
    <row r="384" spans="1:11" x14ac:dyDescent="0.35">
      <c r="A384" s="10" t="s">
        <v>1282</v>
      </c>
      <c r="B384" s="255">
        <v>6</v>
      </c>
      <c r="C384" s="10" t="s">
        <v>597</v>
      </c>
      <c r="D384" s="10">
        <v>3</v>
      </c>
      <c r="E384" s="10">
        <v>36</v>
      </c>
      <c r="F384" s="10" t="s">
        <v>593</v>
      </c>
      <c r="G384" s="10" t="s">
        <v>696</v>
      </c>
      <c r="H384" s="10" t="str" cm="1">
        <f t="array" aca="1" ref="H384" ca="1">IF(INDEX(I384:Z384,$H$1)=0,"",INDEX(I384:Z384,$H$1))</f>
        <v>(tonnes/y)</v>
      </c>
      <c r="I384" s="10" t="s">
        <v>2303</v>
      </c>
      <c r="J384" s="10" t="s">
        <v>786</v>
      </c>
      <c r="K384" s="27" t="s">
        <v>2304</v>
      </c>
    </row>
    <row r="385" spans="1:11" x14ac:dyDescent="0.35">
      <c r="A385" s="10" t="s">
        <v>1282</v>
      </c>
      <c r="B385" s="255">
        <v>6</v>
      </c>
      <c r="C385" s="10" t="s">
        <v>597</v>
      </c>
      <c r="D385" s="10">
        <v>3</v>
      </c>
      <c r="E385" s="10">
        <v>37</v>
      </c>
      <c r="F385" s="10" t="s">
        <v>690</v>
      </c>
      <c r="G385" s="10" t="s">
        <v>695</v>
      </c>
      <c r="H385" s="10" t="str" cm="1">
        <f t="array" aca="1" ref="H385" ca="1">IF(INDEX(I385:Z385,$H$1)=0,"",INDEX(I385:Z385,$H$1))</f>
        <v>Natural Gas</v>
      </c>
      <c r="I385" s="10" t="s">
        <v>260</v>
      </c>
      <c r="J385" s="10" t="s">
        <v>1077</v>
      </c>
      <c r="K385" s="27" t="s">
        <v>1485</v>
      </c>
    </row>
    <row r="386" spans="1:11" x14ac:dyDescent="0.35">
      <c r="A386" s="10" t="s">
        <v>1282</v>
      </c>
      <c r="B386" s="255">
        <v>6</v>
      </c>
      <c r="C386" s="10" t="s">
        <v>597</v>
      </c>
      <c r="D386" s="10">
        <v>3</v>
      </c>
      <c r="E386" s="10">
        <v>38</v>
      </c>
      <c r="F386" s="10" t="s">
        <v>690</v>
      </c>
      <c r="G386" s="10" t="s">
        <v>695</v>
      </c>
      <c r="H386" s="10" t="str" cm="1">
        <f t="array" aca="1" ref="H386" ca="1">IF(INDEX(I386:Z386,$H$1)=0,"",INDEX(I386:Z386,$H$1))</f>
        <v>Coke Oven Gas</v>
      </c>
      <c r="I386" s="10" t="s">
        <v>600</v>
      </c>
      <c r="J386" s="10" t="s">
        <v>1209</v>
      </c>
      <c r="K386" s="27" t="s">
        <v>1486</v>
      </c>
    </row>
    <row r="387" spans="1:11" x14ac:dyDescent="0.35">
      <c r="A387" s="10" t="s">
        <v>1282</v>
      </c>
      <c r="B387" s="255">
        <v>6</v>
      </c>
      <c r="C387" s="10" t="s">
        <v>597</v>
      </c>
      <c r="D387" s="10">
        <v>3</v>
      </c>
      <c r="E387" s="10">
        <v>39</v>
      </c>
      <c r="F387" s="10" t="s">
        <v>690</v>
      </c>
      <c r="G387" s="10" t="s">
        <v>695</v>
      </c>
      <c r="H387" s="10" t="str" cm="1">
        <f t="array" aca="1" ref="H387" ca="1">IF(INDEX(I387:Z387,$H$1)=0,"",INDEX(I387:Z387,$H$1))</f>
        <v>Blast Furnace Gas</v>
      </c>
      <c r="I387" s="10" t="s">
        <v>601</v>
      </c>
      <c r="J387" s="10" t="s">
        <v>1297</v>
      </c>
      <c r="K387" s="27" t="s">
        <v>1487</v>
      </c>
    </row>
    <row r="388" spans="1:11" x14ac:dyDescent="0.35">
      <c r="A388" s="10" t="s">
        <v>1282</v>
      </c>
      <c r="B388" s="255">
        <v>6</v>
      </c>
      <c r="C388" s="10" t="s">
        <v>597</v>
      </c>
      <c r="D388" s="10">
        <v>3</v>
      </c>
      <c r="E388" s="10">
        <v>40</v>
      </c>
      <c r="F388" s="10" t="s">
        <v>690</v>
      </c>
      <c r="G388" s="10" t="s">
        <v>695</v>
      </c>
      <c r="H388" s="10" t="str" cm="1">
        <f t="array" aca="1" ref="H388" ca="1">IF(INDEX(I388:Z388,$H$1)=0,"",INDEX(I388:Z388,$H$1))</f>
        <v>Converter Gas</v>
      </c>
      <c r="I388" s="10" t="s">
        <v>602</v>
      </c>
      <c r="J388" s="10" t="s">
        <v>1222</v>
      </c>
      <c r="K388" s="27" t="s">
        <v>1488</v>
      </c>
    </row>
    <row r="389" spans="1:11" x14ac:dyDescent="0.35">
      <c r="A389" s="10" t="s">
        <v>1282</v>
      </c>
      <c r="B389" s="255">
        <v>6</v>
      </c>
      <c r="C389" s="10" t="s">
        <v>597</v>
      </c>
      <c r="D389" s="10">
        <v>3</v>
      </c>
      <c r="E389" s="10">
        <v>41</v>
      </c>
      <c r="F389" s="10" t="s">
        <v>690</v>
      </c>
      <c r="G389" s="10" t="s">
        <v>695</v>
      </c>
      <c r="H389" s="10" t="str" cm="1">
        <f t="array" aca="1" ref="H389" ca="1">IF(INDEX(I389:Z389,$H$1)=0,"",INDEX(I389:Z389,$H$1))</f>
        <v>Gas of Calcium Carbide Furnace</v>
      </c>
      <c r="I389" s="10" t="s">
        <v>603</v>
      </c>
      <c r="J389" s="10" t="s">
        <v>1241</v>
      </c>
      <c r="K389" s="27" t="s">
        <v>1489</v>
      </c>
    </row>
    <row r="390" spans="1:11" x14ac:dyDescent="0.35">
      <c r="A390" s="10" t="s">
        <v>1282</v>
      </c>
      <c r="B390" s="255">
        <v>6</v>
      </c>
      <c r="C390" s="10" t="s">
        <v>597</v>
      </c>
      <c r="D390" s="10">
        <v>3</v>
      </c>
      <c r="E390" s="10">
        <v>42</v>
      </c>
      <c r="F390" s="10" t="s">
        <v>690</v>
      </c>
      <c r="G390" s="10" t="s">
        <v>695</v>
      </c>
      <c r="H390" s="10" t="str" cm="1">
        <f t="array" aca="1" ref="H390" ca="1">IF(INDEX(I390:Z390,$H$1)=0,"",INDEX(I390:Z390,$H$1))</f>
        <v>Other Coal Gases</v>
      </c>
      <c r="I390" s="10" t="s">
        <v>604</v>
      </c>
      <c r="J390" s="24" t="s">
        <v>1270</v>
      </c>
      <c r="K390" s="27" t="s">
        <v>1490</v>
      </c>
    </row>
    <row r="391" spans="1:11" x14ac:dyDescent="0.35">
      <c r="A391" s="10" t="s">
        <v>1282</v>
      </c>
      <c r="B391" s="255">
        <v>6</v>
      </c>
      <c r="C391" s="10" t="s">
        <v>597</v>
      </c>
      <c r="D391" s="10">
        <v>3</v>
      </c>
      <c r="E391" s="10">
        <v>43</v>
      </c>
      <c r="F391" s="10" t="s">
        <v>773</v>
      </c>
      <c r="G391" s="10" t="s">
        <v>695</v>
      </c>
      <c r="H391" s="10" t="str" cm="1">
        <f t="array" aca="1" ref="H391" ca="1">IF(INDEX(I391:Z391,$H$1)=0,"",INDEX(I391:Z391,$H$1))</f>
        <v>Total:</v>
      </c>
      <c r="I391" s="10" t="s">
        <v>376</v>
      </c>
      <c r="J391" s="25" t="s">
        <v>804</v>
      </c>
      <c r="K391" s="27" t="s">
        <v>376</v>
      </c>
    </row>
    <row r="392" spans="1:11" x14ac:dyDescent="0.35">
      <c r="A392" s="10" t="s">
        <v>1282</v>
      </c>
      <c r="B392" s="255">
        <v>6</v>
      </c>
      <c r="C392" s="10" t="s">
        <v>631</v>
      </c>
      <c r="D392" s="10">
        <v>4</v>
      </c>
      <c r="E392" s="10">
        <v>44</v>
      </c>
      <c r="F392" s="10" t="s">
        <v>690</v>
      </c>
      <c r="G392" s="10" t="s">
        <v>688</v>
      </c>
      <c r="H392" s="10" t="str" cm="1">
        <f t="array" aca="1" ref="H392" ca="1">IF(INDEX(I392:Z392,$H$1)=0,"",INDEX(I392:Z392,$H$1))</f>
        <v>Hydrocarbon Gas Venting &amp; Flaring</v>
      </c>
      <c r="I392" s="10" t="s">
        <v>631</v>
      </c>
      <c r="J392" s="26" t="s">
        <v>1251</v>
      </c>
      <c r="K392" s="27" t="s">
        <v>1491</v>
      </c>
    </row>
    <row r="393" spans="1:11" x14ac:dyDescent="0.35">
      <c r="A393" s="10" t="s">
        <v>1282</v>
      </c>
      <c r="B393" s="255">
        <v>6</v>
      </c>
      <c r="C393" s="10" t="s">
        <v>631</v>
      </c>
      <c r="D393" s="10">
        <v>4</v>
      </c>
      <c r="E393" s="10">
        <v>46</v>
      </c>
      <c r="F393" s="10" t="s">
        <v>690</v>
      </c>
      <c r="G393" s="10" t="s">
        <v>696</v>
      </c>
      <c r="H393" s="10" t="str" cm="1">
        <f t="array" aca="1" ref="H393" ca="1">IF(INDEX(I393:Z393,$H$1)=0,"",INDEX(I393:Z393,$H$1))</f>
        <v>Type</v>
      </c>
      <c r="I393" s="10" t="s">
        <v>2</v>
      </c>
      <c r="J393" s="10" t="s">
        <v>724</v>
      </c>
      <c r="K393" s="27" t="s">
        <v>1415</v>
      </c>
    </row>
    <row r="394" spans="1:11" x14ac:dyDescent="0.35">
      <c r="A394" s="10" t="s">
        <v>1282</v>
      </c>
      <c r="B394" s="255">
        <v>6</v>
      </c>
      <c r="C394" s="10" t="s">
        <v>631</v>
      </c>
      <c r="D394" s="10">
        <v>4</v>
      </c>
      <c r="E394" s="10">
        <v>46</v>
      </c>
      <c r="F394" s="10" t="s">
        <v>38</v>
      </c>
      <c r="G394" s="10" t="s">
        <v>696</v>
      </c>
      <c r="H394" s="10" t="str" cm="1">
        <f t="array" aca="1" ref="H394" ca="1">IF(INDEX(I394:Z394,$H$1)=0,"",INDEX(I394:Z394,$H$1))</f>
        <v>Quantity</v>
      </c>
      <c r="I394" s="10" t="s">
        <v>253</v>
      </c>
      <c r="J394" s="10" t="s">
        <v>742</v>
      </c>
      <c r="K394" s="27" t="s">
        <v>1436</v>
      </c>
    </row>
    <row r="395" spans="1:11" x14ac:dyDescent="0.35">
      <c r="A395" s="10" t="s">
        <v>1282</v>
      </c>
      <c r="B395" s="255">
        <v>6</v>
      </c>
      <c r="C395" s="10" t="s">
        <v>631</v>
      </c>
      <c r="D395" s="10">
        <v>4</v>
      </c>
      <c r="E395" s="10">
        <v>46</v>
      </c>
      <c r="F395" s="10" t="s">
        <v>692</v>
      </c>
      <c r="G395" s="10" t="s">
        <v>696</v>
      </c>
      <c r="H395" s="10" t="str" cm="1">
        <f t="array" aca="1" ref="H395" ca="1">IF(INDEX(I395:Z395,$H$1)=0,"",INDEX(I395:Z395,$H$1))</f>
        <v>CO2 Content</v>
      </c>
      <c r="I395" s="10" t="s">
        <v>774</v>
      </c>
      <c r="J395" s="10" t="s">
        <v>806</v>
      </c>
      <c r="K395" s="27" t="s">
        <v>1492</v>
      </c>
    </row>
    <row r="396" spans="1:11" x14ac:dyDescent="0.35">
      <c r="A396" s="10" t="s">
        <v>1282</v>
      </c>
      <c r="B396" s="255">
        <v>6</v>
      </c>
      <c r="C396" s="10" t="s">
        <v>631</v>
      </c>
      <c r="D396" s="10">
        <v>4</v>
      </c>
      <c r="E396" s="10">
        <v>46</v>
      </c>
      <c r="F396" s="10" t="s">
        <v>694</v>
      </c>
      <c r="G396" s="10" t="s">
        <v>696</v>
      </c>
      <c r="H396" s="10" t="str" cm="1">
        <f t="array" aca="1" ref="H396" ca="1">IF(INDEX(I396:Z396,$H$1)=0,"",INDEX(I396:Z396,$H$1))</f>
        <v>CH4 Content</v>
      </c>
      <c r="I396" s="10" t="s">
        <v>45</v>
      </c>
      <c r="J396" s="10" t="s">
        <v>805</v>
      </c>
      <c r="K396" s="27" t="s">
        <v>1493</v>
      </c>
    </row>
    <row r="397" spans="1:11" x14ac:dyDescent="0.35">
      <c r="A397" s="10" t="s">
        <v>1282</v>
      </c>
      <c r="B397" s="255">
        <v>6</v>
      </c>
      <c r="C397" s="10" t="s">
        <v>631</v>
      </c>
      <c r="D397" s="10">
        <v>4</v>
      </c>
      <c r="E397" s="10">
        <v>46</v>
      </c>
      <c r="F397" s="10" t="s">
        <v>712</v>
      </c>
      <c r="G397" s="10" t="s">
        <v>696</v>
      </c>
      <c r="H397" s="10" t="str" cm="1">
        <f t="array" aca="1" ref="H397" ca="1">IF(INDEX(I397:Z397,$H$1)=0,"",INDEX(I397:Z397,$H$1))</f>
        <v>Other Hydrocarbon Content</v>
      </c>
      <c r="I397" s="10" t="s">
        <v>632</v>
      </c>
      <c r="J397" s="10" t="s">
        <v>1271</v>
      </c>
      <c r="K397" s="27" t="s">
        <v>1494</v>
      </c>
    </row>
    <row r="398" spans="1:11" x14ac:dyDescent="0.35">
      <c r="A398" s="10" t="s">
        <v>1282</v>
      </c>
      <c r="B398" s="255">
        <v>6</v>
      </c>
      <c r="C398" s="10" t="s">
        <v>631</v>
      </c>
      <c r="D398" s="10">
        <v>4</v>
      </c>
      <c r="E398" s="10">
        <v>46</v>
      </c>
      <c r="F398" s="10" t="s">
        <v>593</v>
      </c>
      <c r="G398" s="10" t="s">
        <v>696</v>
      </c>
      <c r="H398" s="10" t="str" cm="1">
        <f t="array" aca="1" ref="H398" ca="1">IF(INDEX(I398:Z398,$H$1)=0,"",INDEX(I398:Z398,$H$1))</f>
        <v>Flare Efficiency</v>
      </c>
      <c r="I398" s="10" t="s">
        <v>627</v>
      </c>
      <c r="J398" s="10" t="s">
        <v>1233</v>
      </c>
      <c r="K398" s="27" t="s">
        <v>1495</v>
      </c>
    </row>
    <row r="399" spans="1:11" x14ac:dyDescent="0.35">
      <c r="A399" s="10" t="s">
        <v>1282</v>
      </c>
      <c r="B399" s="255">
        <v>6</v>
      </c>
      <c r="C399" s="10" t="s">
        <v>631</v>
      </c>
      <c r="D399" s="10">
        <v>4</v>
      </c>
      <c r="E399" s="10">
        <v>46</v>
      </c>
      <c r="F399" s="10" t="s">
        <v>775</v>
      </c>
      <c r="G399" s="10" t="s">
        <v>696</v>
      </c>
      <c r="H399" s="10" t="str" cm="1">
        <f t="array" aca="1" ref="H399" ca="1">IF(INDEX(I399:Z399,$H$1)=0,"",INDEX(I399:Z399,$H$1))</f>
        <v>Emissions</v>
      </c>
      <c r="I399" s="10" t="s">
        <v>360</v>
      </c>
      <c r="J399" s="6" t="s">
        <v>807</v>
      </c>
      <c r="K399" s="27" t="s">
        <v>1460</v>
      </c>
    </row>
    <row r="400" spans="1:11" ht="16.5" x14ac:dyDescent="0.35">
      <c r="A400" s="10" t="s">
        <v>1282</v>
      </c>
      <c r="B400" s="255">
        <v>6</v>
      </c>
      <c r="C400" s="10" t="s">
        <v>631</v>
      </c>
      <c r="D400" s="10">
        <v>4</v>
      </c>
      <c r="E400" s="10">
        <v>47</v>
      </c>
      <c r="F400" s="10" t="s">
        <v>38</v>
      </c>
      <c r="G400" s="10" t="s">
        <v>696</v>
      </c>
      <c r="H400" s="10" t="str" cm="1">
        <f t="array" aca="1" ref="H400" ca="1">IF(INDEX(I400:Z400,$H$1)=0,"",INDEX(I400:Z400,$H$1))</f>
        <v>E+03 Nm3 per day</v>
      </c>
      <c r="I400" s="13" t="s">
        <v>3367</v>
      </c>
      <c r="J400" s="10" t="s">
        <v>2296</v>
      </c>
      <c r="K400" s="13" t="s">
        <v>2295</v>
      </c>
    </row>
    <row r="401" spans="1:11" x14ac:dyDescent="0.35">
      <c r="A401" s="10" t="s">
        <v>1282</v>
      </c>
      <c r="B401" s="255">
        <v>6</v>
      </c>
      <c r="C401" s="10" t="s">
        <v>631</v>
      </c>
      <c r="D401" s="10">
        <v>4</v>
      </c>
      <c r="E401" s="10">
        <v>47</v>
      </c>
      <c r="F401" s="10" t="s">
        <v>692</v>
      </c>
      <c r="G401" s="10" t="s">
        <v>696</v>
      </c>
      <c r="H401" s="10" t="str" cm="1">
        <f t="array" aca="1" ref="H401" ca="1">IF(INDEX(I401:Z401,$H$1)=0,"",INDEX(I401:Z401,$H$1))</f>
        <v>(mol%)</v>
      </c>
      <c r="I401" s="10" t="s">
        <v>626</v>
      </c>
      <c r="J401" s="10" t="s">
        <v>626</v>
      </c>
      <c r="K401" s="27" t="s">
        <v>1496</v>
      </c>
    </row>
    <row r="402" spans="1:11" x14ac:dyDescent="0.35">
      <c r="A402" s="10" t="s">
        <v>1282</v>
      </c>
      <c r="B402" s="255">
        <v>6</v>
      </c>
      <c r="C402" s="10" t="s">
        <v>631</v>
      </c>
      <c r="D402" s="10">
        <v>4</v>
      </c>
      <c r="E402" s="10">
        <v>47</v>
      </c>
      <c r="F402" s="10" t="s">
        <v>693</v>
      </c>
      <c r="G402" s="10" t="s">
        <v>696</v>
      </c>
      <c r="H402" s="10" t="str" cm="1">
        <f t="array" aca="1" ref="H402" ca="1">IF(INDEX(I402:Z402,$H$1)=0,"",INDEX(I402:Z402,$H$1))</f>
        <v>Density</v>
      </c>
      <c r="I402" s="10" t="s">
        <v>628</v>
      </c>
      <c r="J402" s="6" t="s">
        <v>810</v>
      </c>
      <c r="K402" s="27" t="s">
        <v>1497</v>
      </c>
    </row>
    <row r="403" spans="1:11" x14ac:dyDescent="0.35">
      <c r="A403" s="10" t="s">
        <v>1282</v>
      </c>
      <c r="B403" s="255">
        <v>6</v>
      </c>
      <c r="C403" s="10" t="s">
        <v>631</v>
      </c>
      <c r="D403" s="10">
        <v>4</v>
      </c>
      <c r="E403" s="10">
        <v>47</v>
      </c>
      <c r="F403" s="10" t="s">
        <v>694</v>
      </c>
      <c r="G403" s="10" t="s">
        <v>696</v>
      </c>
      <c r="H403" s="10" t="str" cm="1">
        <f t="array" aca="1" ref="H403" ca="1">IF(INDEX(I403:Z403,$H$1)=0,"",INDEX(I403:Z403,$H$1))</f>
        <v>(mol%)</v>
      </c>
      <c r="I403" s="10" t="s">
        <v>626</v>
      </c>
      <c r="J403" s="10" t="s">
        <v>626</v>
      </c>
      <c r="K403" s="27" t="s">
        <v>1496</v>
      </c>
    </row>
    <row r="404" spans="1:11" x14ac:dyDescent="0.35">
      <c r="A404" s="10" t="s">
        <v>1282</v>
      </c>
      <c r="B404" s="255">
        <v>6</v>
      </c>
      <c r="C404" s="10" t="s">
        <v>631</v>
      </c>
      <c r="D404" s="10">
        <v>4</v>
      </c>
      <c r="E404" s="10">
        <v>47</v>
      </c>
      <c r="F404" s="10" t="s">
        <v>711</v>
      </c>
      <c r="G404" s="10" t="s">
        <v>696</v>
      </c>
      <c r="H404" s="10" t="str" cm="1">
        <f t="array" aca="1" ref="H404" ca="1">IF(INDEX(I404:Z404,$H$1)=0,"",INDEX(I404:Z404,$H$1))</f>
        <v>Density</v>
      </c>
      <c r="I404" s="10" t="s">
        <v>628</v>
      </c>
      <c r="J404" s="6" t="s">
        <v>810</v>
      </c>
      <c r="K404" s="27" t="s">
        <v>1497</v>
      </c>
    </row>
    <row r="405" spans="1:11" x14ac:dyDescent="0.35">
      <c r="A405" s="10" t="s">
        <v>1282</v>
      </c>
      <c r="B405" s="255">
        <v>6</v>
      </c>
      <c r="C405" s="10" t="s">
        <v>631</v>
      </c>
      <c r="D405" s="10">
        <v>4</v>
      </c>
      <c r="E405" s="10">
        <v>47</v>
      </c>
      <c r="F405" s="10" t="s">
        <v>591</v>
      </c>
      <c r="G405" s="10" t="s">
        <v>696</v>
      </c>
      <c r="H405" s="10" t="str" cm="1">
        <f t="array" aca="1" ref="H405" ca="1">IF(INDEX(I405:Z405,$H$1)=0,"",INDEX(I405:Z405,$H$1))</f>
        <v>Carbon Content</v>
      </c>
      <c r="I405" s="10" t="s">
        <v>558</v>
      </c>
      <c r="J405" s="10" t="s">
        <v>781</v>
      </c>
      <c r="K405" s="27" t="s">
        <v>1458</v>
      </c>
    </row>
    <row r="406" spans="1:11" x14ac:dyDescent="0.35">
      <c r="A406" s="10" t="s">
        <v>1282</v>
      </c>
      <c r="B406" s="255">
        <v>6</v>
      </c>
      <c r="C406" s="10" t="s">
        <v>631</v>
      </c>
      <c r="D406" s="10">
        <v>4</v>
      </c>
      <c r="E406" s="10">
        <v>47</v>
      </c>
      <c r="F406" s="10" t="s">
        <v>712</v>
      </c>
      <c r="G406" s="10" t="s">
        <v>696</v>
      </c>
      <c r="H406" s="10" t="str" cm="1">
        <f t="array" aca="1" ref="H406" ca="1">IF(INDEX(I406:Z406,$H$1)=0,"",INDEX(I406:Z406,$H$1))</f>
        <v>(mol%)</v>
      </c>
      <c r="I406" s="10" t="s">
        <v>626</v>
      </c>
      <c r="J406" s="10" t="s">
        <v>626</v>
      </c>
      <c r="K406" s="27" t="s">
        <v>1496</v>
      </c>
    </row>
    <row r="407" spans="1:11" x14ac:dyDescent="0.35">
      <c r="A407" s="10" t="s">
        <v>1282</v>
      </c>
      <c r="B407" s="255">
        <v>6</v>
      </c>
      <c r="C407" s="10" t="s">
        <v>631</v>
      </c>
      <c r="D407" s="10">
        <v>4</v>
      </c>
      <c r="E407" s="10">
        <v>47</v>
      </c>
      <c r="F407" s="10" t="s">
        <v>713</v>
      </c>
      <c r="G407" s="10" t="s">
        <v>696</v>
      </c>
      <c r="H407" s="10" t="str" cm="1">
        <f t="array" aca="1" ref="H407" ca="1">IF(INDEX(I407:Z407,$H$1)=0,"",INDEX(I407:Z407,$H$1))</f>
        <v>Carbon Content</v>
      </c>
      <c r="I407" s="10" t="s">
        <v>558</v>
      </c>
      <c r="J407" s="10" t="s">
        <v>781</v>
      </c>
      <c r="K407" s="27" t="s">
        <v>1458</v>
      </c>
    </row>
    <row r="408" spans="1:11" x14ac:dyDescent="0.35">
      <c r="A408" s="10" t="s">
        <v>1282</v>
      </c>
      <c r="B408" s="255">
        <v>6</v>
      </c>
      <c r="C408" s="10" t="s">
        <v>631</v>
      </c>
      <c r="D408" s="10">
        <v>4</v>
      </c>
      <c r="E408" s="10">
        <v>47</v>
      </c>
      <c r="F408" s="10" t="s">
        <v>772</v>
      </c>
      <c r="G408" s="10" t="s">
        <v>696</v>
      </c>
      <c r="H408" s="10" t="str" cm="1">
        <f t="array" aca="1" ref="H408" ca="1">IF(INDEX(I408:Z408,$H$1)=0,"",INDEX(I408:Z408,$H$1))</f>
        <v>Molecular Weight</v>
      </c>
      <c r="I408" s="10" t="s">
        <v>58</v>
      </c>
      <c r="J408" s="6" t="s">
        <v>811</v>
      </c>
      <c r="K408" s="27" t="s">
        <v>1498</v>
      </c>
    </row>
    <row r="409" spans="1:11" x14ac:dyDescent="0.35">
      <c r="A409" s="10" t="s">
        <v>1282</v>
      </c>
      <c r="B409" s="255">
        <v>6</v>
      </c>
      <c r="C409" s="10" t="s">
        <v>631</v>
      </c>
      <c r="D409" s="10">
        <v>4</v>
      </c>
      <c r="E409" s="10">
        <v>47</v>
      </c>
      <c r="F409" s="10" t="s">
        <v>773</v>
      </c>
      <c r="G409" s="10" t="s">
        <v>696</v>
      </c>
      <c r="H409" s="10" t="str" cm="1">
        <f t="array" aca="1" ref="H409" ca="1">IF(INDEX(I409:Z409,$H$1)=0,"",INDEX(I409:Z409,$H$1))</f>
        <v>Source</v>
      </c>
      <c r="I409" s="10" t="s">
        <v>4</v>
      </c>
      <c r="J409" s="10" t="s">
        <v>785</v>
      </c>
      <c r="K409" s="27" t="s">
        <v>1462</v>
      </c>
    </row>
    <row r="410" spans="1:11" x14ac:dyDescent="0.35">
      <c r="A410" s="10" t="s">
        <v>1282</v>
      </c>
      <c r="B410" s="255">
        <v>6</v>
      </c>
      <c r="C410" s="10" t="s">
        <v>631</v>
      </c>
      <c r="D410" s="10">
        <v>4</v>
      </c>
      <c r="E410" s="10">
        <v>47</v>
      </c>
      <c r="F410" s="10" t="s">
        <v>771</v>
      </c>
      <c r="G410" s="10" t="s">
        <v>696</v>
      </c>
      <c r="H410" s="10" t="str" cm="1">
        <f t="array" aca="1" ref="H410" ca="1">IF(INDEX(I410:Z410,$H$1)=0,"",INDEX(I410:Z410,$H$1))</f>
        <v>Reference</v>
      </c>
      <c r="I410" s="10" t="s">
        <v>666</v>
      </c>
      <c r="J410" s="6" t="s">
        <v>809</v>
      </c>
      <c r="K410" s="27" t="s">
        <v>1463</v>
      </c>
    </row>
    <row r="411" spans="1:11" x14ac:dyDescent="0.35">
      <c r="A411" s="10" t="s">
        <v>1282</v>
      </c>
      <c r="B411" s="255">
        <v>6</v>
      </c>
      <c r="C411" s="10" t="s">
        <v>631</v>
      </c>
      <c r="D411" s="10">
        <v>4</v>
      </c>
      <c r="E411" s="10">
        <v>47</v>
      </c>
      <c r="F411" s="10" t="s">
        <v>593</v>
      </c>
      <c r="G411" s="10" t="s">
        <v>696</v>
      </c>
      <c r="H411" s="10" t="str" cm="1">
        <f t="array" aca="1" ref="H411" ca="1">IF(INDEX(I411:Z411,$H$1)=0,"",INDEX(I411:Z411,$H$1))</f>
        <v>(%)</v>
      </c>
      <c r="I411" s="10" t="s">
        <v>146</v>
      </c>
      <c r="J411" s="10" t="s">
        <v>146</v>
      </c>
      <c r="K411" s="27" t="s">
        <v>146</v>
      </c>
    </row>
    <row r="412" spans="1:11" x14ac:dyDescent="0.35">
      <c r="A412" s="10" t="s">
        <v>1282</v>
      </c>
      <c r="B412" s="255">
        <v>6</v>
      </c>
      <c r="C412" s="10" t="s">
        <v>631</v>
      </c>
      <c r="D412" s="10">
        <v>4</v>
      </c>
      <c r="E412" s="10">
        <v>47</v>
      </c>
      <c r="F412" s="10" t="s">
        <v>594</v>
      </c>
      <c r="G412" s="10" t="s">
        <v>696</v>
      </c>
      <c r="H412" s="10" t="str" cm="1">
        <f t="array" aca="1" ref="H412" ca="1">IF(INDEX(I412:Z412,$H$1)=0,"",INDEX(I412:Z412,$H$1))</f>
        <v>Reference</v>
      </c>
      <c r="I412" s="10" t="s">
        <v>666</v>
      </c>
      <c r="J412" s="6" t="s">
        <v>809</v>
      </c>
      <c r="K412" s="27" t="s">
        <v>1463</v>
      </c>
    </row>
    <row r="413" spans="1:11" x14ac:dyDescent="0.35">
      <c r="A413" s="10" t="s">
        <v>1282</v>
      </c>
      <c r="B413" s="255">
        <v>6</v>
      </c>
      <c r="C413" s="10" t="s">
        <v>631</v>
      </c>
      <c r="D413" s="10">
        <v>4</v>
      </c>
      <c r="E413" s="10">
        <v>48</v>
      </c>
      <c r="F413" s="10" t="s">
        <v>693</v>
      </c>
      <c r="G413" s="10" t="s">
        <v>696</v>
      </c>
      <c r="H413" s="10" t="str" cm="1">
        <f t="array" aca="1" ref="H413" ca="1">IF(INDEX(I413:Z413,$H$1)=0,"",INDEX(I413:Z413,$H$1))</f>
        <v>(kg/Nm3)</v>
      </c>
      <c r="I413" s="10" t="s">
        <v>776</v>
      </c>
      <c r="J413" s="10" t="s">
        <v>776</v>
      </c>
      <c r="K413" s="10" t="s">
        <v>776</v>
      </c>
    </row>
    <row r="414" spans="1:11" x14ac:dyDescent="0.35">
      <c r="A414" s="10" t="s">
        <v>1282</v>
      </c>
      <c r="B414" s="255">
        <v>6</v>
      </c>
      <c r="C414" s="10" t="s">
        <v>631</v>
      </c>
      <c r="D414" s="10">
        <v>4</v>
      </c>
      <c r="E414" s="10">
        <v>48</v>
      </c>
      <c r="F414" s="10" t="s">
        <v>711</v>
      </c>
      <c r="G414" s="10" t="s">
        <v>696</v>
      </c>
      <c r="H414" s="10" t="str" cm="1">
        <f t="array" aca="1" ref="H414" ca="1">IF(INDEX(I414:Z414,$H$1)=0,"",INDEX(I414:Z414,$H$1))</f>
        <v>(kg/Nm3)</v>
      </c>
      <c r="I414" s="10" t="s">
        <v>776</v>
      </c>
      <c r="J414" s="10" t="s">
        <v>776</v>
      </c>
      <c r="K414" s="10" t="s">
        <v>776</v>
      </c>
    </row>
    <row r="415" spans="1:11" x14ac:dyDescent="0.35">
      <c r="A415" s="10" t="s">
        <v>1282</v>
      </c>
      <c r="B415" s="255">
        <v>6</v>
      </c>
      <c r="C415" s="10" t="s">
        <v>631</v>
      </c>
      <c r="D415" s="10">
        <v>4</v>
      </c>
      <c r="E415" s="10">
        <v>48</v>
      </c>
      <c r="F415" s="10" t="s">
        <v>591</v>
      </c>
      <c r="G415" s="10" t="s">
        <v>696</v>
      </c>
      <c r="H415" s="10" t="str" cm="1">
        <f t="array" aca="1" ref="H415" ca="1">IF(INDEX(I415:Z415,$H$1)=0,"",INDEX(I415:Z415,$H$1))</f>
        <v>(tonnes/E+03 Nm3)</v>
      </c>
      <c r="I415" s="10" t="s">
        <v>3369</v>
      </c>
      <c r="J415" s="10" t="s">
        <v>2307</v>
      </c>
      <c r="K415" s="27" t="s">
        <v>2308</v>
      </c>
    </row>
    <row r="416" spans="1:11" x14ac:dyDescent="0.35">
      <c r="A416" s="10" t="s">
        <v>1282</v>
      </c>
      <c r="B416" s="255">
        <v>6</v>
      </c>
      <c r="C416" s="10" t="s">
        <v>631</v>
      </c>
      <c r="D416" s="10">
        <v>4</v>
      </c>
      <c r="E416" s="10">
        <v>48</v>
      </c>
      <c r="F416" s="10" t="s">
        <v>713</v>
      </c>
      <c r="G416" s="10" t="s">
        <v>696</v>
      </c>
      <c r="H416" s="10" t="str" cm="1">
        <f t="array" aca="1" ref="H416" ca="1">IF(INDEX(I416:Z416,$H$1)=0,"",INDEX(I416:Z416,$H$1))</f>
        <v>(tonnes/E+03 Nm3)</v>
      </c>
      <c r="I416" s="10" t="s">
        <v>3369</v>
      </c>
      <c r="J416" s="10" t="s">
        <v>2307</v>
      </c>
      <c r="K416" s="27" t="s">
        <v>2308</v>
      </c>
    </row>
    <row r="417" spans="1:11" x14ac:dyDescent="0.35">
      <c r="A417" s="10" t="s">
        <v>1282</v>
      </c>
      <c r="B417" s="255">
        <v>6</v>
      </c>
      <c r="C417" s="10" t="s">
        <v>631</v>
      </c>
      <c r="D417" s="10">
        <v>4</v>
      </c>
      <c r="E417" s="10">
        <v>48</v>
      </c>
      <c r="F417" s="10" t="s">
        <v>772</v>
      </c>
      <c r="G417" s="10" t="s">
        <v>696</v>
      </c>
      <c r="H417" s="10" t="str" cm="1">
        <f t="array" aca="1" ref="H417" ca="1">IF(INDEX(I417:Z417,$H$1)=0,"",INDEX(I417:Z417,$H$1))</f>
        <v>(kg/kmol)</v>
      </c>
      <c r="I417" s="10" t="s">
        <v>668</v>
      </c>
      <c r="J417" s="10" t="s">
        <v>1057</v>
      </c>
      <c r="K417" s="27" t="s">
        <v>668</v>
      </c>
    </row>
    <row r="418" spans="1:11" x14ac:dyDescent="0.35">
      <c r="A418" s="10" t="s">
        <v>1282</v>
      </c>
      <c r="B418" s="255">
        <v>6</v>
      </c>
      <c r="C418" s="10" t="s">
        <v>631</v>
      </c>
      <c r="D418" s="10">
        <v>4</v>
      </c>
      <c r="E418" s="10">
        <v>48</v>
      </c>
      <c r="F418" s="10" t="s">
        <v>775</v>
      </c>
      <c r="G418" s="10" t="s">
        <v>696</v>
      </c>
      <c r="H418" s="10" t="str" cm="1">
        <f t="array" aca="1" ref="H418" ca="1">IF(INDEX(I418:Z418,$H$1)=0,"",INDEX(I418:Z418,$H$1))</f>
        <v>(tonnes/y)</v>
      </c>
      <c r="I418" s="10" t="s">
        <v>2303</v>
      </c>
      <c r="J418" s="10" t="s">
        <v>786</v>
      </c>
      <c r="K418" s="27" t="s">
        <v>2304</v>
      </c>
    </row>
    <row r="419" spans="1:11" x14ac:dyDescent="0.35">
      <c r="A419" s="10" t="s">
        <v>1282</v>
      </c>
      <c r="B419" s="255">
        <v>6</v>
      </c>
      <c r="C419" s="10" t="s">
        <v>631</v>
      </c>
      <c r="D419" s="10">
        <v>4</v>
      </c>
      <c r="E419" s="10">
        <v>48</v>
      </c>
      <c r="F419" s="10" t="s">
        <v>777</v>
      </c>
      <c r="G419" s="10" t="s">
        <v>696</v>
      </c>
      <c r="H419" s="10" t="str" cm="1">
        <f t="array" aca="1" ref="H419" ca="1">IF(INDEX(I419:Z419,$H$1)=0,"",INDEX(I419:Z419,$H$1))</f>
        <v>(tonnes/y)</v>
      </c>
      <c r="I419" s="10" t="s">
        <v>2303</v>
      </c>
      <c r="J419" s="10" t="s">
        <v>786</v>
      </c>
      <c r="K419" s="27" t="s">
        <v>2304</v>
      </c>
    </row>
    <row r="420" spans="1:11" x14ac:dyDescent="0.35">
      <c r="A420" s="10" t="s">
        <v>1282</v>
      </c>
      <c r="B420" s="255">
        <v>6</v>
      </c>
      <c r="C420" s="10" t="s">
        <v>631</v>
      </c>
      <c r="D420" s="10">
        <v>4</v>
      </c>
      <c r="E420" s="10">
        <v>48</v>
      </c>
      <c r="F420" s="10" t="s">
        <v>718</v>
      </c>
      <c r="G420" s="10" t="s">
        <v>696</v>
      </c>
      <c r="H420" s="10" t="str" cm="1">
        <f t="array" aca="1" ref="H420" ca="1">IF(INDEX(I420:Z420,$H$1)=0,"",INDEX(I420:Z420,$H$1))</f>
        <v>(tonnes/y)</v>
      </c>
      <c r="I420" s="10" t="s">
        <v>2303</v>
      </c>
      <c r="J420" s="10" t="s">
        <v>786</v>
      </c>
      <c r="K420" s="27" t="s">
        <v>2304</v>
      </c>
    </row>
    <row r="421" spans="1:11" x14ac:dyDescent="0.35">
      <c r="A421" s="10" t="s">
        <v>1282</v>
      </c>
      <c r="B421" s="255">
        <v>6</v>
      </c>
      <c r="C421" s="10" t="s">
        <v>631</v>
      </c>
      <c r="D421" s="10">
        <v>4</v>
      </c>
      <c r="E421" s="10">
        <v>49</v>
      </c>
      <c r="F421" s="10" t="s">
        <v>690</v>
      </c>
      <c r="G421" s="10" t="s">
        <v>695</v>
      </c>
      <c r="H421" s="10" t="str" cm="1">
        <f t="array" aca="1" ref="H421" ca="1">IF(INDEX(I421:Z421,$H$1)=0,"",INDEX(I421:Z421,$H$1))</f>
        <v>Vented</v>
      </c>
      <c r="I421" s="10" t="s">
        <v>624</v>
      </c>
      <c r="J421" s="10" t="s">
        <v>1278</v>
      </c>
      <c r="K421" s="27" t="s">
        <v>1499</v>
      </c>
    </row>
    <row r="422" spans="1:11" x14ac:dyDescent="0.35">
      <c r="A422" s="10" t="s">
        <v>1282</v>
      </c>
      <c r="B422" s="255">
        <v>6</v>
      </c>
      <c r="C422" s="10" t="s">
        <v>631</v>
      </c>
      <c r="D422" s="10">
        <v>4</v>
      </c>
      <c r="E422" s="10">
        <v>50</v>
      </c>
      <c r="F422" s="10" t="s">
        <v>690</v>
      </c>
      <c r="G422" s="10" t="s">
        <v>695</v>
      </c>
      <c r="H422" s="10" t="str" cm="1">
        <f t="array" aca="1" ref="H422" ca="1">IF(INDEX(I422:Z422,$H$1)=0,"",INDEX(I422:Z422,$H$1))</f>
        <v>Flared</v>
      </c>
      <c r="I422" s="10" t="s">
        <v>625</v>
      </c>
      <c r="J422" s="10" t="s">
        <v>1234</v>
      </c>
      <c r="K422" s="27" t="s">
        <v>1500</v>
      </c>
    </row>
    <row r="423" spans="1:11" x14ac:dyDescent="0.35">
      <c r="A423" s="10" t="s">
        <v>1282</v>
      </c>
      <c r="B423" s="255">
        <v>6</v>
      </c>
      <c r="C423" s="10" t="s">
        <v>631</v>
      </c>
      <c r="D423" s="10">
        <v>4</v>
      </c>
      <c r="E423" s="10">
        <v>51</v>
      </c>
      <c r="F423" s="10" t="s">
        <v>594</v>
      </c>
      <c r="G423" s="10" t="s">
        <v>695</v>
      </c>
      <c r="H423" s="10" t="str" cm="1">
        <f t="array" aca="1" ref="H423" ca="1">IF(INDEX(I423:Z423,$H$1)=0,"",INDEX(I423:Z423,$H$1))</f>
        <v>Total:</v>
      </c>
      <c r="I423" s="10" t="s">
        <v>376</v>
      </c>
      <c r="J423" s="10" t="s">
        <v>804</v>
      </c>
      <c r="K423" s="27" t="s">
        <v>376</v>
      </c>
    </row>
    <row r="424" spans="1:11" x14ac:dyDescent="0.35">
      <c r="A424" s="10" t="s">
        <v>1282</v>
      </c>
      <c r="B424" s="255">
        <v>6</v>
      </c>
      <c r="C424" s="10" t="s">
        <v>630</v>
      </c>
      <c r="D424" s="10">
        <v>5</v>
      </c>
      <c r="E424" s="10">
        <v>52</v>
      </c>
      <c r="F424" s="10" t="s">
        <v>690</v>
      </c>
      <c r="G424" s="10" t="s">
        <v>688</v>
      </c>
      <c r="H424" s="10" t="str" cm="1">
        <f t="array" aca="1" ref="H424" ca="1">IF(INDEX(I424:Z424,$H$1)=0,"",INDEX(I424:Z424,$H$1))</f>
        <v>Acid Gas Venting &amp; Flaring</v>
      </c>
      <c r="I424" s="10" t="s">
        <v>630</v>
      </c>
      <c r="J424" s="10" t="s">
        <v>1202</v>
      </c>
      <c r="K424" s="27" t="s">
        <v>1501</v>
      </c>
    </row>
    <row r="425" spans="1:11" x14ac:dyDescent="0.35">
      <c r="A425" s="10" t="s">
        <v>1282</v>
      </c>
      <c r="B425" s="255">
        <v>6</v>
      </c>
      <c r="C425" s="10" t="s">
        <v>630</v>
      </c>
      <c r="D425" s="10">
        <v>5</v>
      </c>
      <c r="E425" s="10">
        <v>54</v>
      </c>
      <c r="F425" s="10" t="s">
        <v>690</v>
      </c>
      <c r="G425" s="10" t="s">
        <v>696</v>
      </c>
      <c r="H425" s="10" t="str" cm="1">
        <f t="array" aca="1" ref="H425" ca="1">IF(INDEX(I425:Z425,$H$1)=0,"",INDEX(I425:Z425,$H$1))</f>
        <v>Type</v>
      </c>
      <c r="I425" s="10" t="s">
        <v>2</v>
      </c>
      <c r="J425" s="10" t="s">
        <v>724</v>
      </c>
      <c r="K425" s="27" t="s">
        <v>1415</v>
      </c>
    </row>
    <row r="426" spans="1:11" x14ac:dyDescent="0.35">
      <c r="A426" s="10" t="s">
        <v>1282</v>
      </c>
      <c r="B426" s="255">
        <v>6</v>
      </c>
      <c r="C426" s="10" t="s">
        <v>630</v>
      </c>
      <c r="D426" s="10">
        <v>5</v>
      </c>
      <c r="E426" s="10">
        <v>54</v>
      </c>
      <c r="F426" s="10" t="s">
        <v>38</v>
      </c>
      <c r="G426" s="10" t="s">
        <v>696</v>
      </c>
      <c r="H426" s="10" t="str" cm="1">
        <f t="array" aca="1" ref="H426" ca="1">IF(INDEX(I426:Z426,$H$1)=0,"",INDEX(I426:Z426,$H$1))</f>
        <v>Quantity</v>
      </c>
      <c r="I426" s="10" t="s">
        <v>253</v>
      </c>
      <c r="J426" s="6" t="s">
        <v>742</v>
      </c>
      <c r="K426" s="27" t="s">
        <v>1436</v>
      </c>
    </row>
    <row r="427" spans="1:11" x14ac:dyDescent="0.35">
      <c r="A427" s="10" t="s">
        <v>1282</v>
      </c>
      <c r="B427" s="255">
        <v>6</v>
      </c>
      <c r="C427" s="10" t="s">
        <v>630</v>
      </c>
      <c r="D427" s="10">
        <v>5</v>
      </c>
      <c r="E427" s="10">
        <v>54</v>
      </c>
      <c r="F427" s="10" t="s">
        <v>692</v>
      </c>
      <c r="G427" s="10" t="s">
        <v>696</v>
      </c>
      <c r="H427" s="10" t="str" cm="1">
        <f t="array" aca="1" ref="H427" ca="1">IF(INDEX(I427:Z427,$H$1)=0,"",INDEX(I427:Z427,$H$1))</f>
        <v>CO2 Content</v>
      </c>
      <c r="I427" s="10" t="s">
        <v>774</v>
      </c>
      <c r="J427" s="10" t="s">
        <v>806</v>
      </c>
      <c r="K427" s="27" t="s">
        <v>1492</v>
      </c>
    </row>
    <row r="428" spans="1:11" x14ac:dyDescent="0.35">
      <c r="A428" s="10" t="s">
        <v>1282</v>
      </c>
      <c r="B428" s="255">
        <v>6</v>
      </c>
      <c r="C428" s="10" t="s">
        <v>630</v>
      </c>
      <c r="D428" s="10">
        <v>5</v>
      </c>
      <c r="E428" s="10">
        <v>54</v>
      </c>
      <c r="F428" s="10" t="s">
        <v>694</v>
      </c>
      <c r="G428" s="10" t="s">
        <v>696</v>
      </c>
      <c r="H428" s="10" t="str" cm="1">
        <f t="array" aca="1" ref="H428" ca="1">IF(INDEX(I428:Z428,$H$1)=0,"",INDEX(I428:Z428,$H$1))</f>
        <v>CH4 Content</v>
      </c>
      <c r="I428" s="10" t="s">
        <v>45</v>
      </c>
      <c r="J428" s="10" t="s">
        <v>805</v>
      </c>
      <c r="K428" s="27" t="s">
        <v>1502</v>
      </c>
    </row>
    <row r="429" spans="1:11" x14ac:dyDescent="0.35">
      <c r="A429" s="10" t="s">
        <v>1282</v>
      </c>
      <c r="B429" s="255">
        <v>6</v>
      </c>
      <c r="C429" s="10" t="s">
        <v>630</v>
      </c>
      <c r="D429" s="10">
        <v>5</v>
      </c>
      <c r="E429" s="10">
        <v>54</v>
      </c>
      <c r="F429" s="10" t="s">
        <v>712</v>
      </c>
      <c r="G429" s="10" t="s">
        <v>696</v>
      </c>
      <c r="H429" s="10" t="str" cm="1">
        <f t="array" aca="1" ref="H429" ca="1">IF(INDEX(I429:Z429,$H$1)=0,"",INDEX(I429:Z429,$H$1))</f>
        <v>Other Hydrocarbon Content</v>
      </c>
      <c r="I429" s="10" t="s">
        <v>632</v>
      </c>
      <c r="J429" s="10" t="s">
        <v>1271</v>
      </c>
      <c r="K429" s="27" t="s">
        <v>1494</v>
      </c>
    </row>
    <row r="430" spans="1:11" x14ac:dyDescent="0.35">
      <c r="A430" s="10" t="s">
        <v>1282</v>
      </c>
      <c r="B430" s="255">
        <v>6</v>
      </c>
      <c r="C430" s="10" t="s">
        <v>630</v>
      </c>
      <c r="D430" s="10">
        <v>5</v>
      </c>
      <c r="E430" s="10">
        <v>54</v>
      </c>
      <c r="F430" s="10" t="s">
        <v>593</v>
      </c>
      <c r="G430" s="10" t="s">
        <v>696</v>
      </c>
      <c r="H430" s="10" t="str" cm="1">
        <f t="array" aca="1" ref="H430" ca="1">IF(INDEX(I430:Z430,$H$1)=0,"",INDEX(I430:Z430,$H$1))</f>
        <v>Flare Efficiency</v>
      </c>
      <c r="I430" s="10" t="s">
        <v>627</v>
      </c>
      <c r="J430" s="10" t="s">
        <v>1233</v>
      </c>
      <c r="K430" s="27" t="s">
        <v>1495</v>
      </c>
    </row>
    <row r="431" spans="1:11" x14ac:dyDescent="0.35">
      <c r="A431" s="10" t="s">
        <v>1282</v>
      </c>
      <c r="B431" s="255">
        <v>6</v>
      </c>
      <c r="C431" s="10" t="s">
        <v>630</v>
      </c>
      <c r="D431" s="10">
        <v>5</v>
      </c>
      <c r="E431" s="10">
        <v>54</v>
      </c>
      <c r="F431" s="10" t="s">
        <v>775</v>
      </c>
      <c r="G431" s="10" t="s">
        <v>696</v>
      </c>
      <c r="H431" s="10" t="str" cm="1">
        <f t="array" aca="1" ref="H431" ca="1">IF(INDEX(I431:Z431,$H$1)=0,"",INDEX(I431:Z431,$H$1))</f>
        <v>Emissions</v>
      </c>
      <c r="I431" s="10" t="s">
        <v>360</v>
      </c>
      <c r="J431" s="6" t="s">
        <v>807</v>
      </c>
      <c r="K431" s="27" t="s">
        <v>1460</v>
      </c>
    </row>
    <row r="432" spans="1:11" ht="16.5" x14ac:dyDescent="0.35">
      <c r="A432" s="10" t="s">
        <v>1282</v>
      </c>
      <c r="B432" s="255">
        <v>6</v>
      </c>
      <c r="C432" s="10" t="s">
        <v>630</v>
      </c>
      <c r="D432" s="10">
        <v>5</v>
      </c>
      <c r="E432" s="10">
        <v>55</v>
      </c>
      <c r="F432" s="10" t="s">
        <v>38</v>
      </c>
      <c r="G432" s="10" t="s">
        <v>696</v>
      </c>
      <c r="H432" s="10" t="str" cm="1">
        <f t="array" aca="1" ref="H432" ca="1">IF(INDEX(I432:Z432,$H$1)=0,"",INDEX(I432:Z432,$H$1))</f>
        <v>E+03 Nm3 per day</v>
      </c>
      <c r="I432" s="13" t="s">
        <v>3367</v>
      </c>
      <c r="J432" s="10" t="s">
        <v>2296</v>
      </c>
      <c r="K432" s="13" t="s">
        <v>2295</v>
      </c>
    </row>
    <row r="433" spans="1:11" x14ac:dyDescent="0.35">
      <c r="A433" s="10" t="s">
        <v>1282</v>
      </c>
      <c r="B433" s="255">
        <v>6</v>
      </c>
      <c r="C433" s="10" t="s">
        <v>630</v>
      </c>
      <c r="D433" s="10">
        <v>5</v>
      </c>
      <c r="E433" s="10">
        <v>55</v>
      </c>
      <c r="F433" s="10" t="s">
        <v>692</v>
      </c>
      <c r="G433" s="10" t="s">
        <v>696</v>
      </c>
      <c r="H433" s="10" t="str" cm="1">
        <f t="array" aca="1" ref="H433" ca="1">IF(INDEX(I433:Z433,$H$1)=0,"",INDEX(I433:Z433,$H$1))</f>
        <v>(mol%)</v>
      </c>
      <c r="I433" s="10" t="s">
        <v>626</v>
      </c>
      <c r="J433" s="10" t="s">
        <v>626</v>
      </c>
      <c r="K433" s="27" t="s">
        <v>1496</v>
      </c>
    </row>
    <row r="434" spans="1:11" x14ac:dyDescent="0.35">
      <c r="A434" s="10" t="s">
        <v>1282</v>
      </c>
      <c r="B434" s="255">
        <v>6</v>
      </c>
      <c r="C434" s="10" t="s">
        <v>630</v>
      </c>
      <c r="D434" s="10">
        <v>5</v>
      </c>
      <c r="E434" s="10">
        <v>55</v>
      </c>
      <c r="F434" s="10" t="s">
        <v>693</v>
      </c>
      <c r="G434" s="10" t="s">
        <v>696</v>
      </c>
      <c r="H434" s="10" t="str" cm="1">
        <f t="array" aca="1" ref="H434" ca="1">IF(INDEX(I434:Z434,$H$1)=0,"",INDEX(I434:Z434,$H$1))</f>
        <v>Density</v>
      </c>
      <c r="I434" s="10" t="s">
        <v>628</v>
      </c>
      <c r="J434" s="6" t="s">
        <v>810</v>
      </c>
      <c r="K434" s="27" t="s">
        <v>1497</v>
      </c>
    </row>
    <row r="435" spans="1:11" x14ac:dyDescent="0.35">
      <c r="A435" s="10" t="s">
        <v>1282</v>
      </c>
      <c r="B435" s="255">
        <v>6</v>
      </c>
      <c r="C435" s="10" t="s">
        <v>630</v>
      </c>
      <c r="D435" s="10">
        <v>5</v>
      </c>
      <c r="E435" s="10">
        <v>55</v>
      </c>
      <c r="F435" s="10" t="s">
        <v>694</v>
      </c>
      <c r="G435" s="10" t="s">
        <v>696</v>
      </c>
      <c r="H435" s="10" t="str" cm="1">
        <f t="array" aca="1" ref="H435" ca="1">IF(INDEX(I435:Z435,$H$1)=0,"",INDEX(I435:Z435,$H$1))</f>
        <v>(mol%)</v>
      </c>
      <c r="I435" s="10" t="s">
        <v>626</v>
      </c>
      <c r="J435" s="10" t="s">
        <v>626</v>
      </c>
      <c r="K435" s="27" t="s">
        <v>1496</v>
      </c>
    </row>
    <row r="436" spans="1:11" x14ac:dyDescent="0.35">
      <c r="A436" s="10" t="s">
        <v>1282</v>
      </c>
      <c r="B436" s="255">
        <v>6</v>
      </c>
      <c r="C436" s="10" t="s">
        <v>630</v>
      </c>
      <c r="D436" s="10">
        <v>5</v>
      </c>
      <c r="E436" s="10">
        <v>55</v>
      </c>
      <c r="F436" s="10" t="s">
        <v>711</v>
      </c>
      <c r="G436" s="10" t="s">
        <v>696</v>
      </c>
      <c r="H436" s="10" t="str" cm="1">
        <f t="array" aca="1" ref="H436" ca="1">IF(INDEX(I436:Z436,$H$1)=0,"",INDEX(I436:Z436,$H$1))</f>
        <v>Density</v>
      </c>
      <c r="I436" s="10" t="s">
        <v>628</v>
      </c>
      <c r="J436" s="6" t="s">
        <v>810</v>
      </c>
      <c r="K436" s="27" t="s">
        <v>1497</v>
      </c>
    </row>
    <row r="437" spans="1:11" x14ac:dyDescent="0.35">
      <c r="A437" s="10" t="s">
        <v>1282</v>
      </c>
      <c r="B437" s="255">
        <v>6</v>
      </c>
      <c r="C437" s="10" t="s">
        <v>630</v>
      </c>
      <c r="D437" s="10">
        <v>5</v>
      </c>
      <c r="E437" s="10">
        <v>55</v>
      </c>
      <c r="F437" s="10" t="s">
        <v>591</v>
      </c>
      <c r="G437" s="10" t="s">
        <v>696</v>
      </c>
      <c r="H437" s="10" t="str" cm="1">
        <f t="array" aca="1" ref="H437" ca="1">IF(INDEX(I437:Z437,$H$1)=0,"",INDEX(I437:Z437,$H$1))</f>
        <v>Carbon Content</v>
      </c>
      <c r="I437" s="10" t="s">
        <v>558</v>
      </c>
      <c r="J437" s="10" t="s">
        <v>781</v>
      </c>
      <c r="K437" s="27" t="s">
        <v>1458</v>
      </c>
    </row>
    <row r="438" spans="1:11" x14ac:dyDescent="0.35">
      <c r="A438" s="10" t="s">
        <v>1282</v>
      </c>
      <c r="B438" s="255">
        <v>6</v>
      </c>
      <c r="C438" s="10" t="s">
        <v>630</v>
      </c>
      <c r="D438" s="10">
        <v>5</v>
      </c>
      <c r="E438" s="10">
        <v>55</v>
      </c>
      <c r="F438" s="10" t="s">
        <v>712</v>
      </c>
      <c r="G438" s="10" t="s">
        <v>696</v>
      </c>
      <c r="H438" s="10" t="str" cm="1">
        <f t="array" aca="1" ref="H438" ca="1">IF(INDEX(I438:Z438,$H$1)=0,"",INDEX(I438:Z438,$H$1))</f>
        <v>(mol%)</v>
      </c>
      <c r="I438" s="10" t="s">
        <v>626</v>
      </c>
      <c r="J438" s="10" t="s">
        <v>626</v>
      </c>
      <c r="K438" s="27" t="s">
        <v>1496</v>
      </c>
    </row>
    <row r="439" spans="1:11" x14ac:dyDescent="0.35">
      <c r="A439" s="10" t="s">
        <v>1282</v>
      </c>
      <c r="B439" s="255">
        <v>6</v>
      </c>
      <c r="C439" s="10" t="s">
        <v>630</v>
      </c>
      <c r="D439" s="10">
        <v>5</v>
      </c>
      <c r="E439" s="10">
        <v>55</v>
      </c>
      <c r="F439" s="10" t="s">
        <v>713</v>
      </c>
      <c r="G439" s="10" t="s">
        <v>696</v>
      </c>
      <c r="H439" s="10" t="str" cm="1">
        <f t="array" aca="1" ref="H439" ca="1">IF(INDEX(I439:Z439,$H$1)=0,"",INDEX(I439:Z439,$H$1))</f>
        <v>Carbon Content</v>
      </c>
      <c r="I439" s="10" t="s">
        <v>558</v>
      </c>
      <c r="J439" s="10" t="s">
        <v>781</v>
      </c>
      <c r="K439" s="27" t="s">
        <v>1458</v>
      </c>
    </row>
    <row r="440" spans="1:11" x14ac:dyDescent="0.35">
      <c r="A440" s="10" t="s">
        <v>1282</v>
      </c>
      <c r="B440" s="255">
        <v>6</v>
      </c>
      <c r="C440" s="10" t="s">
        <v>630</v>
      </c>
      <c r="D440" s="10">
        <v>5</v>
      </c>
      <c r="E440" s="10">
        <v>55</v>
      </c>
      <c r="F440" s="10" t="s">
        <v>772</v>
      </c>
      <c r="G440" s="10" t="s">
        <v>696</v>
      </c>
      <c r="H440" s="10" t="str" cm="1">
        <f t="array" aca="1" ref="H440" ca="1">IF(INDEX(I440:Z440,$H$1)=0,"",INDEX(I440:Z440,$H$1))</f>
        <v>Molecular Weight</v>
      </c>
      <c r="I440" s="10" t="s">
        <v>58</v>
      </c>
      <c r="J440" s="6" t="s">
        <v>811</v>
      </c>
      <c r="K440" s="27" t="s">
        <v>1498</v>
      </c>
    </row>
    <row r="441" spans="1:11" x14ac:dyDescent="0.35">
      <c r="A441" s="10" t="s">
        <v>1282</v>
      </c>
      <c r="B441" s="255">
        <v>6</v>
      </c>
      <c r="C441" s="10" t="s">
        <v>630</v>
      </c>
      <c r="D441" s="10">
        <v>5</v>
      </c>
      <c r="E441" s="10">
        <v>55</v>
      </c>
      <c r="F441" s="10" t="s">
        <v>773</v>
      </c>
      <c r="G441" s="10" t="s">
        <v>696</v>
      </c>
      <c r="H441" s="10" t="str" cm="1">
        <f t="array" aca="1" ref="H441" ca="1">IF(INDEX(I441:Z441,$H$1)=0,"",INDEX(I441:Z441,$H$1))</f>
        <v>Source</v>
      </c>
      <c r="I441" s="10" t="s">
        <v>4</v>
      </c>
      <c r="J441" s="10" t="s">
        <v>785</v>
      </c>
      <c r="K441" s="27" t="s">
        <v>1462</v>
      </c>
    </row>
    <row r="442" spans="1:11" x14ac:dyDescent="0.35">
      <c r="A442" s="10" t="s">
        <v>1282</v>
      </c>
      <c r="B442" s="255">
        <v>6</v>
      </c>
      <c r="C442" s="10" t="s">
        <v>630</v>
      </c>
      <c r="D442" s="10">
        <v>5</v>
      </c>
      <c r="E442" s="10">
        <v>55</v>
      </c>
      <c r="F442" s="10" t="s">
        <v>771</v>
      </c>
      <c r="G442" s="10" t="s">
        <v>696</v>
      </c>
      <c r="H442" s="10" t="str" cm="1">
        <f t="array" aca="1" ref="H442" ca="1">IF(INDEX(I442:Z442,$H$1)=0,"",INDEX(I442:Z442,$H$1))</f>
        <v>Reference</v>
      </c>
      <c r="I442" s="10" t="s">
        <v>666</v>
      </c>
      <c r="J442" s="6" t="s">
        <v>809</v>
      </c>
      <c r="K442" s="27" t="s">
        <v>1463</v>
      </c>
    </row>
    <row r="443" spans="1:11" x14ac:dyDescent="0.35">
      <c r="A443" s="10" t="s">
        <v>1282</v>
      </c>
      <c r="B443" s="255">
        <v>6</v>
      </c>
      <c r="C443" s="10" t="s">
        <v>630</v>
      </c>
      <c r="D443" s="10">
        <v>5</v>
      </c>
      <c r="E443" s="10">
        <v>55</v>
      </c>
      <c r="F443" s="10" t="s">
        <v>593</v>
      </c>
      <c r="G443" s="10" t="s">
        <v>696</v>
      </c>
      <c r="H443" s="10" t="str" cm="1">
        <f t="array" aca="1" ref="H443" ca="1">IF(INDEX(I443:Z443,$H$1)=0,"",INDEX(I443:Z443,$H$1))</f>
        <v>(%)</v>
      </c>
      <c r="I443" s="10" t="s">
        <v>146</v>
      </c>
      <c r="J443" s="10" t="s">
        <v>146</v>
      </c>
      <c r="K443" s="27" t="s">
        <v>146</v>
      </c>
    </row>
    <row r="444" spans="1:11" x14ac:dyDescent="0.35">
      <c r="A444" s="10" t="s">
        <v>1282</v>
      </c>
      <c r="B444" s="255">
        <v>6</v>
      </c>
      <c r="C444" s="10" t="s">
        <v>630</v>
      </c>
      <c r="D444" s="10">
        <v>5</v>
      </c>
      <c r="E444" s="10">
        <v>55</v>
      </c>
      <c r="F444" s="10" t="s">
        <v>594</v>
      </c>
      <c r="G444" s="10" t="s">
        <v>696</v>
      </c>
      <c r="H444" s="10" t="str" cm="1">
        <f t="array" aca="1" ref="H444" ca="1">IF(INDEX(I444:Z444,$H$1)=0,"",INDEX(I444:Z444,$H$1))</f>
        <v>Reference</v>
      </c>
      <c r="I444" s="10" t="s">
        <v>666</v>
      </c>
      <c r="J444" s="6" t="s">
        <v>809</v>
      </c>
      <c r="K444" s="27" t="s">
        <v>1463</v>
      </c>
    </row>
    <row r="445" spans="1:11" x14ac:dyDescent="0.35">
      <c r="A445" s="10" t="s">
        <v>1282</v>
      </c>
      <c r="B445" s="255">
        <v>6</v>
      </c>
      <c r="C445" s="10" t="s">
        <v>630</v>
      </c>
      <c r="D445" s="10">
        <v>5</v>
      </c>
      <c r="E445" s="10">
        <v>56</v>
      </c>
      <c r="F445" s="10" t="s">
        <v>693</v>
      </c>
      <c r="G445" s="10" t="s">
        <v>696</v>
      </c>
      <c r="H445" s="10" t="str" cm="1">
        <f t="array" aca="1" ref="H445" ca="1">IF(INDEX(I445:Z445,$H$1)=0,"",INDEX(I445:Z445,$H$1))</f>
        <v>(kg/Nm3)</v>
      </c>
      <c r="I445" s="10" t="s">
        <v>776</v>
      </c>
      <c r="J445" s="10" t="s">
        <v>776</v>
      </c>
      <c r="K445" s="27" t="s">
        <v>776</v>
      </c>
    </row>
    <row r="446" spans="1:11" x14ac:dyDescent="0.35">
      <c r="A446" s="10" t="s">
        <v>1282</v>
      </c>
      <c r="B446" s="255">
        <v>6</v>
      </c>
      <c r="C446" s="10" t="s">
        <v>630</v>
      </c>
      <c r="D446" s="10">
        <v>5</v>
      </c>
      <c r="E446" s="10">
        <v>56</v>
      </c>
      <c r="F446" s="10" t="s">
        <v>711</v>
      </c>
      <c r="G446" s="10" t="s">
        <v>696</v>
      </c>
      <c r="H446" s="10" t="str" cm="1">
        <f t="array" aca="1" ref="H446" ca="1">IF(INDEX(I446:Z446,$H$1)=0,"",INDEX(I446:Z446,$H$1))</f>
        <v>(kg/Nm3)</v>
      </c>
      <c r="I446" s="10" t="s">
        <v>776</v>
      </c>
      <c r="J446" s="10" t="s">
        <v>776</v>
      </c>
      <c r="K446" s="27" t="s">
        <v>776</v>
      </c>
    </row>
    <row r="447" spans="1:11" x14ac:dyDescent="0.35">
      <c r="A447" s="10" t="s">
        <v>1282</v>
      </c>
      <c r="B447" s="255">
        <v>6</v>
      </c>
      <c r="C447" s="10" t="s">
        <v>630</v>
      </c>
      <c r="D447" s="10">
        <v>5</v>
      </c>
      <c r="E447" s="10">
        <v>56</v>
      </c>
      <c r="F447" s="10" t="s">
        <v>591</v>
      </c>
      <c r="G447" s="10" t="s">
        <v>696</v>
      </c>
      <c r="H447" s="10" t="str" cm="1">
        <f t="array" aca="1" ref="H447" ca="1">IF(INDEX(I447:Z447,$H$1)=0,"",INDEX(I447:Z447,$H$1))</f>
        <v>(tonnes/E+03 Nm3)</v>
      </c>
      <c r="I447" s="10" t="s">
        <v>3369</v>
      </c>
      <c r="J447" s="10" t="s">
        <v>2307</v>
      </c>
      <c r="K447" s="27" t="s">
        <v>2308</v>
      </c>
    </row>
    <row r="448" spans="1:11" x14ac:dyDescent="0.35">
      <c r="A448" s="10" t="s">
        <v>1282</v>
      </c>
      <c r="B448" s="255">
        <v>6</v>
      </c>
      <c r="C448" s="10" t="s">
        <v>630</v>
      </c>
      <c r="D448" s="10">
        <v>5</v>
      </c>
      <c r="E448" s="10">
        <v>56</v>
      </c>
      <c r="F448" s="10" t="s">
        <v>713</v>
      </c>
      <c r="G448" s="10" t="s">
        <v>696</v>
      </c>
      <c r="H448" s="10" t="str" cm="1">
        <f t="array" aca="1" ref="H448" ca="1">IF(INDEX(I448:Z448,$H$1)=0,"",INDEX(I448:Z448,$H$1))</f>
        <v>(tonnes/E+03 Nm3)</v>
      </c>
      <c r="I448" s="10" t="s">
        <v>3369</v>
      </c>
      <c r="J448" s="10" t="s">
        <v>2307</v>
      </c>
      <c r="K448" s="27" t="s">
        <v>2308</v>
      </c>
    </row>
    <row r="449" spans="1:12" x14ac:dyDescent="0.35">
      <c r="A449" s="10" t="s">
        <v>1282</v>
      </c>
      <c r="B449" s="255">
        <v>6</v>
      </c>
      <c r="C449" s="10" t="s">
        <v>630</v>
      </c>
      <c r="D449" s="10">
        <v>5</v>
      </c>
      <c r="E449" s="10">
        <v>56</v>
      </c>
      <c r="F449" s="10" t="s">
        <v>772</v>
      </c>
      <c r="G449" s="10" t="s">
        <v>696</v>
      </c>
      <c r="H449" s="10" t="str" cm="1">
        <f t="array" aca="1" ref="H449" ca="1">IF(INDEX(I449:Z449,$H$1)=0,"",INDEX(I449:Z449,$H$1))</f>
        <v>(kg/kmol)</v>
      </c>
      <c r="I449" s="10" t="s">
        <v>668</v>
      </c>
      <c r="J449" s="10" t="s">
        <v>1057</v>
      </c>
      <c r="K449" s="27" t="s">
        <v>668</v>
      </c>
    </row>
    <row r="450" spans="1:12" x14ac:dyDescent="0.35">
      <c r="A450" s="10" t="s">
        <v>1282</v>
      </c>
      <c r="B450" s="255">
        <v>6</v>
      </c>
      <c r="C450" s="10" t="s">
        <v>630</v>
      </c>
      <c r="D450" s="10">
        <v>5</v>
      </c>
      <c r="E450" s="10">
        <v>56</v>
      </c>
      <c r="F450" s="10" t="s">
        <v>775</v>
      </c>
      <c r="G450" s="10" t="s">
        <v>696</v>
      </c>
      <c r="H450" s="10" t="str" cm="1">
        <f t="array" aca="1" ref="H450" ca="1">IF(INDEX(I450:Z450,$H$1)=0,"",INDEX(I450:Z450,$H$1))</f>
        <v>(tonnes/y)</v>
      </c>
      <c r="I450" s="10" t="s">
        <v>2303</v>
      </c>
      <c r="J450" s="10" t="s">
        <v>786</v>
      </c>
      <c r="K450" s="27" t="s">
        <v>2304</v>
      </c>
    </row>
    <row r="451" spans="1:12" x14ac:dyDescent="0.35">
      <c r="A451" s="10" t="s">
        <v>1282</v>
      </c>
      <c r="B451" s="255">
        <v>6</v>
      </c>
      <c r="C451" s="10" t="s">
        <v>630</v>
      </c>
      <c r="D451" s="10">
        <v>5</v>
      </c>
      <c r="E451" s="10">
        <v>56</v>
      </c>
      <c r="F451" s="10" t="s">
        <v>777</v>
      </c>
      <c r="G451" s="10" t="s">
        <v>696</v>
      </c>
      <c r="H451" s="10" t="str" cm="1">
        <f t="array" aca="1" ref="H451" ca="1">IF(INDEX(I451:Z451,$H$1)=0,"",INDEX(I451:Z451,$H$1))</f>
        <v>(tonnes/y)</v>
      </c>
      <c r="I451" s="10" t="s">
        <v>2303</v>
      </c>
      <c r="J451" s="10" t="s">
        <v>786</v>
      </c>
      <c r="K451" s="27" t="s">
        <v>2304</v>
      </c>
    </row>
    <row r="452" spans="1:12" x14ac:dyDescent="0.35">
      <c r="A452" s="10" t="s">
        <v>1282</v>
      </c>
      <c r="B452" s="255">
        <v>6</v>
      </c>
      <c r="C452" s="10" t="s">
        <v>630</v>
      </c>
      <c r="D452" s="10">
        <v>5</v>
      </c>
      <c r="E452" s="10">
        <v>56</v>
      </c>
      <c r="F452" s="10" t="s">
        <v>718</v>
      </c>
      <c r="G452" s="10" t="s">
        <v>696</v>
      </c>
      <c r="H452" s="10" t="str" cm="1">
        <f t="array" aca="1" ref="H452" ca="1">IF(INDEX(I452:Z452,$H$1)=0,"",INDEX(I452:Z452,$H$1))</f>
        <v>(tonnes/y)</v>
      </c>
      <c r="I452" s="10" t="s">
        <v>2303</v>
      </c>
      <c r="J452" s="10" t="s">
        <v>786</v>
      </c>
      <c r="K452" s="27" t="s">
        <v>2304</v>
      </c>
    </row>
    <row r="453" spans="1:12" x14ac:dyDescent="0.35">
      <c r="A453" s="10" t="s">
        <v>1282</v>
      </c>
      <c r="B453" s="255">
        <v>6</v>
      </c>
      <c r="C453" s="10" t="s">
        <v>630</v>
      </c>
      <c r="D453" s="10">
        <v>5</v>
      </c>
      <c r="E453" s="10">
        <v>57</v>
      </c>
      <c r="F453" s="10" t="s">
        <v>690</v>
      </c>
      <c r="G453" s="10" t="s">
        <v>695</v>
      </c>
      <c r="H453" s="10" t="str" cm="1">
        <f t="array" aca="1" ref="H453" ca="1">IF(INDEX(I453:Z453,$H$1)=0,"",INDEX(I453:Z453,$H$1))</f>
        <v>Vented</v>
      </c>
      <c r="I453" s="10" t="s">
        <v>624</v>
      </c>
      <c r="J453" s="10" t="s">
        <v>1278</v>
      </c>
      <c r="K453" s="27" t="s">
        <v>1499</v>
      </c>
    </row>
    <row r="454" spans="1:12" x14ac:dyDescent="0.35">
      <c r="A454" s="10" t="s">
        <v>1282</v>
      </c>
      <c r="B454" s="255">
        <v>6</v>
      </c>
      <c r="C454" s="10" t="s">
        <v>630</v>
      </c>
      <c r="D454" s="10">
        <v>5</v>
      </c>
      <c r="E454" s="10">
        <v>58</v>
      </c>
      <c r="F454" s="10" t="s">
        <v>690</v>
      </c>
      <c r="G454" s="10" t="s">
        <v>695</v>
      </c>
      <c r="H454" s="10" t="str" cm="1">
        <f t="array" aca="1" ref="H454" ca="1">IF(INDEX(I454:Z454,$H$1)=0,"",INDEX(I454:Z454,$H$1))</f>
        <v>Flared</v>
      </c>
      <c r="I454" s="10" t="s">
        <v>625</v>
      </c>
      <c r="J454" s="10" t="s">
        <v>1234</v>
      </c>
      <c r="K454" s="27" t="s">
        <v>1500</v>
      </c>
    </row>
    <row r="455" spans="1:12" x14ac:dyDescent="0.35">
      <c r="A455" s="10" t="s">
        <v>1282</v>
      </c>
      <c r="B455" s="255">
        <v>6</v>
      </c>
      <c r="C455" s="10" t="s">
        <v>630</v>
      </c>
      <c r="D455" s="10">
        <v>5</v>
      </c>
      <c r="E455" s="10">
        <v>59</v>
      </c>
      <c r="F455" s="10" t="s">
        <v>594</v>
      </c>
      <c r="G455" s="10" t="s">
        <v>695</v>
      </c>
      <c r="H455" s="10" t="str" cm="1">
        <f t="array" aca="1" ref="H455" ca="1">IF(INDEX(I455:Z455,$H$1)=0,"",INDEX(I455:Z455,$H$1))</f>
        <v>Total:</v>
      </c>
      <c r="I455" s="10" t="s">
        <v>376</v>
      </c>
      <c r="J455" s="10" t="s">
        <v>804</v>
      </c>
      <c r="K455" s="27" t="s">
        <v>376</v>
      </c>
    </row>
    <row r="456" spans="1:12" x14ac:dyDescent="0.35">
      <c r="A456" s="10" t="s">
        <v>1282</v>
      </c>
      <c r="B456" s="255">
        <v>6</v>
      </c>
      <c r="C456" s="10" t="s">
        <v>615</v>
      </c>
      <c r="D456" s="10">
        <v>6</v>
      </c>
      <c r="E456" s="10">
        <v>60</v>
      </c>
      <c r="F456" s="10" t="s">
        <v>690</v>
      </c>
      <c r="G456" s="10" t="s">
        <v>688</v>
      </c>
      <c r="H456" s="10" t="str" cm="1">
        <f t="array" aca="1" ref="H456" ca="1">IF(INDEX(I456:Z456,$H$1)=0,"",INDEX(I456:Z456,$H$1))</f>
        <v>Electric Power Purchases</v>
      </c>
      <c r="I456" s="10" t="s">
        <v>615</v>
      </c>
      <c r="J456" s="10" t="s">
        <v>1286</v>
      </c>
      <c r="K456" s="27" t="s">
        <v>1430</v>
      </c>
    </row>
    <row r="457" spans="1:12" x14ac:dyDescent="0.35">
      <c r="A457" s="10" t="s">
        <v>1282</v>
      </c>
      <c r="B457" s="255">
        <v>6</v>
      </c>
      <c r="C457" s="10" t="s">
        <v>615</v>
      </c>
      <c r="D457" s="10">
        <v>6</v>
      </c>
      <c r="E457" s="10">
        <v>62</v>
      </c>
      <c r="F457" s="10" t="s">
        <v>690</v>
      </c>
      <c r="G457" s="10" t="s">
        <v>696</v>
      </c>
      <c r="H457" s="10" t="str" cm="1">
        <f t="array" aca="1" ref="H457" ca="1">IF(INDEX(I457:Z457,$H$1)=0,"",INDEX(I457:Z457,$H$1))</f>
        <v>Type of Power Plant</v>
      </c>
      <c r="I457" s="10" t="s">
        <v>621</v>
      </c>
      <c r="J457" s="10" t="s">
        <v>1277</v>
      </c>
      <c r="K457" s="27" t="s">
        <v>1503</v>
      </c>
    </row>
    <row r="458" spans="1:12" x14ac:dyDescent="0.35">
      <c r="A458" s="10" t="s">
        <v>1282</v>
      </c>
      <c r="B458" s="255">
        <v>6</v>
      </c>
      <c r="C458" s="10" t="s">
        <v>615</v>
      </c>
      <c r="D458" s="10">
        <v>6</v>
      </c>
      <c r="E458" s="10">
        <v>62</v>
      </c>
      <c r="F458" s="10" t="s">
        <v>38</v>
      </c>
      <c r="G458" s="10" t="s">
        <v>696</v>
      </c>
      <c r="H458" s="10" t="str" cm="1">
        <f t="array" aca="1" ref="H458" ca="1">IF(INDEX(I458:Z458,$H$1)=0,"",INDEX(I458:Z458,$H$1))</f>
        <v>Purchased</v>
      </c>
      <c r="I458" s="10" t="s">
        <v>1331</v>
      </c>
      <c r="J458" s="10" t="s">
        <v>1273</v>
      </c>
      <c r="K458" s="28" t="s">
        <v>1504</v>
      </c>
    </row>
    <row r="459" spans="1:12" x14ac:dyDescent="0.35">
      <c r="A459" s="10" t="s">
        <v>1282</v>
      </c>
      <c r="B459" s="255">
        <v>6</v>
      </c>
      <c r="C459" s="10" t="s">
        <v>615</v>
      </c>
      <c r="D459" s="10">
        <v>6</v>
      </c>
      <c r="E459" s="10">
        <v>62</v>
      </c>
      <c r="F459" s="10" t="s">
        <v>692</v>
      </c>
      <c r="G459" s="10" t="s">
        <v>696</v>
      </c>
      <c r="H459" s="10" t="str" cm="1">
        <f t="array" aca="1" ref="H459" ca="1">IF(INDEX(I459:Z459,$H$1)=0,"",INDEX(I459:Z459,$H$1))</f>
        <v>Emission Factors (Tonnes/MWh)</v>
      </c>
      <c r="I459" s="10" t="s">
        <v>618</v>
      </c>
      <c r="J459" s="10" t="s">
        <v>1093</v>
      </c>
      <c r="K459" s="27" t="s">
        <v>1505</v>
      </c>
      <c r="L459" s="15"/>
    </row>
    <row r="460" spans="1:12" x14ac:dyDescent="0.35">
      <c r="A460" s="10" t="s">
        <v>1282</v>
      </c>
      <c r="B460" s="255">
        <v>6</v>
      </c>
      <c r="C460" s="10" t="s">
        <v>615</v>
      </c>
      <c r="D460" s="10">
        <v>6</v>
      </c>
      <c r="E460" s="10">
        <v>62</v>
      </c>
      <c r="F460" s="10" t="s">
        <v>712</v>
      </c>
      <c r="G460" s="10" t="s">
        <v>696</v>
      </c>
      <c r="H460" s="10" t="str" cm="1">
        <f t="array" aca="1" ref="H460" ca="1">IF(INDEX(I460:Z460,$H$1)=0,"",INDEX(I460:Z460,$H$1))</f>
        <v>Emissions</v>
      </c>
      <c r="I460" s="10" t="s">
        <v>360</v>
      </c>
      <c r="J460" s="6" t="s">
        <v>807</v>
      </c>
      <c r="K460" s="27" t="s">
        <v>1460</v>
      </c>
    </row>
    <row r="461" spans="1:12" x14ac:dyDescent="0.35">
      <c r="A461" s="10" t="s">
        <v>1282</v>
      </c>
      <c r="B461" s="255">
        <v>6</v>
      </c>
      <c r="C461" s="10" t="s">
        <v>615</v>
      </c>
      <c r="D461" s="10">
        <v>6</v>
      </c>
      <c r="E461" s="10">
        <v>63</v>
      </c>
      <c r="F461" s="10" t="s">
        <v>38</v>
      </c>
      <c r="G461" s="10" t="s">
        <v>696</v>
      </c>
      <c r="H461" s="10" t="str" cm="1">
        <f t="array" aca="1" ref="H461" ca="1">IF(INDEX(I461:Z461,$H$1)=0,"",INDEX(I461:Z461,$H$1))</f>
        <v>Electricity</v>
      </c>
      <c r="I461" s="10" t="s">
        <v>778</v>
      </c>
      <c r="J461" s="6" t="s">
        <v>808</v>
      </c>
      <c r="K461" s="28" t="s">
        <v>1506</v>
      </c>
    </row>
    <row r="462" spans="1:12" x14ac:dyDescent="0.35">
      <c r="A462" s="10" t="s">
        <v>1282</v>
      </c>
      <c r="B462" s="255">
        <v>6</v>
      </c>
      <c r="C462" s="10" t="s">
        <v>615</v>
      </c>
      <c r="D462" s="10">
        <v>6</v>
      </c>
      <c r="E462" s="10">
        <v>63</v>
      </c>
      <c r="F462" s="10" t="s">
        <v>711</v>
      </c>
      <c r="G462" s="10" t="s">
        <v>696</v>
      </c>
      <c r="H462" s="10" t="str" cm="1">
        <f t="array" aca="1" ref="H462" ca="1">IF(INDEX(I462:Z462,$H$1)=0,"",INDEX(I462:Z462,$H$1))</f>
        <v>Reference</v>
      </c>
      <c r="I462" s="10" t="s">
        <v>666</v>
      </c>
      <c r="J462" s="6" t="s">
        <v>809</v>
      </c>
      <c r="K462" s="27" t="s">
        <v>1463</v>
      </c>
    </row>
    <row r="463" spans="1:12" x14ac:dyDescent="0.35">
      <c r="A463" s="10" t="s">
        <v>1282</v>
      </c>
      <c r="B463" s="255">
        <v>6</v>
      </c>
      <c r="C463" s="10" t="s">
        <v>615</v>
      </c>
      <c r="D463" s="10">
        <v>6</v>
      </c>
      <c r="E463" s="10">
        <v>64</v>
      </c>
      <c r="F463" s="10" t="s">
        <v>38</v>
      </c>
      <c r="G463" s="10" t="s">
        <v>696</v>
      </c>
      <c r="H463" s="10" t="str" cm="1">
        <f t="array" aca="1" ref="H463" ca="1">IF(INDEX(I463:Z463,$H$1)=0,"",INDEX(I463:Z463,$H$1))</f>
        <v>(MWh/y)</v>
      </c>
      <c r="I463" s="10" t="s">
        <v>2305</v>
      </c>
      <c r="J463" s="10" t="s">
        <v>2305</v>
      </c>
      <c r="K463" s="27" t="s">
        <v>2305</v>
      </c>
    </row>
    <row r="464" spans="1:12" x14ac:dyDescent="0.35">
      <c r="A464" s="10" t="s">
        <v>1282</v>
      </c>
      <c r="B464" s="255">
        <v>6</v>
      </c>
      <c r="C464" s="10" t="s">
        <v>615</v>
      </c>
      <c r="D464" s="10">
        <v>6</v>
      </c>
      <c r="E464" s="10">
        <v>64</v>
      </c>
      <c r="F464" s="10" t="s">
        <v>712</v>
      </c>
      <c r="G464" s="10" t="s">
        <v>696</v>
      </c>
      <c r="H464" s="10" t="str" cm="1">
        <f t="array" aca="1" ref="H464" ca="1">IF(INDEX(I464:Z464,$H$1)=0,"",INDEX(I464:Z464,$H$1))</f>
        <v>(tonnes/y)</v>
      </c>
      <c r="I464" s="10" t="s">
        <v>2303</v>
      </c>
      <c r="J464" s="10" t="s">
        <v>786</v>
      </c>
      <c r="K464" s="27" t="s">
        <v>2304</v>
      </c>
    </row>
    <row r="465" spans="1:11" x14ac:dyDescent="0.35">
      <c r="A465" s="10" t="s">
        <v>1282</v>
      </c>
      <c r="B465" s="255">
        <v>6</v>
      </c>
      <c r="C465" s="10" t="s">
        <v>615</v>
      </c>
      <c r="D465" s="10">
        <v>6</v>
      </c>
      <c r="E465" s="10">
        <v>64</v>
      </c>
      <c r="F465" s="10" t="s">
        <v>713</v>
      </c>
      <c r="G465" s="10" t="s">
        <v>696</v>
      </c>
      <c r="H465" s="10" t="str" cm="1">
        <f t="array" aca="1" ref="H465" ca="1">IF(INDEX(I465:Z465,$H$1)=0,"",INDEX(I465:Z465,$H$1))</f>
        <v>(tonnes/y)</v>
      </c>
      <c r="I465" s="10" t="s">
        <v>2303</v>
      </c>
      <c r="J465" s="10" t="s">
        <v>786</v>
      </c>
      <c r="K465" s="27" t="s">
        <v>2304</v>
      </c>
    </row>
    <row r="466" spans="1:11" x14ac:dyDescent="0.35">
      <c r="A466" s="10" t="s">
        <v>1282</v>
      </c>
      <c r="B466" s="255">
        <v>6</v>
      </c>
      <c r="C466" s="10" t="s">
        <v>615</v>
      </c>
      <c r="D466" s="10">
        <v>6</v>
      </c>
      <c r="E466" s="10">
        <v>64</v>
      </c>
      <c r="F466" s="10" t="s">
        <v>772</v>
      </c>
      <c r="G466" s="10" t="s">
        <v>696</v>
      </c>
      <c r="H466" s="10" t="str" cm="1">
        <f t="array" aca="1" ref="H466" ca="1">IF(INDEX(I466:Z466,$H$1)=0,"",INDEX(I466:Z466,$H$1))</f>
        <v>(tonnes/y)</v>
      </c>
      <c r="I466" s="10" t="s">
        <v>2303</v>
      </c>
      <c r="J466" s="10" t="s">
        <v>786</v>
      </c>
      <c r="K466" s="27" t="s">
        <v>2304</v>
      </c>
    </row>
    <row r="467" spans="1:11" x14ac:dyDescent="0.35">
      <c r="A467" s="10" t="s">
        <v>1282</v>
      </c>
      <c r="B467" s="255">
        <v>6</v>
      </c>
      <c r="C467" s="10" t="s">
        <v>615</v>
      </c>
      <c r="D467" s="10">
        <v>6</v>
      </c>
      <c r="E467" s="10">
        <v>65</v>
      </c>
      <c r="F467" s="10" t="s">
        <v>690</v>
      </c>
      <c r="G467" s="10" t="s">
        <v>695</v>
      </c>
      <c r="H467" s="10" t="str" cm="1">
        <f t="array" aca="1" ref="H467" ca="1">IF(INDEX(I467:Z467,$H$1)=0,"",INDEX(I467:Z467,$H$1))</f>
        <v>Hydro Electric</v>
      </c>
      <c r="I467" s="10" t="s">
        <v>616</v>
      </c>
      <c r="J467" s="10" t="s">
        <v>1250</v>
      </c>
      <c r="K467" s="27" t="s">
        <v>1507</v>
      </c>
    </row>
    <row r="468" spans="1:11" x14ac:dyDescent="0.35">
      <c r="A468" s="10" t="s">
        <v>1282</v>
      </c>
      <c r="B468" s="255">
        <v>6</v>
      </c>
      <c r="C468" s="10" t="s">
        <v>615</v>
      </c>
      <c r="D468" s="10">
        <v>6</v>
      </c>
      <c r="E468" s="10">
        <v>66</v>
      </c>
      <c r="F468" s="10" t="s">
        <v>690</v>
      </c>
      <c r="G468" s="10" t="s">
        <v>695</v>
      </c>
      <c r="H468" s="10" t="str" cm="1">
        <f t="array" aca="1" ref="H468" ca="1">IF(INDEX(I468:Z468,$H$1)=0,"",INDEX(I468:Z468,$H$1))</f>
        <v>Coal-Fired Power Plant</v>
      </c>
      <c r="I468" s="10" t="s">
        <v>617</v>
      </c>
      <c r="J468" s="10" t="s">
        <v>1281</v>
      </c>
      <c r="K468" s="27" t="s">
        <v>1508</v>
      </c>
    </row>
    <row r="469" spans="1:11" x14ac:dyDescent="0.35">
      <c r="A469" s="10" t="s">
        <v>1282</v>
      </c>
      <c r="B469" s="255">
        <v>6</v>
      </c>
      <c r="C469" s="10" t="s">
        <v>615</v>
      </c>
      <c r="D469" s="10">
        <v>6</v>
      </c>
      <c r="E469" s="10">
        <v>67</v>
      </c>
      <c r="F469" s="10" t="s">
        <v>690</v>
      </c>
      <c r="G469" s="10" t="s">
        <v>695</v>
      </c>
      <c r="H469" s="10" t="str" cm="1">
        <f t="array" aca="1" ref="H469" ca="1">IF(INDEX(I469:Z469,$H$1)=0,"",INDEX(I469:Z469,$H$1))</f>
        <v>Natural Gas (Gas Turbine)</v>
      </c>
      <c r="I469" s="10" t="s">
        <v>619</v>
      </c>
      <c r="J469" s="10" t="s">
        <v>1265</v>
      </c>
      <c r="K469" s="27" t="s">
        <v>1509</v>
      </c>
    </row>
    <row r="470" spans="1:11" x14ac:dyDescent="0.35">
      <c r="A470" s="10" t="s">
        <v>1282</v>
      </c>
      <c r="B470" s="255">
        <v>6</v>
      </c>
      <c r="C470" s="10" t="s">
        <v>615</v>
      </c>
      <c r="D470" s="10">
        <v>6</v>
      </c>
      <c r="E470" s="10">
        <v>68</v>
      </c>
      <c r="F470" s="10" t="s">
        <v>690</v>
      </c>
      <c r="G470" s="10" t="s">
        <v>695</v>
      </c>
      <c r="H470" s="10" t="str" cm="1">
        <f t="array" aca="1" ref="H470" ca="1">IF(INDEX(I470:Z470,$H$1)=0,"",INDEX(I470:Z470,$H$1))</f>
        <v>Natural Gas (Combined Cycle)</v>
      </c>
      <c r="I470" s="10" t="s">
        <v>620</v>
      </c>
      <c r="J470" s="10" t="s">
        <v>1264</v>
      </c>
      <c r="K470" s="27" t="s">
        <v>1510</v>
      </c>
    </row>
    <row r="471" spans="1:11" x14ac:dyDescent="0.35">
      <c r="A471" s="10" t="s">
        <v>1282</v>
      </c>
      <c r="B471" s="255">
        <v>6</v>
      </c>
      <c r="C471" s="10" t="s">
        <v>615</v>
      </c>
      <c r="D471" s="10">
        <v>6</v>
      </c>
      <c r="E471" s="10">
        <v>69</v>
      </c>
      <c r="F471" s="10" t="s">
        <v>591</v>
      </c>
      <c r="G471" s="10" t="s">
        <v>695</v>
      </c>
      <c r="H471" s="10" t="str" cm="1">
        <f t="array" aca="1" ref="H471" ca="1">IF(INDEX(I471:Z471,$H$1)=0,"",INDEX(I471:Z471,$H$1))</f>
        <v>Total:</v>
      </c>
      <c r="I471" s="10" t="s">
        <v>376</v>
      </c>
      <c r="J471" s="10" t="s">
        <v>804</v>
      </c>
      <c r="K471" s="27" t="s">
        <v>376</v>
      </c>
    </row>
    <row r="472" spans="1:11" x14ac:dyDescent="0.35">
      <c r="A472" s="10" t="s">
        <v>1283</v>
      </c>
      <c r="B472" s="255">
        <v>7</v>
      </c>
      <c r="C472" s="10" t="s">
        <v>324</v>
      </c>
      <c r="D472" s="10">
        <v>1</v>
      </c>
      <c r="E472" s="10">
        <v>1</v>
      </c>
      <c r="F472" s="10" t="s">
        <v>690</v>
      </c>
      <c r="G472" s="10" t="s">
        <v>688</v>
      </c>
      <c r="H472" s="10" t="str" cm="1">
        <f t="array" aca="1" ref="H472" ca="1">IF(INDEX(I472:Z472,$H$1)=0,"",INDEX(I472:Z472,$H$1))</f>
        <v>Equipment Component &amp; Leakage Inventory</v>
      </c>
      <c r="I472" s="10" t="s">
        <v>324</v>
      </c>
      <c r="J472" s="10" t="s">
        <v>1228</v>
      </c>
      <c r="K472" s="27" t="s">
        <v>1511</v>
      </c>
    </row>
    <row r="473" spans="1:11" x14ac:dyDescent="0.35">
      <c r="A473" s="10" t="s">
        <v>1283</v>
      </c>
      <c r="B473" s="255">
        <v>7</v>
      </c>
      <c r="C473" s="10" t="s">
        <v>324</v>
      </c>
      <c r="D473" s="10">
        <v>1</v>
      </c>
      <c r="E473" s="10">
        <v>2</v>
      </c>
      <c r="F473" s="10" t="s">
        <v>690</v>
      </c>
      <c r="G473" s="10" t="s">
        <v>695</v>
      </c>
      <c r="H473" s="10" t="str" cm="1">
        <f t="array" aca="1" ref="H473" ca="1">IF(INDEX(I473:Z473,$H$1)=0,"",INDEX(I473:Z473,$H$1))</f>
        <v>Industry Segment:</v>
      </c>
      <c r="I473" s="10" t="s">
        <v>279</v>
      </c>
      <c r="J473" s="10" t="s">
        <v>813</v>
      </c>
      <c r="K473" s="27" t="s">
        <v>1512</v>
      </c>
    </row>
    <row r="474" spans="1:11" x14ac:dyDescent="0.35">
      <c r="A474" s="10" t="s">
        <v>1283</v>
      </c>
      <c r="B474" s="255">
        <v>7</v>
      </c>
      <c r="C474" s="10" t="s">
        <v>324</v>
      </c>
      <c r="D474" s="10">
        <v>1</v>
      </c>
      <c r="E474" s="10">
        <v>2</v>
      </c>
      <c r="F474" s="10" t="s">
        <v>38</v>
      </c>
      <c r="G474" s="10" t="s">
        <v>695</v>
      </c>
      <c r="H474" s="10" t="str" cm="1">
        <f t="array" aca="1" ref="H474" ca="1">IF(INDEX(I474:Z474,$H$1)=0,"",INDEX(I474:Z474,$H$1))</f>
        <v>Gas</v>
      </c>
      <c r="I474" s="17" t="s">
        <v>154</v>
      </c>
      <c r="J474" s="17" t="s">
        <v>864</v>
      </c>
      <c r="K474" s="27" t="s">
        <v>154</v>
      </c>
    </row>
    <row r="475" spans="1:11" x14ac:dyDescent="0.35">
      <c r="A475" s="10" t="s">
        <v>1283</v>
      </c>
      <c r="B475" s="255">
        <v>7</v>
      </c>
      <c r="C475" s="10" t="s">
        <v>324</v>
      </c>
      <c r="D475" s="10">
        <v>1</v>
      </c>
      <c r="E475" s="10">
        <v>3</v>
      </c>
      <c r="F475" s="10" t="s">
        <v>690</v>
      </c>
      <c r="G475" s="10" t="s">
        <v>695</v>
      </c>
      <c r="H475" s="10" t="str" cm="1">
        <f t="array" aca="1" ref="H475" ca="1">IF(INDEX(I475:Z475,$H$1)=0,"",INDEX(I475:Z475,$H$1))</f>
        <v>Hydrocarbon Liquid:</v>
      </c>
      <c r="I475" s="10" t="s">
        <v>315</v>
      </c>
      <c r="J475" s="10" t="s">
        <v>722</v>
      </c>
      <c r="K475" s="27" t="s">
        <v>1513</v>
      </c>
    </row>
    <row r="476" spans="1:11" x14ac:dyDescent="0.35">
      <c r="A476" s="10" t="s">
        <v>1283</v>
      </c>
      <c r="B476" s="255">
        <v>7</v>
      </c>
      <c r="C476" s="10" t="s">
        <v>324</v>
      </c>
      <c r="D476" s="10">
        <v>1</v>
      </c>
      <c r="E476" s="10">
        <v>4</v>
      </c>
      <c r="F476" s="10" t="s">
        <v>690</v>
      </c>
      <c r="G476" s="10" t="s">
        <v>695</v>
      </c>
      <c r="H476" s="10" t="str" cm="1">
        <f t="array" aca="1" ref="H476" ca="1">IF(INDEX(I476:Z476,$H$1)=0,"",INDEX(I476:Z476,$H$1))</f>
        <v>Product Factor</v>
      </c>
      <c r="I476" s="10" t="s">
        <v>316</v>
      </c>
      <c r="J476" s="10" t="s">
        <v>814</v>
      </c>
      <c r="K476" s="27" t="s">
        <v>1514</v>
      </c>
    </row>
    <row r="477" spans="1:11" x14ac:dyDescent="0.35">
      <c r="A477" s="10" t="s">
        <v>1283</v>
      </c>
      <c r="B477" s="255">
        <v>7</v>
      </c>
      <c r="C477" s="10" t="s">
        <v>324</v>
      </c>
      <c r="D477" s="10">
        <v>1</v>
      </c>
      <c r="E477" s="10">
        <v>6</v>
      </c>
      <c r="F477" s="10" t="s">
        <v>687</v>
      </c>
      <c r="G477" s="10" t="s">
        <v>767</v>
      </c>
      <c r="H477" s="10" t="str" cm="1">
        <f t="array" aca="1" ref="H477" ca="1">IF(INDEX(I477:Z477,$H$1)=0,"",INDEX(I477:Z477,$H$1))</f>
        <v>Column</v>
      </c>
      <c r="I477" s="10" t="s">
        <v>319</v>
      </c>
      <c r="J477" s="10" t="s">
        <v>894</v>
      </c>
      <c r="K477" s="27" t="s">
        <v>1515</v>
      </c>
    </row>
    <row r="478" spans="1:11" x14ac:dyDescent="0.35">
      <c r="A478" s="10" t="s">
        <v>1283</v>
      </c>
      <c r="B478" s="255">
        <v>7</v>
      </c>
      <c r="C478" s="10" t="s">
        <v>324</v>
      </c>
      <c r="D478" s="10">
        <v>1</v>
      </c>
      <c r="E478" s="10">
        <v>6</v>
      </c>
      <c r="F478" s="10" t="s">
        <v>690</v>
      </c>
      <c r="G478" s="10" t="s">
        <v>696</v>
      </c>
      <c r="H478" s="10" t="str" cm="1">
        <f t="array" aca="1" ref="H478" ca="1">IF(INDEX(I478:Z478,$H$1)=0,"",INDEX(I478:Z478,$H$1))</f>
        <v>Equipment Component Type</v>
      </c>
      <c r="I478" s="10" t="s">
        <v>172</v>
      </c>
      <c r="J478" s="10" t="s">
        <v>1229</v>
      </c>
      <c r="K478" s="27" t="s">
        <v>1516</v>
      </c>
    </row>
    <row r="479" spans="1:11" x14ac:dyDescent="0.35">
      <c r="A479" s="10" t="s">
        <v>1283</v>
      </c>
      <c r="B479" s="255">
        <v>7</v>
      </c>
      <c r="C479" s="10" t="s">
        <v>324</v>
      </c>
      <c r="D479" s="10">
        <v>1</v>
      </c>
      <c r="E479" s="10">
        <v>6</v>
      </c>
      <c r="F479" s="10" t="s">
        <v>38</v>
      </c>
      <c r="G479" s="10" t="s">
        <v>696</v>
      </c>
      <c r="H479" s="10" t="str" cm="1">
        <f t="array" aca="1" ref="H479" ca="1">IF(INDEX(I479:Z479,$H$1)=0,"",INDEX(I479:Z479,$H$1))</f>
        <v>Service</v>
      </c>
      <c r="I479" s="10" t="s">
        <v>133</v>
      </c>
      <c r="J479" s="10" t="s">
        <v>832</v>
      </c>
      <c r="K479" s="27" t="s">
        <v>1517</v>
      </c>
    </row>
    <row r="480" spans="1:11" x14ac:dyDescent="0.35">
      <c r="A480" s="10" t="s">
        <v>1283</v>
      </c>
      <c r="B480" s="255">
        <v>7</v>
      </c>
      <c r="C480" s="10" t="s">
        <v>324</v>
      </c>
      <c r="D480" s="10">
        <v>1</v>
      </c>
      <c r="E480" s="10">
        <v>6</v>
      </c>
      <c r="F480" s="10" t="s">
        <v>692</v>
      </c>
      <c r="G480" s="10" t="s">
        <v>696</v>
      </c>
      <c r="H480" s="10" t="str" cm="1">
        <f t="array" aca="1" ref="H480" ca="1">IF(INDEX(I480:Z480,$H$1)=0,"",INDEX(I480:Z480,$H$1))</f>
        <v>Emission Factor  (m3 CH4/h/component)</v>
      </c>
      <c r="I480" s="10" t="s">
        <v>280</v>
      </c>
      <c r="J480" s="10" t="s">
        <v>833</v>
      </c>
      <c r="K480" s="27" t="s">
        <v>1518</v>
      </c>
    </row>
    <row r="481" spans="1:11" x14ac:dyDescent="0.35">
      <c r="A481" s="10" t="s">
        <v>1283</v>
      </c>
      <c r="B481" s="255">
        <v>7</v>
      </c>
      <c r="C481" s="10" t="s">
        <v>324</v>
      </c>
      <c r="D481" s="10">
        <v>1</v>
      </c>
      <c r="E481" s="10">
        <v>6</v>
      </c>
      <c r="F481" s="10" t="s">
        <v>711</v>
      </c>
      <c r="G481" s="10" t="s">
        <v>696</v>
      </c>
      <c r="H481" s="10" t="str" cm="1">
        <f t="array" aca="1" ref="H481" ca="1">IF(INDEX(I481:Z481,$H$1)=0,"",INDEX(I481:Z481,$H$1))</f>
        <v>Emission Calculations</v>
      </c>
      <c r="I481" s="10" t="s">
        <v>312</v>
      </c>
      <c r="J481" s="10" t="s">
        <v>892</v>
      </c>
      <c r="K481" s="27" t="s">
        <v>1519</v>
      </c>
    </row>
    <row r="482" spans="1:11" x14ac:dyDescent="0.35">
      <c r="A482" s="10" t="s">
        <v>1283</v>
      </c>
      <c r="B482" s="255">
        <v>7</v>
      </c>
      <c r="C482" s="10" t="s">
        <v>324</v>
      </c>
      <c r="D482" s="10">
        <v>1</v>
      </c>
      <c r="E482" s="10">
        <v>7</v>
      </c>
      <c r="F482" s="10" t="s">
        <v>687</v>
      </c>
      <c r="G482" s="10" t="s">
        <v>767</v>
      </c>
      <c r="H482" s="10" t="str" cm="1">
        <f t="array" aca="1" ref="H482" ca="1">IF(INDEX(I482:Z482,$H$1)=0,"",INDEX(I482:Z482,$H$1))</f>
        <v>Pointers</v>
      </c>
      <c r="I482" s="10" t="s">
        <v>320</v>
      </c>
      <c r="J482" s="10" t="s">
        <v>895</v>
      </c>
      <c r="K482" s="27" t="s">
        <v>1520</v>
      </c>
    </row>
    <row r="483" spans="1:11" x14ac:dyDescent="0.35">
      <c r="A483" s="10" t="s">
        <v>1283</v>
      </c>
      <c r="B483" s="255">
        <v>7</v>
      </c>
      <c r="C483" s="10" t="s">
        <v>324</v>
      </c>
      <c r="D483" s="10">
        <v>1</v>
      </c>
      <c r="E483" s="10">
        <v>7</v>
      </c>
      <c r="F483" s="10" t="s">
        <v>822</v>
      </c>
      <c r="G483" s="10" t="s">
        <v>696</v>
      </c>
      <c r="H483" s="10" t="str" cm="1">
        <f t="array" aca="1" ref="H483" ca="1">IF(INDEX(I483:Z483,$H$1)=0,"",INDEX(I483:Z483,$H$1))</f>
        <v>Category 11</v>
      </c>
      <c r="I483" s="10" t="s">
        <v>291</v>
      </c>
      <c r="J483" s="10" t="s">
        <v>845</v>
      </c>
      <c r="K483" s="27" t="s">
        <v>1521</v>
      </c>
    </row>
    <row r="484" spans="1:11" x14ac:dyDescent="0.35">
      <c r="A484" s="10" t="s">
        <v>1283</v>
      </c>
      <c r="B484" s="255">
        <v>7</v>
      </c>
      <c r="C484" s="10" t="s">
        <v>324</v>
      </c>
      <c r="D484" s="10">
        <v>1</v>
      </c>
      <c r="E484" s="10">
        <v>7</v>
      </c>
      <c r="F484" s="10" t="s">
        <v>824</v>
      </c>
      <c r="G484" s="10" t="s">
        <v>696</v>
      </c>
      <c r="H484" s="10" t="str" cm="1">
        <f t="array" aca="1" ref="H484" ca="1">IF(INDEX(I484:Z484,$H$1)=0,"",INDEX(I484:Z484,$H$1))</f>
        <v>Category 12</v>
      </c>
      <c r="I484" s="10" t="s">
        <v>292</v>
      </c>
      <c r="J484" s="10" t="s">
        <v>846</v>
      </c>
      <c r="K484" s="27" t="s">
        <v>1522</v>
      </c>
    </row>
    <row r="485" spans="1:11" x14ac:dyDescent="0.35">
      <c r="A485" s="10" t="s">
        <v>1283</v>
      </c>
      <c r="B485" s="255">
        <v>7</v>
      </c>
      <c r="C485" s="10" t="s">
        <v>324</v>
      </c>
      <c r="D485" s="10">
        <v>1</v>
      </c>
      <c r="E485" s="10">
        <v>7</v>
      </c>
      <c r="F485" s="10" t="s">
        <v>826</v>
      </c>
      <c r="G485" s="10" t="s">
        <v>696</v>
      </c>
      <c r="H485" s="10" t="str" cm="1">
        <f t="array" aca="1" ref="H485" ca="1">IF(INDEX(I485:Z485,$H$1)=0,"",INDEX(I485:Z485,$H$1))</f>
        <v>Category 13</v>
      </c>
      <c r="I485" s="10" t="s">
        <v>293</v>
      </c>
      <c r="J485" s="10" t="s">
        <v>847</v>
      </c>
      <c r="K485" s="27" t="s">
        <v>1523</v>
      </c>
    </row>
    <row r="486" spans="1:11" x14ac:dyDescent="0.35">
      <c r="A486" s="10" t="s">
        <v>1283</v>
      </c>
      <c r="B486" s="255">
        <v>7</v>
      </c>
      <c r="C486" s="10" t="s">
        <v>324</v>
      </c>
      <c r="D486" s="10">
        <v>1</v>
      </c>
      <c r="E486" s="10">
        <v>7</v>
      </c>
      <c r="F486" s="10" t="s">
        <v>828</v>
      </c>
      <c r="G486" s="10" t="s">
        <v>696</v>
      </c>
      <c r="H486" s="10" t="str" cm="1">
        <f t="array" aca="1" ref="H486" ca="1">IF(INDEX(I486:Z486,$H$1)=0,"",INDEX(I486:Z486,$H$1))</f>
        <v>Category 14</v>
      </c>
      <c r="I486" s="10" t="s">
        <v>294</v>
      </c>
      <c r="J486" s="10" t="s">
        <v>848</v>
      </c>
      <c r="K486" s="27" t="s">
        <v>1524</v>
      </c>
    </row>
    <row r="487" spans="1:11" x14ac:dyDescent="0.35">
      <c r="A487" s="10" t="s">
        <v>1283</v>
      </c>
      <c r="B487" s="255">
        <v>7</v>
      </c>
      <c r="C487" s="10" t="s">
        <v>324</v>
      </c>
      <c r="D487" s="10">
        <v>1</v>
      </c>
      <c r="E487" s="10">
        <v>7</v>
      </c>
      <c r="F487" s="10" t="s">
        <v>830</v>
      </c>
      <c r="G487" s="10" t="s">
        <v>696</v>
      </c>
      <c r="H487" s="10" t="str" cm="1">
        <f t="array" aca="1" ref="H487" ca="1">IF(INDEX(I487:Z487,$H$1)=0,"",INDEX(I487:Z487,$H$1))</f>
        <v>Category 15</v>
      </c>
      <c r="I487" s="10" t="s">
        <v>295</v>
      </c>
      <c r="J487" s="10" t="s">
        <v>849</v>
      </c>
      <c r="K487" s="27" t="s">
        <v>1525</v>
      </c>
    </row>
    <row r="488" spans="1:11" x14ac:dyDescent="0.35">
      <c r="A488" s="10" t="s">
        <v>1283</v>
      </c>
      <c r="B488" s="255">
        <v>7</v>
      </c>
      <c r="C488" s="10" t="s">
        <v>324</v>
      </c>
      <c r="D488" s="10">
        <v>1</v>
      </c>
      <c r="E488" s="10">
        <v>7</v>
      </c>
      <c r="F488" s="10" t="s">
        <v>830</v>
      </c>
      <c r="G488" s="10" t="s">
        <v>696</v>
      </c>
      <c r="H488" s="10" t="str" cm="1">
        <f t="array" aca="1" ref="H488" ca="1">IF(INDEX(I488:Z488,$H$1)=0,"",INDEX(I488:Z488,$H$1))</f>
        <v>Category 16</v>
      </c>
      <c r="I488" s="10" t="s">
        <v>2558</v>
      </c>
      <c r="J488" s="10" t="s">
        <v>2563</v>
      </c>
      <c r="K488" s="27" t="s">
        <v>2568</v>
      </c>
    </row>
    <row r="489" spans="1:11" x14ac:dyDescent="0.35">
      <c r="A489" s="10" t="s">
        <v>1283</v>
      </c>
      <c r="B489" s="255">
        <v>7</v>
      </c>
      <c r="C489" s="10" t="s">
        <v>324</v>
      </c>
      <c r="D489" s="10">
        <v>1</v>
      </c>
      <c r="E489" s="10">
        <v>7</v>
      </c>
      <c r="F489" s="10" t="s">
        <v>830</v>
      </c>
      <c r="G489" s="10" t="s">
        <v>696</v>
      </c>
      <c r="H489" s="10" t="str" cm="1">
        <f t="array" aca="1" ref="H489" ca="1">IF(INDEX(I489:Z489,$H$1)=0,"",INDEX(I489:Z489,$H$1))</f>
        <v>Category 17</v>
      </c>
      <c r="I489" s="10" t="s">
        <v>2559</v>
      </c>
      <c r="J489" s="10" t="s">
        <v>2564</v>
      </c>
      <c r="K489" s="27" t="s">
        <v>2569</v>
      </c>
    </row>
    <row r="490" spans="1:11" x14ac:dyDescent="0.35">
      <c r="A490" s="10" t="s">
        <v>1283</v>
      </c>
      <c r="B490" s="255">
        <v>7</v>
      </c>
      <c r="C490" s="10" t="s">
        <v>324</v>
      </c>
      <c r="D490" s="10">
        <v>1</v>
      </c>
      <c r="E490" s="10">
        <v>7</v>
      </c>
      <c r="F490" s="10" t="s">
        <v>830</v>
      </c>
      <c r="G490" s="10" t="s">
        <v>696</v>
      </c>
      <c r="H490" s="10" t="str" cm="1">
        <f t="array" aca="1" ref="H490" ca="1">IF(INDEX(I490:Z490,$H$1)=0,"",INDEX(I490:Z490,$H$1))</f>
        <v>Category 18</v>
      </c>
      <c r="I490" s="10" t="s">
        <v>2560</v>
      </c>
      <c r="J490" s="10" t="s">
        <v>2565</v>
      </c>
      <c r="K490" s="27" t="s">
        <v>2570</v>
      </c>
    </row>
    <row r="491" spans="1:11" x14ac:dyDescent="0.35">
      <c r="A491" s="10" t="s">
        <v>1283</v>
      </c>
      <c r="B491" s="255">
        <v>7</v>
      </c>
      <c r="C491" s="10" t="s">
        <v>324</v>
      </c>
      <c r="D491" s="10">
        <v>1</v>
      </c>
      <c r="E491" s="10">
        <v>7</v>
      </c>
      <c r="F491" s="10" t="s">
        <v>830</v>
      </c>
      <c r="G491" s="10" t="s">
        <v>696</v>
      </c>
      <c r="H491" s="10" t="str" cm="1">
        <f t="array" aca="1" ref="H491" ca="1">IF(INDEX(I491:Z491,$H$1)=0,"",INDEX(I491:Z491,$H$1))</f>
        <v>Category 19</v>
      </c>
      <c r="I491" s="10" t="s">
        <v>2561</v>
      </c>
      <c r="J491" s="10" t="s">
        <v>2566</v>
      </c>
      <c r="K491" s="27" t="s">
        <v>2571</v>
      </c>
    </row>
    <row r="492" spans="1:11" x14ac:dyDescent="0.35">
      <c r="A492" s="10" t="s">
        <v>1283</v>
      </c>
      <c r="B492" s="255">
        <v>7</v>
      </c>
      <c r="C492" s="10" t="s">
        <v>324</v>
      </c>
      <c r="D492" s="10">
        <v>1</v>
      </c>
      <c r="E492" s="10">
        <v>7</v>
      </c>
      <c r="F492" s="10" t="s">
        <v>830</v>
      </c>
      <c r="G492" s="10" t="s">
        <v>696</v>
      </c>
      <c r="H492" s="10" t="str" cm="1">
        <f t="array" aca="1" ref="H492" ca="1">IF(INDEX(I492:Z492,$H$1)=0,"",INDEX(I492:Z492,$H$1))</f>
        <v>Category 20</v>
      </c>
      <c r="I492" s="10" t="s">
        <v>2562</v>
      </c>
      <c r="J492" s="10" t="s">
        <v>2567</v>
      </c>
      <c r="K492" s="27" t="s">
        <v>2572</v>
      </c>
    </row>
    <row r="493" spans="1:11" x14ac:dyDescent="0.35">
      <c r="A493" s="10" t="s">
        <v>1283</v>
      </c>
      <c r="B493" s="255">
        <v>7</v>
      </c>
      <c r="C493" s="10" t="s">
        <v>324</v>
      </c>
      <c r="D493" s="10">
        <v>1</v>
      </c>
      <c r="E493" s="10">
        <v>7</v>
      </c>
      <c r="F493" s="10" t="s">
        <v>692</v>
      </c>
      <c r="G493" s="10" t="s">
        <v>696</v>
      </c>
      <c r="H493" s="10" t="str" cm="1">
        <f t="array" aca="1" ref="H493" ca="1">IF(INDEX(I493:Z493,$H$1)=0,"",INDEX(I493:Z493,$H$1))</f>
        <v>Primary</v>
      </c>
      <c r="I493" s="10" t="s">
        <v>264</v>
      </c>
      <c r="J493" s="10" t="s">
        <v>834</v>
      </c>
      <c r="K493" s="27" t="s">
        <v>1526</v>
      </c>
    </row>
    <row r="494" spans="1:11" x14ac:dyDescent="0.35">
      <c r="A494" s="10" t="s">
        <v>1283</v>
      </c>
      <c r="B494" s="255">
        <v>7</v>
      </c>
      <c r="C494" s="10" t="s">
        <v>324</v>
      </c>
      <c r="D494" s="10">
        <v>1</v>
      </c>
      <c r="E494" s="10">
        <v>7</v>
      </c>
      <c r="F494" s="10" t="s">
        <v>711</v>
      </c>
      <c r="G494" s="10" t="s">
        <v>696</v>
      </c>
      <c r="H494" s="10" t="str" cm="1">
        <f t="array" aca="1" ref="H494" ca="1">IF(INDEX(I494:Z494,$H$1)=0,"",INDEX(I494:Z494,$H$1))</f>
        <v>Category 1</v>
      </c>
      <c r="I494" s="10" t="s">
        <v>281</v>
      </c>
      <c r="J494" s="10" t="s">
        <v>835</v>
      </c>
      <c r="K494" s="27" t="s">
        <v>1527</v>
      </c>
    </row>
    <row r="495" spans="1:11" x14ac:dyDescent="0.35">
      <c r="A495" s="10" t="s">
        <v>1283</v>
      </c>
      <c r="B495" s="255">
        <v>7</v>
      </c>
      <c r="C495" s="10" t="s">
        <v>324</v>
      </c>
      <c r="D495" s="10">
        <v>1</v>
      </c>
      <c r="E495" s="10">
        <v>7</v>
      </c>
      <c r="F495" s="10" t="s">
        <v>712</v>
      </c>
      <c r="G495" s="10" t="s">
        <v>696</v>
      </c>
      <c r="H495" s="10" t="str" cm="1">
        <f t="array" aca="1" ref="H495" ca="1">IF(INDEX(I495:Z495,$H$1)=0,"",INDEX(I495:Z495,$H$1))</f>
        <v>Category 2</v>
      </c>
      <c r="I495" s="10" t="s">
        <v>282</v>
      </c>
      <c r="J495" s="10" t="s">
        <v>836</v>
      </c>
      <c r="K495" s="27" t="s">
        <v>1528</v>
      </c>
    </row>
    <row r="496" spans="1:11" x14ac:dyDescent="0.35">
      <c r="A496" s="10" t="s">
        <v>1283</v>
      </c>
      <c r="B496" s="255">
        <v>7</v>
      </c>
      <c r="C496" s="10" t="s">
        <v>324</v>
      </c>
      <c r="D496" s="10">
        <v>1</v>
      </c>
      <c r="E496" s="10">
        <v>7</v>
      </c>
      <c r="F496" s="10" t="s">
        <v>772</v>
      </c>
      <c r="G496" s="10" t="s">
        <v>696</v>
      </c>
      <c r="H496" s="10" t="str" cm="1">
        <f t="array" aca="1" ref="H496" ca="1">IF(INDEX(I496:Z496,$H$1)=0,"",INDEX(I496:Z496,$H$1))</f>
        <v>Category 3</v>
      </c>
      <c r="I496" s="10" t="s">
        <v>283</v>
      </c>
      <c r="J496" s="10" t="s">
        <v>837</v>
      </c>
      <c r="K496" s="27" t="s">
        <v>1529</v>
      </c>
    </row>
    <row r="497" spans="1:11" x14ac:dyDescent="0.35">
      <c r="A497" s="10" t="s">
        <v>1283</v>
      </c>
      <c r="B497" s="255">
        <v>7</v>
      </c>
      <c r="C497" s="10" t="s">
        <v>324</v>
      </c>
      <c r="D497" s="10">
        <v>1</v>
      </c>
      <c r="E497" s="10">
        <v>7</v>
      </c>
      <c r="F497" s="10" t="s">
        <v>771</v>
      </c>
      <c r="G497" s="10" t="s">
        <v>696</v>
      </c>
      <c r="H497" s="10" t="str" cm="1">
        <f t="array" aca="1" ref="H497" ca="1">IF(INDEX(I497:Z497,$H$1)=0,"",INDEX(I497:Z497,$H$1))</f>
        <v>Category 4</v>
      </c>
      <c r="I497" s="10" t="s">
        <v>284</v>
      </c>
      <c r="J497" s="10" t="s">
        <v>838</v>
      </c>
      <c r="K497" s="27" t="s">
        <v>1530</v>
      </c>
    </row>
    <row r="498" spans="1:11" x14ac:dyDescent="0.35">
      <c r="A498" s="10" t="s">
        <v>1283</v>
      </c>
      <c r="B498" s="255">
        <v>7</v>
      </c>
      <c r="C498" s="10" t="s">
        <v>324</v>
      </c>
      <c r="D498" s="10">
        <v>1</v>
      </c>
      <c r="E498" s="10">
        <v>7</v>
      </c>
      <c r="F498" s="10" t="s">
        <v>594</v>
      </c>
      <c r="G498" s="10" t="s">
        <v>696</v>
      </c>
      <c r="H498" s="10" t="str" cm="1">
        <f t="array" aca="1" ref="H498" ca="1">IF(INDEX(I498:Z498,$H$1)=0,"",INDEX(I498:Z498,$H$1))</f>
        <v>Category 5</v>
      </c>
      <c r="I498" s="10" t="s">
        <v>285</v>
      </c>
      <c r="J498" s="10" t="s">
        <v>839</v>
      </c>
      <c r="K498" s="27" t="s">
        <v>1531</v>
      </c>
    </row>
    <row r="499" spans="1:11" x14ac:dyDescent="0.35">
      <c r="A499" s="10" t="s">
        <v>1283</v>
      </c>
      <c r="B499" s="255">
        <v>7</v>
      </c>
      <c r="C499" s="10" t="s">
        <v>324</v>
      </c>
      <c r="D499" s="10">
        <v>1</v>
      </c>
      <c r="E499" s="10">
        <v>7</v>
      </c>
      <c r="F499" s="10" t="s">
        <v>777</v>
      </c>
      <c r="G499" s="10" t="s">
        <v>696</v>
      </c>
      <c r="H499" s="10" t="str" cm="1">
        <f t="array" aca="1" ref="H499" ca="1">IF(INDEX(I499:Z499,$H$1)=0,"",INDEX(I499:Z499,$H$1))</f>
        <v>Category 6</v>
      </c>
      <c r="I499" s="10" t="s">
        <v>286</v>
      </c>
      <c r="J499" s="10" t="s">
        <v>840</v>
      </c>
      <c r="K499" s="27" t="s">
        <v>1532</v>
      </c>
    </row>
    <row r="500" spans="1:11" x14ac:dyDescent="0.35">
      <c r="A500" s="10" t="s">
        <v>1283</v>
      </c>
      <c r="B500" s="255">
        <v>7</v>
      </c>
      <c r="C500" s="10" t="s">
        <v>324</v>
      </c>
      <c r="D500" s="10">
        <v>1</v>
      </c>
      <c r="E500" s="10">
        <v>7</v>
      </c>
      <c r="F500" s="10" t="s">
        <v>592</v>
      </c>
      <c r="G500" s="10" t="s">
        <v>696</v>
      </c>
      <c r="H500" s="10" t="str" cm="1">
        <f t="array" aca="1" ref="H500" ca="1">IF(INDEX(I500:Z500,$H$1)=0,"",INDEX(I500:Z500,$H$1))</f>
        <v>Category 7</v>
      </c>
      <c r="I500" s="10" t="s">
        <v>287</v>
      </c>
      <c r="J500" s="10" t="s">
        <v>841</v>
      </c>
      <c r="K500" s="27" t="s">
        <v>1533</v>
      </c>
    </row>
    <row r="501" spans="1:11" x14ac:dyDescent="0.35">
      <c r="A501" s="10" t="s">
        <v>1283</v>
      </c>
      <c r="B501" s="255">
        <v>7</v>
      </c>
      <c r="C501" s="10" t="s">
        <v>324</v>
      </c>
      <c r="D501" s="10">
        <v>1</v>
      </c>
      <c r="E501" s="10">
        <v>7</v>
      </c>
      <c r="F501" s="10" t="s">
        <v>817</v>
      </c>
      <c r="G501" s="10" t="s">
        <v>696</v>
      </c>
      <c r="H501" s="10" t="str" cm="1">
        <f t="array" aca="1" ref="H501" ca="1">IF(INDEX(I501:Z501,$H$1)=0,"",INDEX(I501:Z501,$H$1))</f>
        <v>Category 8</v>
      </c>
      <c r="I501" s="10" t="s">
        <v>288</v>
      </c>
      <c r="J501" s="10" t="s">
        <v>842</v>
      </c>
      <c r="K501" s="27" t="s">
        <v>1534</v>
      </c>
    </row>
    <row r="502" spans="1:11" x14ac:dyDescent="0.35">
      <c r="A502" s="10" t="s">
        <v>1283</v>
      </c>
      <c r="B502" s="255">
        <v>7</v>
      </c>
      <c r="C502" s="10" t="s">
        <v>324</v>
      </c>
      <c r="D502" s="10">
        <v>1</v>
      </c>
      <c r="E502" s="10">
        <v>7</v>
      </c>
      <c r="F502" s="10" t="s">
        <v>818</v>
      </c>
      <c r="G502" s="10" t="s">
        <v>696</v>
      </c>
      <c r="H502" s="10" t="str" cm="1">
        <f t="array" aca="1" ref="H502" ca="1">IF(INDEX(I502:Z502,$H$1)=0,"",INDEX(I502:Z502,$H$1))</f>
        <v>Category 9</v>
      </c>
      <c r="I502" s="10" t="s">
        <v>289</v>
      </c>
      <c r="J502" s="10" t="s">
        <v>843</v>
      </c>
      <c r="K502" s="27" t="s">
        <v>1535</v>
      </c>
    </row>
    <row r="503" spans="1:11" x14ac:dyDescent="0.35">
      <c r="A503" s="10" t="s">
        <v>1283</v>
      </c>
      <c r="B503" s="255">
        <v>7</v>
      </c>
      <c r="C503" s="10" t="s">
        <v>324</v>
      </c>
      <c r="D503" s="10">
        <v>1</v>
      </c>
      <c r="E503" s="10">
        <v>7</v>
      </c>
      <c r="F503" s="10" t="s">
        <v>820</v>
      </c>
      <c r="G503" s="10" t="s">
        <v>696</v>
      </c>
      <c r="H503" s="10" t="str" cm="1">
        <f t="array" aca="1" ref="H503" ca="1">IF(INDEX(I503:Z503,$H$1)=0,"",INDEX(I503:Z503,$H$1))</f>
        <v>Category 10</v>
      </c>
      <c r="I503" s="10" t="s">
        <v>290</v>
      </c>
      <c r="J503" s="10" t="s">
        <v>844</v>
      </c>
      <c r="K503" s="27" t="s">
        <v>1536</v>
      </c>
    </row>
    <row r="504" spans="1:11" x14ac:dyDescent="0.35">
      <c r="A504" s="10" t="s">
        <v>1283</v>
      </c>
      <c r="B504" s="255">
        <v>7</v>
      </c>
      <c r="C504" s="10" t="s">
        <v>324</v>
      </c>
      <c r="D504" s="10">
        <v>1</v>
      </c>
      <c r="E504" s="10">
        <v>10</v>
      </c>
      <c r="F504" s="10" t="s">
        <v>822</v>
      </c>
      <c r="G504" s="10" t="s">
        <v>696</v>
      </c>
      <c r="H504" s="10" t="str" cm="1">
        <f t="array" aca="1" ref="H504" ca="1">IF(INDEX(I504:Z504,$H$1)=0,"",INDEX(I504:Z504,$H$1))</f>
        <v>Component Count</v>
      </c>
      <c r="I504" s="10" t="s">
        <v>296</v>
      </c>
      <c r="J504" s="10" t="s">
        <v>850</v>
      </c>
      <c r="K504" s="27" t="s">
        <v>1537</v>
      </c>
    </row>
    <row r="505" spans="1:11" x14ac:dyDescent="0.35">
      <c r="A505" s="10" t="s">
        <v>1283</v>
      </c>
      <c r="B505" s="255">
        <v>7</v>
      </c>
      <c r="C505" s="10" t="s">
        <v>324</v>
      </c>
      <c r="D505" s="10">
        <v>1</v>
      </c>
      <c r="E505" s="10">
        <v>10</v>
      </c>
      <c r="F505" s="10" t="s">
        <v>823</v>
      </c>
      <c r="G505" s="10" t="s">
        <v>696</v>
      </c>
      <c r="H505" s="10" t="str" cm="1">
        <f t="array" aca="1" ref="H505" ca="1">IF(INDEX(I505:Z505,$H$1)=0,"",INDEX(I505:Z505,$H$1))</f>
        <v>Emissions (m3 CH4/h)</v>
      </c>
      <c r="I505" s="10" t="s">
        <v>815</v>
      </c>
      <c r="J505" s="10" t="s">
        <v>851</v>
      </c>
      <c r="K505" s="27" t="s">
        <v>1538</v>
      </c>
    </row>
    <row r="506" spans="1:11" x14ac:dyDescent="0.35">
      <c r="A506" s="10" t="s">
        <v>1283</v>
      </c>
      <c r="B506" s="255">
        <v>7</v>
      </c>
      <c r="C506" s="10" t="s">
        <v>324</v>
      </c>
      <c r="D506" s="10">
        <v>1</v>
      </c>
      <c r="E506" s="10">
        <v>10</v>
      </c>
      <c r="F506" s="10" t="s">
        <v>824</v>
      </c>
      <c r="G506" s="10" t="s">
        <v>696</v>
      </c>
      <c r="H506" s="10" t="str" cm="1">
        <f t="array" aca="1" ref="H506" ca="1">IF(INDEX(I506:Z506,$H$1)=0,"",INDEX(I506:Z506,$H$1))</f>
        <v>Component Count</v>
      </c>
      <c r="I506" s="10" t="s">
        <v>296</v>
      </c>
      <c r="J506" s="10" t="s">
        <v>850</v>
      </c>
      <c r="K506" s="27" t="s">
        <v>1537</v>
      </c>
    </row>
    <row r="507" spans="1:11" x14ac:dyDescent="0.35">
      <c r="A507" s="10" t="s">
        <v>1283</v>
      </c>
      <c r="B507" s="255">
        <v>7</v>
      </c>
      <c r="C507" s="10" t="s">
        <v>324</v>
      </c>
      <c r="D507" s="10">
        <v>1</v>
      </c>
      <c r="E507" s="10">
        <v>10</v>
      </c>
      <c r="F507" s="10" t="s">
        <v>825</v>
      </c>
      <c r="G507" s="10" t="s">
        <v>696</v>
      </c>
      <c r="H507" s="10" t="str" cm="1">
        <f t="array" aca="1" ref="H507" ca="1">IF(INDEX(I507:Z507,$H$1)=0,"",INDEX(I507:Z507,$H$1))</f>
        <v>Emissions (m3 CH4/h)</v>
      </c>
      <c r="I507" s="10" t="s">
        <v>815</v>
      </c>
      <c r="J507" s="10" t="s">
        <v>851</v>
      </c>
      <c r="K507" s="27" t="s">
        <v>1538</v>
      </c>
    </row>
    <row r="508" spans="1:11" x14ac:dyDescent="0.35">
      <c r="A508" s="10" t="s">
        <v>1283</v>
      </c>
      <c r="B508" s="255">
        <v>7</v>
      </c>
      <c r="C508" s="10" t="s">
        <v>324</v>
      </c>
      <c r="D508" s="10">
        <v>1</v>
      </c>
      <c r="E508" s="10">
        <v>10</v>
      </c>
      <c r="F508" s="10" t="s">
        <v>826</v>
      </c>
      <c r="G508" s="10" t="s">
        <v>696</v>
      </c>
      <c r="H508" s="10" t="str" cm="1">
        <f t="array" aca="1" ref="H508" ca="1">IF(INDEX(I508:Z508,$H$1)=0,"",INDEX(I508:Z508,$H$1))</f>
        <v>Component Count</v>
      </c>
      <c r="I508" s="10" t="s">
        <v>296</v>
      </c>
      <c r="J508" s="10" t="s">
        <v>850</v>
      </c>
      <c r="K508" s="27" t="s">
        <v>1537</v>
      </c>
    </row>
    <row r="509" spans="1:11" x14ac:dyDescent="0.35">
      <c r="A509" s="10" t="s">
        <v>1283</v>
      </c>
      <c r="B509" s="255">
        <v>7</v>
      </c>
      <c r="C509" s="10" t="s">
        <v>324</v>
      </c>
      <c r="D509" s="10">
        <v>1</v>
      </c>
      <c r="E509" s="10">
        <v>10</v>
      </c>
      <c r="F509" s="10" t="s">
        <v>827</v>
      </c>
      <c r="G509" s="10" t="s">
        <v>696</v>
      </c>
      <c r="H509" s="10" t="str" cm="1">
        <f t="array" aca="1" ref="H509" ca="1">IF(INDEX(I509:Z509,$H$1)=0,"",INDEX(I509:Z509,$H$1))</f>
        <v>Emissions (m3 CH4/h)</v>
      </c>
      <c r="I509" s="10" t="s">
        <v>815</v>
      </c>
      <c r="J509" s="10" t="s">
        <v>851</v>
      </c>
      <c r="K509" s="27" t="s">
        <v>1538</v>
      </c>
    </row>
    <row r="510" spans="1:11" x14ac:dyDescent="0.35">
      <c r="A510" s="10" t="s">
        <v>1283</v>
      </c>
      <c r="B510" s="255">
        <v>7</v>
      </c>
      <c r="C510" s="10" t="s">
        <v>324</v>
      </c>
      <c r="D510" s="10">
        <v>1</v>
      </c>
      <c r="E510" s="10">
        <v>10</v>
      </c>
      <c r="F510" s="10" t="s">
        <v>828</v>
      </c>
      <c r="G510" s="10" t="s">
        <v>696</v>
      </c>
      <c r="H510" s="10" t="str" cm="1">
        <f t="array" aca="1" ref="H510" ca="1">IF(INDEX(I510:Z510,$H$1)=0,"",INDEX(I510:Z510,$H$1))</f>
        <v>Component Count</v>
      </c>
      <c r="I510" s="10" t="s">
        <v>296</v>
      </c>
      <c r="J510" s="10" t="s">
        <v>850</v>
      </c>
      <c r="K510" s="27" t="s">
        <v>1537</v>
      </c>
    </row>
    <row r="511" spans="1:11" x14ac:dyDescent="0.35">
      <c r="A511" s="10" t="s">
        <v>1283</v>
      </c>
      <c r="B511" s="255">
        <v>7</v>
      </c>
      <c r="C511" s="10" t="s">
        <v>324</v>
      </c>
      <c r="D511" s="10">
        <v>1</v>
      </c>
      <c r="E511" s="10">
        <v>10</v>
      </c>
      <c r="F511" s="10" t="s">
        <v>829</v>
      </c>
      <c r="G511" s="10" t="s">
        <v>696</v>
      </c>
      <c r="H511" s="10" t="str" cm="1">
        <f t="array" aca="1" ref="H511" ca="1">IF(INDEX(I511:Z511,$H$1)=0,"",INDEX(I511:Z511,$H$1))</f>
        <v>Emissions (m3 CH4/h)</v>
      </c>
      <c r="I511" s="10" t="s">
        <v>815</v>
      </c>
      <c r="J511" s="10" t="s">
        <v>851</v>
      </c>
      <c r="K511" s="27" t="s">
        <v>1538</v>
      </c>
    </row>
    <row r="512" spans="1:11" x14ac:dyDescent="0.35">
      <c r="A512" s="10" t="s">
        <v>1283</v>
      </c>
      <c r="B512" s="255">
        <v>7</v>
      </c>
      <c r="C512" s="10" t="s">
        <v>324</v>
      </c>
      <c r="D512" s="10">
        <v>1</v>
      </c>
      <c r="E512" s="10">
        <v>10</v>
      </c>
      <c r="F512" s="10" t="s">
        <v>830</v>
      </c>
      <c r="G512" s="10" t="s">
        <v>696</v>
      </c>
      <c r="H512" s="10" t="str" cm="1">
        <f t="array" aca="1" ref="H512" ca="1">IF(INDEX(I512:Z512,$H$1)=0,"",INDEX(I512:Z512,$H$1))</f>
        <v>Component Count</v>
      </c>
      <c r="I512" s="10" t="s">
        <v>296</v>
      </c>
      <c r="J512" s="10" t="s">
        <v>850</v>
      </c>
      <c r="K512" s="27" t="s">
        <v>1537</v>
      </c>
    </row>
    <row r="513" spans="1:11" x14ac:dyDescent="0.35">
      <c r="A513" s="10" t="s">
        <v>1283</v>
      </c>
      <c r="B513" s="255">
        <v>7</v>
      </c>
      <c r="C513" s="10" t="s">
        <v>324</v>
      </c>
      <c r="D513" s="10">
        <v>1</v>
      </c>
      <c r="E513" s="10">
        <v>10</v>
      </c>
      <c r="F513" s="10" t="s">
        <v>831</v>
      </c>
      <c r="G513" s="10" t="s">
        <v>696</v>
      </c>
      <c r="H513" s="10" t="str" cm="1">
        <f t="array" aca="1" ref="H513" ca="1">IF(INDEX(I513:Z513,$H$1)=0,"",INDEX(I513:Z513,$H$1))</f>
        <v>Emissions (m3 CH4/h)</v>
      </c>
      <c r="I513" s="10" t="s">
        <v>815</v>
      </c>
      <c r="J513" s="10" t="s">
        <v>851</v>
      </c>
      <c r="K513" s="27" t="s">
        <v>1538</v>
      </c>
    </row>
    <row r="514" spans="1:11" x14ac:dyDescent="0.35">
      <c r="A514" s="10" t="s">
        <v>1283</v>
      </c>
      <c r="B514" s="255">
        <v>7</v>
      </c>
      <c r="C514" s="10" t="s">
        <v>324</v>
      </c>
      <c r="D514" s="10">
        <v>1</v>
      </c>
      <c r="E514" s="10">
        <v>10</v>
      </c>
      <c r="F514" s="10" t="s">
        <v>711</v>
      </c>
      <c r="G514" s="10" t="s">
        <v>696</v>
      </c>
      <c r="H514" s="10" t="str" cm="1">
        <f t="array" aca="1" ref="H514" ca="1">IF(INDEX(I514:Z514,$H$1)=0,"",INDEX(I514:Z514,$H$1))</f>
        <v>Component Count</v>
      </c>
      <c r="I514" s="10" t="s">
        <v>296</v>
      </c>
      <c r="J514" s="10" t="s">
        <v>850</v>
      </c>
      <c r="K514" s="27" t="s">
        <v>1537</v>
      </c>
    </row>
    <row r="515" spans="1:11" x14ac:dyDescent="0.35">
      <c r="A515" s="10" t="s">
        <v>1283</v>
      </c>
      <c r="B515" s="255">
        <v>7</v>
      </c>
      <c r="C515" s="10" t="s">
        <v>324</v>
      </c>
      <c r="D515" s="10">
        <v>1</v>
      </c>
      <c r="E515" s="10">
        <v>10</v>
      </c>
      <c r="F515" s="10" t="s">
        <v>591</v>
      </c>
      <c r="G515" s="10" t="s">
        <v>696</v>
      </c>
      <c r="H515" s="10" t="str" cm="1">
        <f t="array" aca="1" ref="H515" ca="1">IF(INDEX(I515:Z515,$H$1)=0,"",INDEX(I515:Z515,$H$1))</f>
        <v>Emissions (m3 CH4/h)</v>
      </c>
      <c r="I515" s="10" t="s">
        <v>815</v>
      </c>
      <c r="J515" s="10" t="s">
        <v>851</v>
      </c>
      <c r="K515" s="27" t="s">
        <v>1538</v>
      </c>
    </row>
    <row r="516" spans="1:11" x14ac:dyDescent="0.35">
      <c r="A516" s="10" t="s">
        <v>1283</v>
      </c>
      <c r="B516" s="255">
        <v>7</v>
      </c>
      <c r="C516" s="10" t="s">
        <v>324</v>
      </c>
      <c r="D516" s="10">
        <v>1</v>
      </c>
      <c r="E516" s="10">
        <v>10</v>
      </c>
      <c r="F516" s="10" t="s">
        <v>712</v>
      </c>
      <c r="G516" s="10" t="s">
        <v>696</v>
      </c>
      <c r="H516" s="10" t="str" cm="1">
        <f t="array" aca="1" ref="H516" ca="1">IF(INDEX(I516:Z516,$H$1)=0,"",INDEX(I516:Z516,$H$1))</f>
        <v>Component Count</v>
      </c>
      <c r="I516" s="10" t="s">
        <v>296</v>
      </c>
      <c r="J516" s="10" t="s">
        <v>850</v>
      </c>
      <c r="K516" s="27" t="s">
        <v>1537</v>
      </c>
    </row>
    <row r="517" spans="1:11" x14ac:dyDescent="0.35">
      <c r="A517" s="10" t="s">
        <v>1283</v>
      </c>
      <c r="B517" s="255">
        <v>7</v>
      </c>
      <c r="C517" s="10" t="s">
        <v>324</v>
      </c>
      <c r="D517" s="10">
        <v>1</v>
      </c>
      <c r="E517" s="10">
        <v>10</v>
      </c>
      <c r="F517" s="10" t="s">
        <v>713</v>
      </c>
      <c r="G517" s="10" t="s">
        <v>696</v>
      </c>
      <c r="H517" s="10" t="str" cm="1">
        <f t="array" aca="1" ref="H517" ca="1">IF(INDEX(I517:Z517,$H$1)=0,"",INDEX(I517:Z517,$H$1))</f>
        <v>Emissions (m3 CH4/h)</v>
      </c>
      <c r="I517" s="10" t="s">
        <v>815</v>
      </c>
      <c r="J517" s="10" t="s">
        <v>851</v>
      </c>
      <c r="K517" s="27" t="s">
        <v>1538</v>
      </c>
    </row>
    <row r="518" spans="1:11" x14ac:dyDescent="0.35">
      <c r="A518" s="10" t="s">
        <v>1283</v>
      </c>
      <c r="B518" s="255">
        <v>7</v>
      </c>
      <c r="C518" s="10" t="s">
        <v>324</v>
      </c>
      <c r="D518" s="10">
        <v>1</v>
      </c>
      <c r="E518" s="10">
        <v>10</v>
      </c>
      <c r="F518" s="10" t="s">
        <v>772</v>
      </c>
      <c r="G518" s="10" t="s">
        <v>696</v>
      </c>
      <c r="H518" s="10" t="str" cm="1">
        <f t="array" aca="1" ref="H518" ca="1">IF(INDEX(I518:Z518,$H$1)=0,"",INDEX(I518:Z518,$H$1))</f>
        <v>Component Count</v>
      </c>
      <c r="I518" s="10" t="s">
        <v>296</v>
      </c>
      <c r="J518" s="10" t="s">
        <v>850</v>
      </c>
      <c r="K518" s="27" t="s">
        <v>1537</v>
      </c>
    </row>
    <row r="519" spans="1:11" x14ac:dyDescent="0.35">
      <c r="A519" s="10" t="s">
        <v>1283</v>
      </c>
      <c r="B519" s="255">
        <v>7</v>
      </c>
      <c r="C519" s="10" t="s">
        <v>324</v>
      </c>
      <c r="D519" s="10">
        <v>1</v>
      </c>
      <c r="E519" s="10">
        <v>10</v>
      </c>
      <c r="F519" s="10" t="s">
        <v>773</v>
      </c>
      <c r="G519" s="10" t="s">
        <v>696</v>
      </c>
      <c r="H519" s="10" t="str" cm="1">
        <f t="array" aca="1" ref="H519" ca="1">IF(INDEX(I519:Z519,$H$1)=0,"",INDEX(I519:Z519,$H$1))</f>
        <v>Emissions (m3 CH4/h)</v>
      </c>
      <c r="I519" s="10" t="s">
        <v>815</v>
      </c>
      <c r="J519" s="10" t="s">
        <v>851</v>
      </c>
      <c r="K519" s="27" t="s">
        <v>1538</v>
      </c>
    </row>
    <row r="520" spans="1:11" x14ac:dyDescent="0.35">
      <c r="A520" s="10" t="s">
        <v>1283</v>
      </c>
      <c r="B520" s="255">
        <v>7</v>
      </c>
      <c r="C520" s="10" t="s">
        <v>324</v>
      </c>
      <c r="D520" s="10">
        <v>1</v>
      </c>
      <c r="E520" s="10">
        <v>10</v>
      </c>
      <c r="F520" s="10" t="s">
        <v>771</v>
      </c>
      <c r="G520" s="10" t="s">
        <v>696</v>
      </c>
      <c r="H520" s="10" t="str" cm="1">
        <f t="array" aca="1" ref="H520" ca="1">IF(INDEX(I520:Z520,$H$1)=0,"",INDEX(I520:Z520,$H$1))</f>
        <v>Component Count</v>
      </c>
      <c r="I520" s="10" t="s">
        <v>296</v>
      </c>
      <c r="J520" s="10" t="s">
        <v>850</v>
      </c>
      <c r="K520" s="27" t="s">
        <v>1537</v>
      </c>
    </row>
    <row r="521" spans="1:11" x14ac:dyDescent="0.35">
      <c r="A521" s="10" t="s">
        <v>1283</v>
      </c>
      <c r="B521" s="255">
        <v>7</v>
      </c>
      <c r="C521" s="10" t="s">
        <v>324</v>
      </c>
      <c r="D521" s="10">
        <v>1</v>
      </c>
      <c r="E521" s="10">
        <v>10</v>
      </c>
      <c r="F521" s="10" t="s">
        <v>593</v>
      </c>
      <c r="G521" s="10" t="s">
        <v>696</v>
      </c>
      <c r="H521" s="10" t="str" cm="1">
        <f t="array" aca="1" ref="H521" ca="1">IF(INDEX(I521:Z521,$H$1)=0,"",INDEX(I521:Z521,$H$1))</f>
        <v>Emissions (m3 CH4/h)</v>
      </c>
      <c r="I521" s="10" t="s">
        <v>815</v>
      </c>
      <c r="J521" s="10" t="s">
        <v>851</v>
      </c>
      <c r="K521" s="27" t="s">
        <v>1538</v>
      </c>
    </row>
    <row r="522" spans="1:11" x14ac:dyDescent="0.35">
      <c r="A522" s="10" t="s">
        <v>1283</v>
      </c>
      <c r="B522" s="255">
        <v>7</v>
      </c>
      <c r="C522" s="10" t="s">
        <v>324</v>
      </c>
      <c r="D522" s="10">
        <v>1</v>
      </c>
      <c r="E522" s="10">
        <v>10</v>
      </c>
      <c r="F522" s="10" t="s">
        <v>594</v>
      </c>
      <c r="G522" s="10" t="s">
        <v>696</v>
      </c>
      <c r="H522" s="10" t="str" cm="1">
        <f t="array" aca="1" ref="H522" ca="1">IF(INDEX(I522:Z522,$H$1)=0,"",INDEX(I522:Z522,$H$1))</f>
        <v>Component Count</v>
      </c>
      <c r="I522" s="10" t="s">
        <v>296</v>
      </c>
      <c r="J522" s="10" t="s">
        <v>850</v>
      </c>
      <c r="K522" s="27" t="s">
        <v>1537</v>
      </c>
    </row>
    <row r="523" spans="1:11" x14ac:dyDescent="0.35">
      <c r="A523" s="10" t="s">
        <v>1283</v>
      </c>
      <c r="B523" s="255">
        <v>7</v>
      </c>
      <c r="C523" s="10" t="s">
        <v>324</v>
      </c>
      <c r="D523" s="10">
        <v>1</v>
      </c>
      <c r="E523" s="10">
        <v>10</v>
      </c>
      <c r="F523" s="10" t="s">
        <v>775</v>
      </c>
      <c r="G523" s="10" t="s">
        <v>696</v>
      </c>
      <c r="H523" s="10" t="str" cm="1">
        <f t="array" aca="1" ref="H523" ca="1">IF(INDEX(I523:Z523,$H$1)=0,"",INDEX(I523:Z523,$H$1))</f>
        <v>Emissions (m3 CH4/h)</v>
      </c>
      <c r="I523" s="10" t="s">
        <v>815</v>
      </c>
      <c r="J523" s="10" t="s">
        <v>851</v>
      </c>
      <c r="K523" s="27" t="s">
        <v>1538</v>
      </c>
    </row>
    <row r="524" spans="1:11" x14ac:dyDescent="0.35">
      <c r="A524" s="10" t="s">
        <v>1283</v>
      </c>
      <c r="B524" s="255">
        <v>7</v>
      </c>
      <c r="C524" s="10" t="s">
        <v>324</v>
      </c>
      <c r="D524" s="10">
        <v>1</v>
      </c>
      <c r="E524" s="10">
        <v>10</v>
      </c>
      <c r="F524" s="10" t="s">
        <v>777</v>
      </c>
      <c r="G524" s="10" t="s">
        <v>696</v>
      </c>
      <c r="H524" s="10" t="str" cm="1">
        <f t="array" aca="1" ref="H524" ca="1">IF(INDEX(I524:Z524,$H$1)=0,"",INDEX(I524:Z524,$H$1))</f>
        <v>Component Count</v>
      </c>
      <c r="I524" s="10" t="s">
        <v>296</v>
      </c>
      <c r="J524" s="10" t="s">
        <v>850</v>
      </c>
      <c r="K524" s="27" t="s">
        <v>1537</v>
      </c>
    </row>
    <row r="525" spans="1:11" x14ac:dyDescent="0.35">
      <c r="A525" s="10" t="s">
        <v>1283</v>
      </c>
      <c r="B525" s="255">
        <v>7</v>
      </c>
      <c r="C525" s="10" t="s">
        <v>324</v>
      </c>
      <c r="D525" s="10">
        <v>1</v>
      </c>
      <c r="E525" s="10">
        <v>10</v>
      </c>
      <c r="F525" s="10" t="s">
        <v>718</v>
      </c>
      <c r="G525" s="10" t="s">
        <v>696</v>
      </c>
      <c r="H525" s="10" t="str" cm="1">
        <f t="array" aca="1" ref="H525" ca="1">IF(INDEX(I525:Z525,$H$1)=0,"",INDEX(I525:Z525,$H$1))</f>
        <v>Emissions (m3 CH4/h)</v>
      </c>
      <c r="I525" s="10" t="s">
        <v>815</v>
      </c>
      <c r="J525" s="10" t="s">
        <v>851</v>
      </c>
      <c r="K525" s="27" t="s">
        <v>1538</v>
      </c>
    </row>
    <row r="526" spans="1:11" x14ac:dyDescent="0.35">
      <c r="A526" s="10" t="s">
        <v>1283</v>
      </c>
      <c r="B526" s="255">
        <v>7</v>
      </c>
      <c r="C526" s="10" t="s">
        <v>324</v>
      </c>
      <c r="D526" s="10">
        <v>1</v>
      </c>
      <c r="E526" s="10">
        <v>10</v>
      </c>
      <c r="F526" s="10" t="s">
        <v>592</v>
      </c>
      <c r="G526" s="10" t="s">
        <v>696</v>
      </c>
      <c r="H526" s="10" t="str" cm="1">
        <f t="array" aca="1" ref="H526" ca="1">IF(INDEX(I526:Z526,$H$1)=0,"",INDEX(I526:Z526,$H$1))</f>
        <v>Component Count</v>
      </c>
      <c r="I526" s="10" t="s">
        <v>296</v>
      </c>
      <c r="J526" s="10" t="s">
        <v>850</v>
      </c>
      <c r="K526" s="27" t="s">
        <v>1537</v>
      </c>
    </row>
    <row r="527" spans="1:11" x14ac:dyDescent="0.35">
      <c r="A527" s="10" t="s">
        <v>1283</v>
      </c>
      <c r="B527" s="255">
        <v>7</v>
      </c>
      <c r="C527" s="10" t="s">
        <v>324</v>
      </c>
      <c r="D527" s="10">
        <v>1</v>
      </c>
      <c r="E527" s="10">
        <v>10</v>
      </c>
      <c r="F527" s="10" t="s">
        <v>816</v>
      </c>
      <c r="G527" s="10" t="s">
        <v>696</v>
      </c>
      <c r="H527" s="10" t="str" cm="1">
        <f t="array" aca="1" ref="H527" ca="1">IF(INDEX(I527:Z527,$H$1)=0,"",INDEX(I527:Z527,$H$1))</f>
        <v>Emissions (m3 CH4/h)</v>
      </c>
      <c r="I527" s="10" t="s">
        <v>815</v>
      </c>
      <c r="J527" s="10" t="s">
        <v>851</v>
      </c>
      <c r="K527" s="27" t="s">
        <v>1538</v>
      </c>
    </row>
    <row r="528" spans="1:11" x14ac:dyDescent="0.35">
      <c r="A528" s="10" t="s">
        <v>1283</v>
      </c>
      <c r="B528" s="255">
        <v>7</v>
      </c>
      <c r="C528" s="10" t="s">
        <v>324</v>
      </c>
      <c r="D528" s="10">
        <v>1</v>
      </c>
      <c r="E528" s="10">
        <v>10</v>
      </c>
      <c r="F528" s="10" t="s">
        <v>817</v>
      </c>
      <c r="G528" s="10" t="s">
        <v>696</v>
      </c>
      <c r="H528" s="10" t="str" cm="1">
        <f t="array" aca="1" ref="H528" ca="1">IF(INDEX(I528:Z528,$H$1)=0,"",INDEX(I528:Z528,$H$1))</f>
        <v>Component Count</v>
      </c>
      <c r="I528" s="10" t="s">
        <v>296</v>
      </c>
      <c r="J528" s="10" t="s">
        <v>850</v>
      </c>
      <c r="K528" s="27" t="s">
        <v>1537</v>
      </c>
    </row>
    <row r="529" spans="1:11" x14ac:dyDescent="0.35">
      <c r="A529" s="10" t="s">
        <v>1283</v>
      </c>
      <c r="B529" s="255">
        <v>7</v>
      </c>
      <c r="C529" s="10" t="s">
        <v>324</v>
      </c>
      <c r="D529" s="10">
        <v>1</v>
      </c>
      <c r="E529" s="10">
        <v>10</v>
      </c>
      <c r="F529" s="10" t="s">
        <v>390</v>
      </c>
      <c r="G529" s="10" t="s">
        <v>696</v>
      </c>
      <c r="H529" s="10" t="str" cm="1">
        <f t="array" aca="1" ref="H529" ca="1">IF(INDEX(I529:Z529,$H$1)=0,"",INDEX(I529:Z529,$H$1))</f>
        <v>Emissions (m3 CH4/h)</v>
      </c>
      <c r="I529" s="10" t="s">
        <v>815</v>
      </c>
      <c r="J529" s="10" t="s">
        <v>851</v>
      </c>
      <c r="K529" s="27" t="s">
        <v>1538</v>
      </c>
    </row>
    <row r="530" spans="1:11" x14ac:dyDescent="0.35">
      <c r="A530" s="10" t="s">
        <v>1283</v>
      </c>
      <c r="B530" s="255">
        <v>7</v>
      </c>
      <c r="C530" s="10" t="s">
        <v>324</v>
      </c>
      <c r="D530" s="10">
        <v>1</v>
      </c>
      <c r="E530" s="10">
        <v>10</v>
      </c>
      <c r="F530" s="10" t="s">
        <v>818</v>
      </c>
      <c r="G530" s="10" t="s">
        <v>696</v>
      </c>
      <c r="H530" s="10" t="str" cm="1">
        <f t="array" aca="1" ref="H530" ca="1">IF(INDEX(I530:Z530,$H$1)=0,"",INDEX(I530:Z530,$H$1))</f>
        <v>Component Count</v>
      </c>
      <c r="I530" s="10" t="s">
        <v>296</v>
      </c>
      <c r="J530" s="10" t="s">
        <v>850</v>
      </c>
      <c r="K530" s="27" t="s">
        <v>1537</v>
      </c>
    </row>
    <row r="531" spans="1:11" x14ac:dyDescent="0.35">
      <c r="A531" s="10" t="s">
        <v>1283</v>
      </c>
      <c r="B531" s="255">
        <v>7</v>
      </c>
      <c r="C531" s="10" t="s">
        <v>324</v>
      </c>
      <c r="D531" s="10">
        <v>1</v>
      </c>
      <c r="E531" s="10">
        <v>10</v>
      </c>
      <c r="F531" s="10" t="s">
        <v>819</v>
      </c>
      <c r="G531" s="10" t="s">
        <v>696</v>
      </c>
      <c r="H531" s="10" t="str" cm="1">
        <f t="array" aca="1" ref="H531" ca="1">IF(INDEX(I531:Z531,$H$1)=0,"",INDEX(I531:Z531,$H$1))</f>
        <v>Emissions (m3 CH4/h)</v>
      </c>
      <c r="I531" s="10" t="s">
        <v>815</v>
      </c>
      <c r="J531" s="10" t="s">
        <v>851</v>
      </c>
      <c r="K531" s="27" t="s">
        <v>1538</v>
      </c>
    </row>
    <row r="532" spans="1:11" x14ac:dyDescent="0.35">
      <c r="A532" s="10" t="s">
        <v>1283</v>
      </c>
      <c r="B532" s="255">
        <v>7</v>
      </c>
      <c r="C532" s="10" t="s">
        <v>324</v>
      </c>
      <c r="D532" s="10">
        <v>1</v>
      </c>
      <c r="E532" s="10">
        <v>10</v>
      </c>
      <c r="F532" s="10" t="s">
        <v>820</v>
      </c>
      <c r="G532" s="10" t="s">
        <v>696</v>
      </c>
      <c r="H532" s="10" t="str" cm="1">
        <f t="array" aca="1" ref="H532" ca="1">IF(INDEX(I532:Z532,$H$1)=0,"",INDEX(I532:Z532,$H$1))</f>
        <v>Component Count</v>
      </c>
      <c r="I532" s="10" t="s">
        <v>296</v>
      </c>
      <c r="J532" s="10" t="s">
        <v>850</v>
      </c>
      <c r="K532" s="27" t="s">
        <v>1537</v>
      </c>
    </row>
    <row r="533" spans="1:11" x14ac:dyDescent="0.35">
      <c r="A533" s="10" t="s">
        <v>1283</v>
      </c>
      <c r="B533" s="255">
        <v>7</v>
      </c>
      <c r="C533" s="10" t="s">
        <v>324</v>
      </c>
      <c r="D533" s="10">
        <v>1</v>
      </c>
      <c r="E533" s="10">
        <v>10</v>
      </c>
      <c r="F533" s="10" t="s">
        <v>821</v>
      </c>
      <c r="G533" s="10" t="s">
        <v>696</v>
      </c>
      <c r="H533" s="10" t="str" cm="1">
        <f t="array" aca="1" ref="H533" ca="1">IF(INDEX(I533:Z533,$H$1)=0,"",INDEX(I533:Z533,$H$1))</f>
        <v>Emissions (m3 CH4/h)</v>
      </c>
      <c r="I533" s="10" t="s">
        <v>815</v>
      </c>
      <c r="J533" s="10" t="s">
        <v>851</v>
      </c>
      <c r="K533" s="27" t="s">
        <v>1538</v>
      </c>
    </row>
    <row r="534" spans="1:11" x14ac:dyDescent="0.35">
      <c r="A534" s="10" t="s">
        <v>1283</v>
      </c>
      <c r="B534" s="255">
        <v>7</v>
      </c>
      <c r="C534" s="10" t="s">
        <v>324</v>
      </c>
      <c r="D534" s="10">
        <v>1</v>
      </c>
      <c r="E534" s="10">
        <v>11</v>
      </c>
      <c r="F534" s="10" t="s">
        <v>690</v>
      </c>
      <c r="G534" s="10" t="s">
        <v>695</v>
      </c>
      <c r="H534" s="10" t="str" cm="1">
        <f t="array" aca="1" ref="H534" ca="1">IF(INDEX(I534:Z534,$H$1)=0,"",INDEX(I534:Z534,$H$1))</f>
        <v>Valves</v>
      </c>
      <c r="I534" s="17" t="s">
        <v>153</v>
      </c>
      <c r="J534" s="17" t="s">
        <v>852</v>
      </c>
      <c r="K534" s="27" t="s">
        <v>1539</v>
      </c>
    </row>
    <row r="535" spans="1:11" x14ac:dyDescent="0.35">
      <c r="A535" s="10" t="s">
        <v>1283</v>
      </c>
      <c r="B535" s="255">
        <v>7</v>
      </c>
      <c r="C535" s="10" t="s">
        <v>324</v>
      </c>
      <c r="D535" s="10">
        <v>1</v>
      </c>
      <c r="E535" s="10">
        <v>11</v>
      </c>
      <c r="F535" s="10" t="s">
        <v>38</v>
      </c>
      <c r="G535" s="10" t="s">
        <v>695</v>
      </c>
      <c r="H535" s="10" t="str" cm="1">
        <f t="array" aca="1" ref="H535" ca="1">IF(INDEX(I535:Z535,$H$1)=0,"",INDEX(I535:Z535,$H$1))</f>
        <v>Gas</v>
      </c>
      <c r="I535" s="17" t="s">
        <v>154</v>
      </c>
      <c r="J535" s="17" t="s">
        <v>864</v>
      </c>
      <c r="K535" s="27" t="s">
        <v>154</v>
      </c>
    </row>
    <row r="536" spans="1:11" x14ac:dyDescent="0.35">
      <c r="A536" s="10" t="s">
        <v>1283</v>
      </c>
      <c r="B536" s="255">
        <v>7</v>
      </c>
      <c r="C536" s="10" t="s">
        <v>324</v>
      </c>
      <c r="D536" s="10">
        <v>1</v>
      </c>
      <c r="E536" s="10">
        <v>12</v>
      </c>
      <c r="F536" s="10" t="s">
        <v>690</v>
      </c>
      <c r="G536" s="10" t="s">
        <v>695</v>
      </c>
      <c r="H536" s="10" t="str" cm="1">
        <f t="array" aca="1" ref="H536" ca="1">IF(INDEX(I536:Z536,$H$1)=0,"",INDEX(I536:Z536,$H$1))</f>
        <v>Valves</v>
      </c>
      <c r="I536" s="17" t="s">
        <v>153</v>
      </c>
      <c r="J536" s="17" t="s">
        <v>852</v>
      </c>
      <c r="K536" s="27" t="s">
        <v>1539</v>
      </c>
    </row>
    <row r="537" spans="1:11" x14ac:dyDescent="0.35">
      <c r="A537" s="10" t="s">
        <v>1283</v>
      </c>
      <c r="B537" s="255">
        <v>7</v>
      </c>
      <c r="C537" s="10" t="s">
        <v>324</v>
      </c>
      <c r="D537" s="10">
        <v>1</v>
      </c>
      <c r="E537" s="10">
        <v>12</v>
      </c>
      <c r="F537" s="10" t="s">
        <v>38</v>
      </c>
      <c r="G537" s="10" t="s">
        <v>695</v>
      </c>
      <c r="H537" s="10" t="str" cm="1">
        <f t="array" aca="1" ref="H537" ca="1">IF(INDEX(I537:Z537,$H$1)=0,"",INDEX(I537:Z537,$H$1))</f>
        <v>Light Liquid</v>
      </c>
      <c r="I537" s="17" t="s">
        <v>155</v>
      </c>
      <c r="J537" s="17" t="s">
        <v>865</v>
      </c>
      <c r="K537" s="27" t="s">
        <v>1540</v>
      </c>
    </row>
    <row r="538" spans="1:11" x14ac:dyDescent="0.35">
      <c r="A538" s="10" t="s">
        <v>1283</v>
      </c>
      <c r="B538" s="255">
        <v>7</v>
      </c>
      <c r="C538" s="10" t="s">
        <v>324</v>
      </c>
      <c r="D538" s="10">
        <v>1</v>
      </c>
      <c r="E538" s="10">
        <v>13</v>
      </c>
      <c r="F538" s="10" t="s">
        <v>690</v>
      </c>
      <c r="G538" s="10" t="s">
        <v>695</v>
      </c>
      <c r="H538" s="10" t="str" cm="1">
        <f t="array" aca="1" ref="H538" ca="1">IF(INDEX(I538:Z538,$H$1)=0,"",INDEX(I538:Z538,$H$1))</f>
        <v>Valves</v>
      </c>
      <c r="I538" s="17" t="s">
        <v>153</v>
      </c>
      <c r="J538" s="17" t="s">
        <v>852</v>
      </c>
      <c r="K538" s="27" t="s">
        <v>1539</v>
      </c>
    </row>
    <row r="539" spans="1:11" x14ac:dyDescent="0.35">
      <c r="A539" s="10" t="s">
        <v>1283</v>
      </c>
      <c r="B539" s="255">
        <v>7</v>
      </c>
      <c r="C539" s="10" t="s">
        <v>324</v>
      </c>
      <c r="D539" s="10">
        <v>1</v>
      </c>
      <c r="E539" s="10">
        <v>13</v>
      </c>
      <c r="F539" s="10" t="s">
        <v>38</v>
      </c>
      <c r="G539" s="10" t="s">
        <v>695</v>
      </c>
      <c r="H539" s="10" t="str" cm="1">
        <f t="array" aca="1" ref="H539" ca="1">IF(INDEX(I539:Z539,$H$1)=0,"",INDEX(I539:Z539,$H$1))</f>
        <v>Heavy Liquid</v>
      </c>
      <c r="I539" s="17" t="s">
        <v>156</v>
      </c>
      <c r="J539" s="17" t="s">
        <v>866</v>
      </c>
      <c r="K539" s="27" t="s">
        <v>1541</v>
      </c>
    </row>
    <row r="540" spans="1:11" x14ac:dyDescent="0.35">
      <c r="A540" s="10" t="s">
        <v>1283</v>
      </c>
      <c r="B540" s="255">
        <v>7</v>
      </c>
      <c r="C540" s="10" t="s">
        <v>324</v>
      </c>
      <c r="D540" s="10">
        <v>1</v>
      </c>
      <c r="E540" s="10">
        <v>14</v>
      </c>
      <c r="F540" s="10" t="s">
        <v>690</v>
      </c>
      <c r="G540" s="10" t="s">
        <v>695</v>
      </c>
      <c r="H540" s="10" t="str" cm="1">
        <f t="array" aca="1" ref="H540" ca="1">IF(INDEX(I540:Z540,$H$1)=0,"",INDEX(I540:Z540,$H$1))</f>
        <v>Valves (Block)</v>
      </c>
      <c r="I540" s="17" t="s">
        <v>221</v>
      </c>
      <c r="J540" s="17" t="s">
        <v>853</v>
      </c>
      <c r="K540" s="27" t="s">
        <v>1542</v>
      </c>
    </row>
    <row r="541" spans="1:11" x14ac:dyDescent="0.35">
      <c r="A541" s="10" t="s">
        <v>1283</v>
      </c>
      <c r="B541" s="255">
        <v>7</v>
      </c>
      <c r="C541" s="10" t="s">
        <v>324</v>
      </c>
      <c r="D541" s="10">
        <v>1</v>
      </c>
      <c r="E541" s="10">
        <v>14</v>
      </c>
      <c r="F541" s="10" t="s">
        <v>38</v>
      </c>
      <c r="G541" s="10" t="s">
        <v>695</v>
      </c>
      <c r="H541" s="10" t="str" cm="1">
        <f t="array" aca="1" ref="H541" ca="1">IF(INDEX(I541:Z541,$H$1)=0,"",INDEX(I541:Z541,$H$1))</f>
        <v>Gas</v>
      </c>
      <c r="I541" s="17" t="s">
        <v>154</v>
      </c>
      <c r="J541" s="17" t="s">
        <v>864</v>
      </c>
      <c r="K541" s="27" t="s">
        <v>154</v>
      </c>
    </row>
    <row r="542" spans="1:11" x14ac:dyDescent="0.35">
      <c r="A542" s="10" t="s">
        <v>1283</v>
      </c>
      <c r="B542" s="255">
        <v>7</v>
      </c>
      <c r="C542" s="10" t="s">
        <v>324</v>
      </c>
      <c r="D542" s="10">
        <v>1</v>
      </c>
      <c r="E542" s="10">
        <v>15</v>
      </c>
      <c r="F542" s="10" t="s">
        <v>690</v>
      </c>
      <c r="G542" s="10" t="s">
        <v>695</v>
      </c>
      <c r="H542" s="10" t="str" cm="1">
        <f t="array" aca="1" ref="H542" ca="1">IF(INDEX(I542:Z542,$H$1)=0,"",INDEX(I542:Z542,$H$1))</f>
        <v>Valves (Control)</v>
      </c>
      <c r="I542" s="17" t="s">
        <v>222</v>
      </c>
      <c r="J542" s="17" t="s">
        <v>854</v>
      </c>
      <c r="K542" s="27" t="s">
        <v>1543</v>
      </c>
    </row>
    <row r="543" spans="1:11" x14ac:dyDescent="0.35">
      <c r="A543" s="10" t="s">
        <v>1283</v>
      </c>
      <c r="B543" s="255">
        <v>7</v>
      </c>
      <c r="C543" s="10" t="s">
        <v>324</v>
      </c>
      <c r="D543" s="10">
        <v>1</v>
      </c>
      <c r="E543" s="10">
        <v>15</v>
      </c>
      <c r="F543" s="10" t="s">
        <v>38</v>
      </c>
      <c r="G543" s="10" t="s">
        <v>695</v>
      </c>
      <c r="H543" s="10" t="str" cm="1">
        <f t="array" aca="1" ref="H543" ca="1">IF(INDEX(I543:Z543,$H$1)=0,"",INDEX(I543:Z543,$H$1))</f>
        <v>Gas</v>
      </c>
      <c r="I543" s="17" t="s">
        <v>154</v>
      </c>
      <c r="J543" s="17" t="s">
        <v>864</v>
      </c>
      <c r="K543" s="27" t="s">
        <v>154</v>
      </c>
    </row>
    <row r="544" spans="1:11" x14ac:dyDescent="0.35">
      <c r="A544" s="10" t="s">
        <v>1283</v>
      </c>
      <c r="B544" s="255">
        <v>7</v>
      </c>
      <c r="C544" s="10" t="s">
        <v>324</v>
      </c>
      <c r="D544" s="10">
        <v>1</v>
      </c>
      <c r="E544" s="10">
        <v>16</v>
      </c>
      <c r="F544" s="10" t="s">
        <v>690</v>
      </c>
      <c r="G544" s="10" t="s">
        <v>695</v>
      </c>
      <c r="H544" s="10" t="str" cm="1">
        <f t="array" aca="1" ref="H544" ca="1">IF(INDEX(I544:Z544,$H$1)=0,"",INDEX(I544:Z544,$H$1))</f>
        <v>Pump Seals</v>
      </c>
      <c r="I544" s="17" t="s">
        <v>157</v>
      </c>
      <c r="J544" s="17" t="s">
        <v>855</v>
      </c>
      <c r="K544" s="27" t="s">
        <v>1544</v>
      </c>
    </row>
    <row r="545" spans="1:11" x14ac:dyDescent="0.35">
      <c r="A545" s="10" t="s">
        <v>1283</v>
      </c>
      <c r="B545" s="255">
        <v>7</v>
      </c>
      <c r="C545" s="10" t="s">
        <v>324</v>
      </c>
      <c r="D545" s="10">
        <v>1</v>
      </c>
      <c r="E545" s="10">
        <v>16</v>
      </c>
      <c r="F545" s="10" t="s">
        <v>38</v>
      </c>
      <c r="G545" s="10" t="s">
        <v>695</v>
      </c>
      <c r="H545" s="10" t="str" cm="1">
        <f t="array" aca="1" ref="H545" ca="1">IF(INDEX(I545:Z545,$H$1)=0,"",INDEX(I545:Z545,$H$1))</f>
        <v>Light Liquid</v>
      </c>
      <c r="I545" s="17" t="s">
        <v>155</v>
      </c>
      <c r="J545" s="17" t="s">
        <v>865</v>
      </c>
      <c r="K545" s="27" t="s">
        <v>1540</v>
      </c>
    </row>
    <row r="546" spans="1:11" x14ac:dyDescent="0.35">
      <c r="A546" s="10" t="s">
        <v>1283</v>
      </c>
      <c r="B546" s="255">
        <v>7</v>
      </c>
      <c r="C546" s="10" t="s">
        <v>324</v>
      </c>
      <c r="D546" s="10">
        <v>1</v>
      </c>
      <c r="E546" s="10">
        <v>17</v>
      </c>
      <c r="F546" s="10" t="s">
        <v>690</v>
      </c>
      <c r="G546" s="10" t="s">
        <v>695</v>
      </c>
      <c r="H546" s="10" t="str" cm="1">
        <f t="array" aca="1" ref="H546" ca="1">IF(INDEX(I546:Z546,$H$1)=0,"",INDEX(I546:Z546,$H$1))</f>
        <v>Pump Seals</v>
      </c>
      <c r="I546" s="17" t="s">
        <v>157</v>
      </c>
      <c r="J546" s="17" t="s">
        <v>855</v>
      </c>
      <c r="K546" s="27" t="s">
        <v>1544</v>
      </c>
    </row>
    <row r="547" spans="1:11" x14ac:dyDescent="0.35">
      <c r="A547" s="10" t="s">
        <v>1283</v>
      </c>
      <c r="B547" s="255">
        <v>7</v>
      </c>
      <c r="C547" s="10" t="s">
        <v>324</v>
      </c>
      <c r="D547" s="10">
        <v>1</v>
      </c>
      <c r="E547" s="10">
        <v>17</v>
      </c>
      <c r="F547" s="10" t="s">
        <v>38</v>
      </c>
      <c r="G547" s="10" t="s">
        <v>695</v>
      </c>
      <c r="H547" s="10" t="str" cm="1">
        <f t="array" aca="1" ref="H547" ca="1">IF(INDEX(I547:Z547,$H$1)=0,"",INDEX(I547:Z547,$H$1))</f>
        <v>Heavy Liquid</v>
      </c>
      <c r="I547" s="17" t="s">
        <v>156</v>
      </c>
      <c r="J547" s="17" t="s">
        <v>866</v>
      </c>
      <c r="K547" s="27" t="s">
        <v>1541</v>
      </c>
    </row>
    <row r="548" spans="1:11" x14ac:dyDescent="0.35">
      <c r="A548" s="10" t="s">
        <v>1283</v>
      </c>
      <c r="B548" s="255">
        <v>7</v>
      </c>
      <c r="C548" s="10" t="s">
        <v>324</v>
      </c>
      <c r="D548" s="10">
        <v>1</v>
      </c>
      <c r="E548" s="10">
        <v>18</v>
      </c>
      <c r="F548" s="10" t="s">
        <v>690</v>
      </c>
      <c r="G548" s="10" t="s">
        <v>695</v>
      </c>
      <c r="H548" s="10" t="str" cm="1">
        <f t="array" aca="1" ref="H548" ca="1">IF(INDEX(I548:Z548,$H$1)=0,"",INDEX(I548:Z548,$H$1))</f>
        <v>Compressor Seals (Reciprocating - Operating)</v>
      </c>
      <c r="I548" s="17" t="s">
        <v>275</v>
      </c>
      <c r="J548" s="17" t="s">
        <v>1216</v>
      </c>
      <c r="K548" s="27" t="s">
        <v>1545</v>
      </c>
    </row>
    <row r="549" spans="1:11" x14ac:dyDescent="0.35">
      <c r="A549" s="10" t="s">
        <v>1283</v>
      </c>
      <c r="B549" s="255">
        <v>7</v>
      </c>
      <c r="C549" s="10" t="s">
        <v>324</v>
      </c>
      <c r="D549" s="10">
        <v>1</v>
      </c>
      <c r="E549" s="10">
        <v>18</v>
      </c>
      <c r="F549" s="10" t="s">
        <v>38</v>
      </c>
      <c r="G549" s="10" t="s">
        <v>695</v>
      </c>
      <c r="H549" s="10" t="str" cm="1">
        <f t="array" aca="1" ref="H549" ca="1">IF(INDEX(I549:Z549,$H$1)=0,"",INDEX(I549:Z549,$H$1))</f>
        <v>Gas</v>
      </c>
      <c r="I549" s="17" t="s">
        <v>154</v>
      </c>
      <c r="J549" s="17" t="s">
        <v>864</v>
      </c>
      <c r="K549" s="27" t="s">
        <v>154</v>
      </c>
    </row>
    <row r="550" spans="1:11" x14ac:dyDescent="0.35">
      <c r="A550" s="10" t="s">
        <v>1283</v>
      </c>
      <c r="B550" s="255">
        <v>7</v>
      </c>
      <c r="C550" s="10" t="s">
        <v>324</v>
      </c>
      <c r="D550" s="10">
        <v>1</v>
      </c>
      <c r="E550" s="10">
        <v>19</v>
      </c>
      <c r="F550" s="10" t="s">
        <v>690</v>
      </c>
      <c r="G550" s="10" t="s">
        <v>695</v>
      </c>
      <c r="H550" s="10" t="str" cm="1">
        <f t="array" aca="1" ref="H550" ca="1">IF(INDEX(I550:Z550,$H$1)=0,"",INDEX(I550:Z550,$H$1))</f>
        <v>Compressor Seals (Reciprocating - Standby &amp; Pressurized)</v>
      </c>
      <c r="I550" s="17" t="s">
        <v>276</v>
      </c>
      <c r="J550" s="17" t="s">
        <v>1217</v>
      </c>
      <c r="K550" s="27" t="s">
        <v>1546</v>
      </c>
    </row>
    <row r="551" spans="1:11" x14ac:dyDescent="0.35">
      <c r="A551" s="10" t="s">
        <v>1283</v>
      </c>
      <c r="B551" s="255">
        <v>7</v>
      </c>
      <c r="C551" s="10" t="s">
        <v>324</v>
      </c>
      <c r="D551" s="10">
        <v>1</v>
      </c>
      <c r="E551" s="10">
        <v>19</v>
      </c>
      <c r="F551" s="10" t="s">
        <v>38</v>
      </c>
      <c r="G551" s="10" t="s">
        <v>695</v>
      </c>
      <c r="H551" s="10" t="str" cm="1">
        <f t="array" aca="1" ref="H551" ca="1">IF(INDEX(I551:Z551,$H$1)=0,"",INDEX(I551:Z551,$H$1))</f>
        <v>Gas</v>
      </c>
      <c r="I551" s="17" t="s">
        <v>154</v>
      </c>
      <c r="J551" s="17" t="s">
        <v>864</v>
      </c>
      <c r="K551" s="27" t="s">
        <v>154</v>
      </c>
    </row>
    <row r="552" spans="1:11" x14ac:dyDescent="0.35">
      <c r="A552" s="10" t="s">
        <v>1283</v>
      </c>
      <c r="B552" s="255">
        <v>7</v>
      </c>
      <c r="C552" s="10" t="s">
        <v>324</v>
      </c>
      <c r="D552" s="10">
        <v>1</v>
      </c>
      <c r="E552" s="10">
        <v>20</v>
      </c>
      <c r="F552" s="10" t="s">
        <v>690</v>
      </c>
      <c r="G552" s="10" t="s">
        <v>695</v>
      </c>
      <c r="H552" s="10" t="str" cm="1">
        <f t="array" aca="1" ref="H552" ca="1">IF(INDEX(I552:Z552,$H$1)=0,"",INDEX(I552:Z552,$H$1))</f>
        <v>Compressor Seals (Reciprocating - Depressurized)</v>
      </c>
      <c r="I552" s="17" t="s">
        <v>277</v>
      </c>
      <c r="J552" s="17" t="s">
        <v>1215</v>
      </c>
      <c r="K552" s="27" t="s">
        <v>1547</v>
      </c>
    </row>
    <row r="553" spans="1:11" x14ac:dyDescent="0.35">
      <c r="A553" s="10" t="s">
        <v>1283</v>
      </c>
      <c r="B553" s="255">
        <v>7</v>
      </c>
      <c r="C553" s="10" t="s">
        <v>324</v>
      </c>
      <c r="D553" s="10">
        <v>1</v>
      </c>
      <c r="E553" s="10">
        <v>20</v>
      </c>
      <c r="F553" s="10" t="s">
        <v>38</v>
      </c>
      <c r="G553" s="10" t="s">
        <v>695</v>
      </c>
      <c r="H553" s="10" t="str" cm="1">
        <f t="array" aca="1" ref="H553" ca="1">IF(INDEX(I553:Z553,$H$1)=0,"",INDEX(I553:Z553,$H$1))</f>
        <v>Gas</v>
      </c>
      <c r="I553" s="17" t="s">
        <v>154</v>
      </c>
      <c r="J553" s="17" t="s">
        <v>864</v>
      </c>
      <c r="K553" s="27" t="s">
        <v>154</v>
      </c>
    </row>
    <row r="554" spans="1:11" x14ac:dyDescent="0.35">
      <c r="A554" s="10" t="s">
        <v>1283</v>
      </c>
      <c r="B554" s="255">
        <v>7</v>
      </c>
      <c r="C554" s="10" t="s">
        <v>324</v>
      </c>
      <c r="D554" s="10">
        <v>1</v>
      </c>
      <c r="E554" s="10">
        <v>21</v>
      </c>
      <c r="F554" s="10" t="s">
        <v>690</v>
      </c>
      <c r="G554" s="10" t="s">
        <v>695</v>
      </c>
      <c r="H554" s="10" t="str" cm="1">
        <f t="array" aca="1" ref="H554" ca="1">IF(INDEX(I554:Z554,$H$1)=0,"",INDEX(I554:Z554,$H$1))</f>
        <v>Compressor Wet Seals (Centrifugal - Operating)</v>
      </c>
      <c r="I554" s="17" t="s">
        <v>3213</v>
      </c>
      <c r="J554" s="17" t="s">
        <v>3248</v>
      </c>
      <c r="K554" s="27" t="s">
        <v>3249</v>
      </c>
    </row>
    <row r="555" spans="1:11" x14ac:dyDescent="0.35">
      <c r="A555" s="10" t="s">
        <v>1283</v>
      </c>
      <c r="B555" s="255">
        <v>7</v>
      </c>
      <c r="C555" s="10" t="s">
        <v>324</v>
      </c>
      <c r="D555" s="10">
        <v>1</v>
      </c>
      <c r="E555" s="10">
        <v>21</v>
      </c>
      <c r="F555" s="10" t="s">
        <v>38</v>
      </c>
      <c r="G555" s="10" t="s">
        <v>695</v>
      </c>
      <c r="H555" s="10" t="str" cm="1">
        <f t="array" aca="1" ref="H555" ca="1">IF(INDEX(I555:Z555,$H$1)=0,"",INDEX(I555:Z555,$H$1))</f>
        <v>Gas</v>
      </c>
      <c r="I555" s="17" t="s">
        <v>154</v>
      </c>
      <c r="J555" s="17" t="s">
        <v>864</v>
      </c>
      <c r="K555" s="27" t="s">
        <v>154</v>
      </c>
    </row>
    <row r="556" spans="1:11" x14ac:dyDescent="0.35">
      <c r="A556" s="10" t="s">
        <v>1283</v>
      </c>
      <c r="B556" s="255">
        <v>7</v>
      </c>
      <c r="C556" s="10" t="s">
        <v>324</v>
      </c>
      <c r="D556" s="10">
        <v>1</v>
      </c>
      <c r="E556" s="10">
        <v>22</v>
      </c>
      <c r="F556" s="10" t="s">
        <v>690</v>
      </c>
      <c r="G556" s="10" t="s">
        <v>695</v>
      </c>
      <c r="H556" s="10" t="str" cm="1">
        <f t="array" aca="1" ref="H556" ca="1">IF(INDEX(I556:Z556,$H$1)=0,"",INDEX(I556:Z556,$H$1))</f>
        <v>Compressor Wet Seals (Centrifugal - Standby &amp; Pressurized)</v>
      </c>
      <c r="I556" s="17" t="s">
        <v>3215</v>
      </c>
      <c r="J556" s="17" t="s">
        <v>3251</v>
      </c>
      <c r="K556" s="27" t="s">
        <v>3250</v>
      </c>
    </row>
    <row r="557" spans="1:11" x14ac:dyDescent="0.35">
      <c r="A557" s="10" t="s">
        <v>1283</v>
      </c>
      <c r="B557" s="255">
        <v>7</v>
      </c>
      <c r="C557" s="10" t="s">
        <v>324</v>
      </c>
      <c r="D557" s="10">
        <v>1</v>
      </c>
      <c r="E557" s="10">
        <v>22</v>
      </c>
      <c r="F557" s="10" t="s">
        <v>38</v>
      </c>
      <c r="G557" s="10" t="s">
        <v>695</v>
      </c>
      <c r="H557" s="10" t="str" cm="1">
        <f t="array" aca="1" ref="H557" ca="1">IF(INDEX(I557:Z557,$H$1)=0,"",INDEX(I557:Z557,$H$1))</f>
        <v>Gas</v>
      </c>
      <c r="I557" s="17" t="s">
        <v>154</v>
      </c>
      <c r="J557" s="17" t="s">
        <v>864</v>
      </c>
      <c r="K557" s="27" t="s">
        <v>154</v>
      </c>
    </row>
    <row r="558" spans="1:11" x14ac:dyDescent="0.35">
      <c r="A558" s="10" t="s">
        <v>1283</v>
      </c>
      <c r="B558" s="255">
        <v>7</v>
      </c>
      <c r="C558" s="10" t="s">
        <v>324</v>
      </c>
      <c r="D558" s="10">
        <v>1</v>
      </c>
      <c r="E558" s="10">
        <v>23</v>
      </c>
      <c r="F558" s="10" t="s">
        <v>690</v>
      </c>
      <c r="G558" s="10" t="s">
        <v>695</v>
      </c>
      <c r="H558" s="10" t="str" cm="1">
        <f t="array" aca="1" ref="H558" ca="1">IF(INDEX(I558:Z558,$H$1)=0,"",INDEX(I558:Z558,$H$1))</f>
        <v>Compressor Wet Seals (Centrifugal - Depressurized)</v>
      </c>
      <c r="I558" s="17" t="s">
        <v>3216</v>
      </c>
      <c r="J558" s="17" t="s">
        <v>3252</v>
      </c>
      <c r="K558" s="27" t="s">
        <v>3253</v>
      </c>
    </row>
    <row r="559" spans="1:11" x14ac:dyDescent="0.35">
      <c r="A559" s="10" t="s">
        <v>1283</v>
      </c>
      <c r="B559" s="255">
        <v>7</v>
      </c>
      <c r="C559" s="10" t="s">
        <v>324</v>
      </c>
      <c r="D559" s="10">
        <v>1</v>
      </c>
      <c r="E559" s="10">
        <v>23</v>
      </c>
      <c r="F559" s="10" t="s">
        <v>38</v>
      </c>
      <c r="G559" s="10" t="s">
        <v>695</v>
      </c>
      <c r="H559" s="10" t="str" cm="1">
        <f t="array" aca="1" ref="H559" ca="1">IF(INDEX(I559:Z559,$H$1)=0,"",INDEX(I559:Z559,$H$1))</f>
        <v>Gas</v>
      </c>
      <c r="I559" s="17" t="s">
        <v>154</v>
      </c>
      <c r="J559" s="17" t="s">
        <v>864</v>
      </c>
      <c r="K559" s="27" t="s">
        <v>154</v>
      </c>
    </row>
    <row r="560" spans="1:11" x14ac:dyDescent="0.35">
      <c r="A560" s="10" t="s">
        <v>1283</v>
      </c>
      <c r="B560" s="255">
        <v>7</v>
      </c>
      <c r="C560" s="10" t="s">
        <v>324</v>
      </c>
      <c r="D560" s="10">
        <v>1</v>
      </c>
      <c r="E560" s="10">
        <v>24</v>
      </c>
      <c r="F560" s="10" t="s">
        <v>690</v>
      </c>
      <c r="G560" s="10" t="s">
        <v>695</v>
      </c>
      <c r="H560" s="10" t="str" cm="1">
        <f t="array" aca="1" ref="H560" ca="1">IF(INDEX(I560:Z560,$H$1)=0,"",INDEX(I560:Z560,$H$1))</f>
        <v>Compressor Dry Seals (Centrifugal - Operating)</v>
      </c>
      <c r="I560" s="17" t="s">
        <v>3217</v>
      </c>
      <c r="J560" s="17" t="s">
        <v>3255</v>
      </c>
      <c r="K560" s="27" t="s">
        <v>3254</v>
      </c>
    </row>
    <row r="561" spans="1:11" x14ac:dyDescent="0.35">
      <c r="A561" s="10" t="s">
        <v>1283</v>
      </c>
      <c r="B561" s="255">
        <v>7</v>
      </c>
      <c r="C561" s="10" t="s">
        <v>324</v>
      </c>
      <c r="D561" s="10">
        <v>1</v>
      </c>
      <c r="E561" s="10">
        <v>24</v>
      </c>
      <c r="F561" s="10" t="s">
        <v>38</v>
      </c>
      <c r="G561" s="10" t="s">
        <v>695</v>
      </c>
      <c r="H561" s="10" t="str" cm="1">
        <f t="array" aca="1" ref="H561" ca="1">IF(INDEX(I561:Z561,$H$1)=0,"",INDEX(I561:Z561,$H$1))</f>
        <v>Gas</v>
      </c>
      <c r="I561" s="17" t="s">
        <v>154</v>
      </c>
      <c r="J561" s="17" t="s">
        <v>864</v>
      </c>
      <c r="K561" s="27" t="s">
        <v>154</v>
      </c>
    </row>
    <row r="562" spans="1:11" x14ac:dyDescent="0.35">
      <c r="A562" s="10" t="s">
        <v>1283</v>
      </c>
      <c r="B562" s="255">
        <v>7</v>
      </c>
      <c r="C562" s="10" t="s">
        <v>324</v>
      </c>
      <c r="D562" s="10">
        <v>1</v>
      </c>
      <c r="E562" s="10">
        <v>24</v>
      </c>
      <c r="F562" s="10" t="s">
        <v>38</v>
      </c>
      <c r="G562" s="10" t="s">
        <v>695</v>
      </c>
      <c r="H562" s="10" t="str" cm="1">
        <f t="array" aca="1" ref="H562" ca="1">IF(INDEX(I562:Z562,$H$1)=0,"",INDEX(I562:Z562,$H$1))</f>
        <v>Compressor Dry Seals (Centrifugal - Standby &amp; Pressurized)</v>
      </c>
      <c r="I562" s="14" t="s">
        <v>3214</v>
      </c>
      <c r="J562" s="14" t="s">
        <v>3256</v>
      </c>
      <c r="K562" s="31" t="s">
        <v>3257</v>
      </c>
    </row>
    <row r="563" spans="1:11" x14ac:dyDescent="0.35">
      <c r="A563" s="10" t="s">
        <v>1283</v>
      </c>
      <c r="B563" s="255">
        <v>7</v>
      </c>
      <c r="C563" s="10" t="s">
        <v>324</v>
      </c>
      <c r="D563" s="10">
        <v>1</v>
      </c>
      <c r="E563" s="10">
        <v>24</v>
      </c>
      <c r="F563" s="10" t="s">
        <v>38</v>
      </c>
      <c r="G563" s="10" t="s">
        <v>695</v>
      </c>
      <c r="H563" s="10" t="str" cm="1">
        <f t="array" aca="1" ref="H563" ca="1">IF(INDEX(I563:Z563,$H$1)=0,"",INDEX(I563:Z563,$H$1))</f>
        <v>Gas</v>
      </c>
      <c r="I563" s="17" t="s">
        <v>154</v>
      </c>
      <c r="J563" s="17" t="s">
        <v>864</v>
      </c>
      <c r="K563" s="27" t="s">
        <v>154</v>
      </c>
    </row>
    <row r="564" spans="1:11" x14ac:dyDescent="0.35">
      <c r="A564" s="10" t="s">
        <v>1283</v>
      </c>
      <c r="B564" s="255">
        <v>7</v>
      </c>
      <c r="C564" s="10" t="s">
        <v>324</v>
      </c>
      <c r="D564" s="10">
        <v>1</v>
      </c>
      <c r="E564" s="10">
        <v>24</v>
      </c>
      <c r="F564" s="10" t="s">
        <v>38</v>
      </c>
      <c r="G564" s="10" t="s">
        <v>695</v>
      </c>
      <c r="H564" s="10" t="str" cm="1">
        <f t="array" aca="1" ref="H564" ca="1">IF(INDEX(I564:Z564,$H$1)=0,"",INDEX(I564:Z564,$H$1))</f>
        <v>Compressor Dry Seals (Centrifugal - Depressurized)</v>
      </c>
      <c r="I564" s="14" t="s">
        <v>3218</v>
      </c>
      <c r="J564" s="14" t="s">
        <v>3259</v>
      </c>
      <c r="K564" s="31" t="s">
        <v>3258</v>
      </c>
    </row>
    <row r="565" spans="1:11" x14ac:dyDescent="0.35">
      <c r="A565" s="10" t="s">
        <v>1283</v>
      </c>
      <c r="B565" s="255">
        <v>7</v>
      </c>
      <c r="C565" s="10" t="s">
        <v>324</v>
      </c>
      <c r="D565" s="10">
        <v>1</v>
      </c>
      <c r="E565" s="10">
        <v>24</v>
      </c>
      <c r="F565" s="10" t="s">
        <v>38</v>
      </c>
      <c r="G565" s="10" t="s">
        <v>695</v>
      </c>
      <c r="H565" s="10" t="str" cm="1">
        <f t="array" aca="1" ref="H565" ca="1">IF(INDEX(I565:Z565,$H$1)=0,"",INDEX(I565:Z565,$H$1))</f>
        <v>Gas</v>
      </c>
      <c r="I565" s="17" t="s">
        <v>154</v>
      </c>
      <c r="J565" s="17" t="s">
        <v>864</v>
      </c>
      <c r="K565" s="27" t="s">
        <v>154</v>
      </c>
    </row>
    <row r="566" spans="1:11" x14ac:dyDescent="0.35">
      <c r="A566" s="10" t="s">
        <v>1283</v>
      </c>
      <c r="B566" s="255">
        <v>7</v>
      </c>
      <c r="C566" s="10" t="s">
        <v>324</v>
      </c>
      <c r="D566" s="10">
        <v>1</v>
      </c>
      <c r="E566" s="10">
        <v>25</v>
      </c>
      <c r="F566" s="10" t="s">
        <v>690</v>
      </c>
      <c r="G566" s="10" t="s">
        <v>695</v>
      </c>
      <c r="H566" s="10" t="str" cm="1">
        <f t="array" aca="1" ref="H566" ca="1">IF(INDEX(I566:Z566,$H$1)=0,"",INDEX(I566:Z566,$H$1))</f>
        <v>Compressor (Reciprocating - Crankcase Vent)</v>
      </c>
      <c r="I566" s="17" t="s">
        <v>278</v>
      </c>
      <c r="J566" s="17" t="s">
        <v>1211</v>
      </c>
      <c r="K566" s="27" t="s">
        <v>1551</v>
      </c>
    </row>
    <row r="567" spans="1:11" x14ac:dyDescent="0.35">
      <c r="A567" s="10" t="s">
        <v>1283</v>
      </c>
      <c r="B567" s="255">
        <v>7</v>
      </c>
      <c r="C567" s="10" t="s">
        <v>324</v>
      </c>
      <c r="D567" s="10">
        <v>1</v>
      </c>
      <c r="E567" s="10">
        <v>25</v>
      </c>
      <c r="F567" s="10" t="s">
        <v>38</v>
      </c>
      <c r="G567" s="10" t="s">
        <v>695</v>
      </c>
      <c r="H567" s="10" t="str" cm="1">
        <f t="array" aca="1" ref="H567" ca="1">IF(INDEX(I567:Z567,$H$1)=0,"",INDEX(I567:Z567,$H$1))</f>
        <v>Gas</v>
      </c>
      <c r="I567" s="17" t="s">
        <v>154</v>
      </c>
      <c r="J567" s="17" t="s">
        <v>864</v>
      </c>
      <c r="K567" s="27" t="s">
        <v>154</v>
      </c>
    </row>
    <row r="568" spans="1:11" x14ac:dyDescent="0.35">
      <c r="A568" s="10" t="s">
        <v>1283</v>
      </c>
      <c r="B568" s="255">
        <v>7</v>
      </c>
      <c r="C568" s="10" t="s">
        <v>324</v>
      </c>
      <c r="D568" s="10">
        <v>1</v>
      </c>
      <c r="E568" s="10">
        <v>26</v>
      </c>
      <c r="F568" s="10" t="s">
        <v>690</v>
      </c>
      <c r="G568" s="10" t="s">
        <v>695</v>
      </c>
      <c r="H568" s="10" t="str" cm="1">
        <f t="array" aca="1" ref="H568" ca="1">IF(INDEX(I568:Z568,$H$1)=0,"",INDEX(I568:Z568,$H$1))</f>
        <v>Pressure Relief Valves</v>
      </c>
      <c r="I568" s="17" t="s">
        <v>159</v>
      </c>
      <c r="J568" s="17" t="s">
        <v>856</v>
      </c>
      <c r="K568" s="27" t="s">
        <v>1552</v>
      </c>
    </row>
    <row r="569" spans="1:11" x14ac:dyDescent="0.35">
      <c r="A569" s="10" t="s">
        <v>1283</v>
      </c>
      <c r="B569" s="255">
        <v>7</v>
      </c>
      <c r="C569" s="10" t="s">
        <v>324</v>
      </c>
      <c r="D569" s="10">
        <v>1</v>
      </c>
      <c r="E569" s="10">
        <v>27</v>
      </c>
      <c r="F569" s="10" t="s">
        <v>690</v>
      </c>
      <c r="G569" s="10" t="s">
        <v>695</v>
      </c>
      <c r="H569" s="10" t="str" cm="1">
        <f t="array" aca="1" ref="H569" ca="1">IF(INDEX(I569:Z569,$H$1)=0,"",INDEX(I569:Z569,$H$1))</f>
        <v>Regulators</v>
      </c>
      <c r="I569" s="17" t="s">
        <v>165</v>
      </c>
      <c r="J569" s="17" t="s">
        <v>857</v>
      </c>
      <c r="K569" s="27" t="s">
        <v>1553</v>
      </c>
    </row>
    <row r="570" spans="1:11" x14ac:dyDescent="0.35">
      <c r="A570" s="10" t="s">
        <v>1283</v>
      </c>
      <c r="B570" s="255">
        <v>7</v>
      </c>
      <c r="C570" s="10" t="s">
        <v>324</v>
      </c>
      <c r="D570" s="10">
        <v>1</v>
      </c>
      <c r="E570" s="10">
        <v>26</v>
      </c>
      <c r="F570" s="10" t="s">
        <v>38</v>
      </c>
      <c r="G570" s="10" t="s">
        <v>695</v>
      </c>
      <c r="H570" s="10" t="str" cm="1">
        <f t="array" aca="1" ref="H570" ca="1">IF(INDEX(I570:Z570,$H$1)=0,"",INDEX(I570:Z570,$H$1))</f>
        <v>Gas</v>
      </c>
      <c r="I570" s="17" t="s">
        <v>154</v>
      </c>
      <c r="J570" s="17" t="s">
        <v>864</v>
      </c>
      <c r="K570" s="27" t="s">
        <v>154</v>
      </c>
    </row>
    <row r="571" spans="1:11" x14ac:dyDescent="0.35">
      <c r="A571" s="10" t="s">
        <v>1283</v>
      </c>
      <c r="B571" s="255">
        <v>7</v>
      </c>
      <c r="C571" s="10" t="s">
        <v>324</v>
      </c>
      <c r="D571" s="10">
        <v>1</v>
      </c>
      <c r="E571" s="10">
        <v>27</v>
      </c>
      <c r="F571" s="10" t="s">
        <v>38</v>
      </c>
      <c r="G571" s="10" t="s">
        <v>695</v>
      </c>
      <c r="H571" s="10" t="str" cm="1">
        <f t="array" aca="1" ref="H571" ca="1">IF(INDEX(I571:Z571,$H$1)=0,"",INDEX(I571:Z571,$H$1))</f>
        <v>Gas</v>
      </c>
      <c r="I571" s="17" t="s">
        <v>154</v>
      </c>
      <c r="J571" s="17" t="s">
        <v>864</v>
      </c>
      <c r="K571" s="27" t="s">
        <v>154</v>
      </c>
    </row>
    <row r="572" spans="1:11" x14ac:dyDescent="0.35">
      <c r="A572" s="10" t="s">
        <v>1283</v>
      </c>
      <c r="B572" s="255">
        <v>7</v>
      </c>
      <c r="C572" s="10" t="s">
        <v>324</v>
      </c>
      <c r="D572" s="10">
        <v>1</v>
      </c>
      <c r="E572" s="10">
        <v>28</v>
      </c>
      <c r="F572" s="10" t="s">
        <v>690</v>
      </c>
      <c r="G572" s="10" t="s">
        <v>695</v>
      </c>
      <c r="H572" s="10" t="str" cm="1">
        <f t="array" aca="1" ref="H572" ca="1">IF(INDEX(I572:Z572,$H$1)=0,"",INDEX(I572:Z572,$H$1))</f>
        <v>Connectors</v>
      </c>
      <c r="I572" s="17" t="s">
        <v>160</v>
      </c>
      <c r="J572" s="17" t="s">
        <v>858</v>
      </c>
      <c r="K572" s="27" t="s">
        <v>1554</v>
      </c>
    </row>
    <row r="573" spans="1:11" x14ac:dyDescent="0.35">
      <c r="A573" s="10" t="s">
        <v>1283</v>
      </c>
      <c r="B573" s="255">
        <v>7</v>
      </c>
      <c r="C573" s="10" t="s">
        <v>324</v>
      </c>
      <c r="D573" s="10">
        <v>1</v>
      </c>
      <c r="E573" s="10">
        <v>28</v>
      </c>
      <c r="F573" s="10" t="s">
        <v>38</v>
      </c>
      <c r="G573" s="10" t="s">
        <v>695</v>
      </c>
      <c r="H573" s="10" t="str" cm="1">
        <f t="array" aca="1" ref="H573" ca="1">IF(INDEX(I573:Z573,$H$1)=0,"",INDEX(I573:Z573,$H$1))</f>
        <v>Gas</v>
      </c>
      <c r="I573" s="17" t="s">
        <v>154</v>
      </c>
      <c r="J573" s="17" t="s">
        <v>864</v>
      </c>
      <c r="K573" s="27" t="s">
        <v>154</v>
      </c>
    </row>
    <row r="574" spans="1:11" x14ac:dyDescent="0.35">
      <c r="A574" s="10" t="s">
        <v>1283</v>
      </c>
      <c r="B574" s="255">
        <v>7</v>
      </c>
      <c r="C574" s="10" t="s">
        <v>324</v>
      </c>
      <c r="D574" s="10">
        <v>1</v>
      </c>
      <c r="E574" s="10">
        <v>29</v>
      </c>
      <c r="F574" s="10" t="s">
        <v>690</v>
      </c>
      <c r="G574" s="10" t="s">
        <v>695</v>
      </c>
      <c r="H574" s="10" t="str" cm="1">
        <f t="array" aca="1" ref="H574" ca="1">IF(INDEX(I574:Z574,$H$1)=0,"",INDEX(I574:Z574,$H$1))</f>
        <v>Connectors</v>
      </c>
      <c r="I574" s="17" t="s">
        <v>160</v>
      </c>
      <c r="J574" s="17" t="s">
        <v>858</v>
      </c>
      <c r="K574" s="27" t="s">
        <v>1554</v>
      </c>
    </row>
    <row r="575" spans="1:11" x14ac:dyDescent="0.35">
      <c r="A575" s="10" t="s">
        <v>1283</v>
      </c>
      <c r="B575" s="255">
        <v>7</v>
      </c>
      <c r="C575" s="10" t="s">
        <v>324</v>
      </c>
      <c r="D575" s="10">
        <v>1</v>
      </c>
      <c r="E575" s="10">
        <v>29</v>
      </c>
      <c r="F575" s="10" t="s">
        <v>38</v>
      </c>
      <c r="G575" s="10" t="s">
        <v>695</v>
      </c>
      <c r="H575" s="10" t="str" cm="1">
        <f t="array" aca="1" ref="H575" ca="1">IF(INDEX(I575:Z575,$H$1)=0,"",INDEX(I575:Z575,$H$1))</f>
        <v>Light Liquid</v>
      </c>
      <c r="I575" s="17" t="s">
        <v>155</v>
      </c>
      <c r="J575" s="17" t="s">
        <v>865</v>
      </c>
      <c r="K575" s="27" t="s">
        <v>1540</v>
      </c>
    </row>
    <row r="576" spans="1:11" x14ac:dyDescent="0.35">
      <c r="A576" s="10" t="s">
        <v>1283</v>
      </c>
      <c r="B576" s="255">
        <v>7</v>
      </c>
      <c r="C576" s="10" t="s">
        <v>324</v>
      </c>
      <c r="D576" s="10">
        <v>1</v>
      </c>
      <c r="E576" s="10">
        <v>30</v>
      </c>
      <c r="F576" s="10" t="s">
        <v>690</v>
      </c>
      <c r="G576" s="10" t="s">
        <v>695</v>
      </c>
      <c r="H576" s="10" t="str" cm="1">
        <f t="array" aca="1" ref="H576" ca="1">IF(INDEX(I576:Z576,$H$1)=0,"",INDEX(I576:Z576,$H$1))</f>
        <v>Connectors</v>
      </c>
      <c r="I576" s="17" t="s">
        <v>160</v>
      </c>
      <c r="J576" s="17" t="s">
        <v>858</v>
      </c>
      <c r="K576" s="27" t="s">
        <v>1554</v>
      </c>
    </row>
    <row r="577" spans="1:11" x14ac:dyDescent="0.35">
      <c r="A577" s="10" t="s">
        <v>1283</v>
      </c>
      <c r="B577" s="255">
        <v>7</v>
      </c>
      <c r="C577" s="10" t="s">
        <v>324</v>
      </c>
      <c r="D577" s="10">
        <v>1</v>
      </c>
      <c r="E577" s="10">
        <v>30</v>
      </c>
      <c r="F577" s="10" t="s">
        <v>38</v>
      </c>
      <c r="G577" s="10" t="s">
        <v>695</v>
      </c>
      <c r="H577" s="10" t="str" cm="1">
        <f t="array" aca="1" ref="H577" ca="1">IF(INDEX(I577:Z577,$H$1)=0,"",INDEX(I577:Z577,$H$1))</f>
        <v>Heavy Liquid</v>
      </c>
      <c r="I577" s="17" t="s">
        <v>156</v>
      </c>
      <c r="J577" s="17" t="s">
        <v>866</v>
      </c>
      <c r="K577" s="27" t="s">
        <v>1541</v>
      </c>
    </row>
    <row r="578" spans="1:11" x14ac:dyDescent="0.35">
      <c r="A578" s="10" t="s">
        <v>1283</v>
      </c>
      <c r="B578" s="255">
        <v>7</v>
      </c>
      <c r="C578" s="10" t="s">
        <v>324</v>
      </c>
      <c r="D578" s="10">
        <v>1</v>
      </c>
      <c r="E578" s="10">
        <v>31</v>
      </c>
      <c r="F578" s="10" t="s">
        <v>690</v>
      </c>
      <c r="G578" s="10" t="s">
        <v>695</v>
      </c>
      <c r="H578" s="10" t="str" cm="1">
        <f t="array" aca="1" ref="H578" ca="1">IF(INDEX(I578:Z578,$H$1)=0,"",INDEX(I578:Z578,$H$1))</f>
        <v>Open-ended Lines</v>
      </c>
      <c r="I578" s="17" t="s">
        <v>161</v>
      </c>
      <c r="J578" s="17" t="s">
        <v>859</v>
      </c>
      <c r="K578" s="27" t="s">
        <v>1555</v>
      </c>
    </row>
    <row r="579" spans="1:11" x14ac:dyDescent="0.35">
      <c r="A579" s="10" t="s">
        <v>1283</v>
      </c>
      <c r="B579" s="255">
        <v>7</v>
      </c>
      <c r="C579" s="10" t="s">
        <v>324</v>
      </c>
      <c r="D579" s="10">
        <v>1</v>
      </c>
      <c r="E579" s="10">
        <v>31</v>
      </c>
      <c r="F579" s="10" t="s">
        <v>38</v>
      </c>
      <c r="G579" s="10" t="s">
        <v>695</v>
      </c>
      <c r="H579" s="10" t="str" cm="1">
        <f t="array" aca="1" ref="H579" ca="1">IF(INDEX(I579:Z579,$H$1)=0,"",INDEX(I579:Z579,$H$1))</f>
        <v>Gas</v>
      </c>
      <c r="I579" s="17" t="s">
        <v>154</v>
      </c>
      <c r="J579" s="17" t="s">
        <v>864</v>
      </c>
      <c r="K579" s="27" t="s">
        <v>154</v>
      </c>
    </row>
    <row r="580" spans="1:11" x14ac:dyDescent="0.35">
      <c r="A580" s="10" t="s">
        <v>1283</v>
      </c>
      <c r="B580" s="255">
        <v>7</v>
      </c>
      <c r="C580" s="10" t="s">
        <v>324</v>
      </c>
      <c r="D580" s="10">
        <v>1</v>
      </c>
      <c r="E580" s="10">
        <v>32</v>
      </c>
      <c r="F580" s="10" t="s">
        <v>690</v>
      </c>
      <c r="G580" s="10" t="s">
        <v>695</v>
      </c>
      <c r="H580" s="10" t="str" cm="1">
        <f t="array" aca="1" ref="H580" ca="1">IF(INDEX(I580:Z580,$H$1)=0,"",INDEX(I580:Z580,$H$1))</f>
        <v>Open-ended Lines</v>
      </c>
      <c r="I580" s="17" t="s">
        <v>161</v>
      </c>
      <c r="J580" s="17" t="s">
        <v>859</v>
      </c>
      <c r="K580" s="27" t="s">
        <v>1555</v>
      </c>
    </row>
    <row r="581" spans="1:11" x14ac:dyDescent="0.35">
      <c r="A581" s="10" t="s">
        <v>1283</v>
      </c>
      <c r="B581" s="255">
        <v>7</v>
      </c>
      <c r="C581" s="10" t="s">
        <v>324</v>
      </c>
      <c r="D581" s="10">
        <v>1</v>
      </c>
      <c r="E581" s="10">
        <v>32</v>
      </c>
      <c r="F581" s="10" t="s">
        <v>38</v>
      </c>
      <c r="G581" s="10" t="s">
        <v>695</v>
      </c>
      <c r="H581" s="10" t="str" cm="1">
        <f t="array" aca="1" ref="H581" ca="1">IF(INDEX(I581:Z581,$H$1)=0,"",INDEX(I581:Z581,$H$1))</f>
        <v>Light Liquid</v>
      </c>
      <c r="I581" s="17" t="s">
        <v>155</v>
      </c>
      <c r="J581" s="17" t="s">
        <v>865</v>
      </c>
      <c r="K581" s="27" t="s">
        <v>1540</v>
      </c>
    </row>
    <row r="582" spans="1:11" x14ac:dyDescent="0.35">
      <c r="A582" s="10" t="s">
        <v>1283</v>
      </c>
      <c r="B582" s="255">
        <v>7</v>
      </c>
      <c r="C582" s="10" t="s">
        <v>324</v>
      </c>
      <c r="D582" s="10">
        <v>1</v>
      </c>
      <c r="E582" s="10">
        <v>33</v>
      </c>
      <c r="F582" s="10" t="s">
        <v>690</v>
      </c>
      <c r="G582" s="10" t="s">
        <v>695</v>
      </c>
      <c r="H582" s="10" t="str" cm="1">
        <f t="array" aca="1" ref="H582" ca="1">IF(INDEX(I582:Z582,$H$1)=0,"",INDEX(I582:Z582,$H$1))</f>
        <v>Open-ended Lines</v>
      </c>
      <c r="I582" s="17" t="s">
        <v>161</v>
      </c>
      <c r="J582" s="17" t="s">
        <v>859</v>
      </c>
      <c r="K582" s="27" t="s">
        <v>1555</v>
      </c>
    </row>
    <row r="583" spans="1:11" x14ac:dyDescent="0.35">
      <c r="A583" s="10" t="s">
        <v>1283</v>
      </c>
      <c r="B583" s="255">
        <v>7</v>
      </c>
      <c r="C583" s="10" t="s">
        <v>324</v>
      </c>
      <c r="D583" s="10">
        <v>1</v>
      </c>
      <c r="E583" s="10">
        <v>33</v>
      </c>
      <c r="F583" s="10" t="s">
        <v>38</v>
      </c>
      <c r="G583" s="10" t="s">
        <v>695</v>
      </c>
      <c r="H583" s="10" t="str" cm="1">
        <f t="array" aca="1" ref="H583" ca="1">IF(INDEX(I583:Z583,$H$1)=0,"",INDEX(I583:Z583,$H$1))</f>
        <v>Heavy Liquid</v>
      </c>
      <c r="I583" s="17" t="s">
        <v>156</v>
      </c>
      <c r="J583" s="17" t="s">
        <v>866</v>
      </c>
      <c r="K583" s="27" t="s">
        <v>1541</v>
      </c>
    </row>
    <row r="584" spans="1:11" x14ac:dyDescent="0.35">
      <c r="A584" s="10" t="s">
        <v>1283</v>
      </c>
      <c r="B584" s="255">
        <v>7</v>
      </c>
      <c r="C584" s="10" t="s">
        <v>324</v>
      </c>
      <c r="D584" s="10">
        <v>1</v>
      </c>
      <c r="E584" s="10">
        <v>34</v>
      </c>
      <c r="F584" s="10" t="s">
        <v>690</v>
      </c>
      <c r="G584" s="10" t="s">
        <v>695</v>
      </c>
      <c r="H584" s="10" t="str" cm="1">
        <f t="array" aca="1" ref="H584" ca="1">IF(INDEX(I584:Z584,$H$1)=0,"",INDEX(I584:Z584,$H$1))</f>
        <v>Sampling Connections</v>
      </c>
      <c r="I584" s="17" t="s">
        <v>162</v>
      </c>
      <c r="J584" s="17" t="s">
        <v>860</v>
      </c>
      <c r="K584" s="27" t="s">
        <v>1556</v>
      </c>
    </row>
    <row r="585" spans="1:11" x14ac:dyDescent="0.35">
      <c r="A585" s="10" t="s">
        <v>1283</v>
      </c>
      <c r="B585" s="255">
        <v>7</v>
      </c>
      <c r="C585" s="10" t="s">
        <v>324</v>
      </c>
      <c r="D585" s="10">
        <v>1</v>
      </c>
      <c r="E585" s="10">
        <v>34</v>
      </c>
      <c r="F585" s="10" t="s">
        <v>38</v>
      </c>
      <c r="G585" s="10" t="s">
        <v>695</v>
      </c>
      <c r="H585" s="10" t="str" cm="1">
        <f t="array" aca="1" ref="H585" ca="1">IF(INDEX(I585:Z585,$H$1)=0,"",INDEX(I585:Z585,$H$1))</f>
        <v>All</v>
      </c>
      <c r="I585" s="17" t="s">
        <v>49</v>
      </c>
      <c r="J585" s="17" t="s">
        <v>867</v>
      </c>
      <c r="K585" s="27" t="s">
        <v>1557</v>
      </c>
    </row>
    <row r="586" spans="1:11" x14ac:dyDescent="0.35">
      <c r="A586" s="10" t="s">
        <v>1283</v>
      </c>
      <c r="B586" s="255">
        <v>7</v>
      </c>
      <c r="C586" s="10" t="s">
        <v>324</v>
      </c>
      <c r="D586" s="10">
        <v>1</v>
      </c>
      <c r="E586" s="10">
        <v>35</v>
      </c>
      <c r="F586" s="10" t="s">
        <v>690</v>
      </c>
      <c r="G586" s="10" t="s">
        <v>695</v>
      </c>
      <c r="H586" s="10" t="str" cm="1">
        <f t="array" aca="1" ref="H586" ca="1">IF(INDEX(I586:Z586,$H$1)=0,"",INDEX(I586:Z586,$H$1))</f>
        <v>Drains</v>
      </c>
      <c r="I586" s="17" t="s">
        <v>163</v>
      </c>
      <c r="J586" s="17" t="s">
        <v>1226</v>
      </c>
      <c r="K586" s="27" t="s">
        <v>1558</v>
      </c>
    </row>
    <row r="587" spans="1:11" x14ac:dyDescent="0.35">
      <c r="A587" s="10" t="s">
        <v>1283</v>
      </c>
      <c r="B587" s="255">
        <v>7</v>
      </c>
      <c r="C587" s="10" t="s">
        <v>324</v>
      </c>
      <c r="D587" s="10">
        <v>1</v>
      </c>
      <c r="E587" s="10">
        <v>35</v>
      </c>
      <c r="F587" s="10" t="s">
        <v>38</v>
      </c>
      <c r="G587" s="10" t="s">
        <v>695</v>
      </c>
      <c r="H587" s="10" t="str" cm="1">
        <f t="array" aca="1" ref="H587" ca="1">IF(INDEX(I587:Z587,$H$1)=0,"",INDEX(I587:Z587,$H$1))</f>
        <v>All</v>
      </c>
      <c r="I587" s="17" t="s">
        <v>49</v>
      </c>
      <c r="J587" s="17" t="s">
        <v>867</v>
      </c>
      <c r="K587" s="27" t="s">
        <v>1557</v>
      </c>
    </row>
    <row r="588" spans="1:11" x14ac:dyDescent="0.35">
      <c r="A588" s="10" t="s">
        <v>1283</v>
      </c>
      <c r="B588" s="255">
        <v>7</v>
      </c>
      <c r="C588" s="10" t="s">
        <v>324</v>
      </c>
      <c r="D588" s="10">
        <v>1</v>
      </c>
      <c r="E588" s="10">
        <v>36</v>
      </c>
      <c r="F588" s="10" t="s">
        <v>690</v>
      </c>
      <c r="G588" s="10" t="s">
        <v>695</v>
      </c>
      <c r="H588" s="10" t="str" cm="1">
        <f t="array" aca="1" ref="H588" ca="1">IF(INDEX(I588:Z588,$H$1)=0,"",INDEX(I588:Z588,$H$1))</f>
        <v>Meter (Orifice)</v>
      </c>
      <c r="I588" s="17" t="s">
        <v>224</v>
      </c>
      <c r="J588" s="17" t="s">
        <v>1263</v>
      </c>
      <c r="K588" s="27" t="s">
        <v>1559</v>
      </c>
    </row>
    <row r="589" spans="1:11" x14ac:dyDescent="0.35">
      <c r="A589" s="10" t="s">
        <v>1283</v>
      </c>
      <c r="B589" s="255">
        <v>7</v>
      </c>
      <c r="C589" s="10" t="s">
        <v>324</v>
      </c>
      <c r="D589" s="10">
        <v>1</v>
      </c>
      <c r="E589" s="10">
        <v>36</v>
      </c>
      <c r="F589" s="10" t="s">
        <v>38</v>
      </c>
      <c r="G589" s="10" t="s">
        <v>695</v>
      </c>
      <c r="H589" s="10" t="str" cm="1">
        <f t="array" aca="1" ref="H589" ca="1">IF(INDEX(I589:Z589,$H$1)=0,"",INDEX(I589:Z589,$H$1))</f>
        <v>Gas</v>
      </c>
      <c r="I589" s="17" t="s">
        <v>154</v>
      </c>
      <c r="J589" s="17" t="s">
        <v>864</v>
      </c>
      <c r="K589" s="27" t="s">
        <v>154</v>
      </c>
    </row>
    <row r="590" spans="1:11" x14ac:dyDescent="0.35">
      <c r="A590" s="10" t="s">
        <v>1283</v>
      </c>
      <c r="B590" s="255">
        <v>7</v>
      </c>
      <c r="C590" s="10" t="s">
        <v>324</v>
      </c>
      <c r="D590" s="10">
        <v>1</v>
      </c>
      <c r="E590" s="10">
        <v>37</v>
      </c>
      <c r="F590" s="10" t="s">
        <v>690</v>
      </c>
      <c r="G590" s="10" t="s">
        <v>695</v>
      </c>
      <c r="H590" s="10" t="str" cm="1">
        <f t="array" aca="1" ref="H590" ca="1">IF(INDEX(I590:Z590,$H$1)=0,"",INDEX(I590:Z590,$H$1))</f>
        <v>Meter (Other)</v>
      </c>
      <c r="I590" s="17" t="s">
        <v>225</v>
      </c>
      <c r="J590" s="17" t="s">
        <v>861</v>
      </c>
      <c r="K590" s="27" t="s">
        <v>1560</v>
      </c>
    </row>
    <row r="591" spans="1:11" x14ac:dyDescent="0.35">
      <c r="A591" s="10" t="s">
        <v>1283</v>
      </c>
      <c r="B591" s="255">
        <v>7</v>
      </c>
      <c r="C591" s="10" t="s">
        <v>324</v>
      </c>
      <c r="D591" s="10">
        <v>1</v>
      </c>
      <c r="E591" s="10">
        <v>37</v>
      </c>
      <c r="F591" s="10" t="s">
        <v>38</v>
      </c>
      <c r="G591" s="10" t="s">
        <v>695</v>
      </c>
      <c r="H591" s="10" t="str" cm="1">
        <f t="array" aca="1" ref="H591" ca="1">IF(INDEX(I591:Z591,$H$1)=0,"",INDEX(I591:Z591,$H$1))</f>
        <v>Gas</v>
      </c>
      <c r="I591" s="17" t="s">
        <v>154</v>
      </c>
      <c r="J591" s="17" t="s">
        <v>864</v>
      </c>
      <c r="K591" s="27" t="s">
        <v>154</v>
      </c>
    </row>
    <row r="592" spans="1:11" x14ac:dyDescent="0.35">
      <c r="A592" s="10" t="s">
        <v>1283</v>
      </c>
      <c r="B592" s="255">
        <v>7</v>
      </c>
      <c r="C592" s="10" t="s">
        <v>324</v>
      </c>
      <c r="D592" s="10">
        <v>1</v>
      </c>
      <c r="E592" s="10">
        <v>38</v>
      </c>
      <c r="F592" s="10" t="s">
        <v>690</v>
      </c>
      <c r="G592" s="10" t="s">
        <v>695</v>
      </c>
      <c r="H592" s="10" t="str" cm="1">
        <f t="array" aca="1" ref="H592" ca="1">IF(INDEX(I592:Z592,$H$1)=0,"",INDEX(I592:Z592,$H$1))</f>
        <v>Blowdown System</v>
      </c>
      <c r="I592" s="17" t="s">
        <v>226</v>
      </c>
      <c r="J592" s="17" t="s">
        <v>862</v>
      </c>
      <c r="K592" s="27" t="s">
        <v>1561</v>
      </c>
    </row>
    <row r="593" spans="1:11" x14ac:dyDescent="0.35">
      <c r="A593" s="10" t="s">
        <v>1283</v>
      </c>
      <c r="B593" s="255">
        <v>7</v>
      </c>
      <c r="C593" s="10" t="s">
        <v>324</v>
      </c>
      <c r="D593" s="10">
        <v>1</v>
      </c>
      <c r="E593" s="10">
        <v>38</v>
      </c>
      <c r="F593" s="10" t="s">
        <v>38</v>
      </c>
      <c r="G593" s="10" t="s">
        <v>695</v>
      </c>
      <c r="H593" s="10" t="str" cm="1">
        <f t="array" aca="1" ref="H593" ca="1">IF(INDEX(I593:Z593,$H$1)=0,"",INDEX(I593:Z593,$H$1))</f>
        <v>Gas</v>
      </c>
      <c r="I593" s="17" t="s">
        <v>154</v>
      </c>
      <c r="J593" s="17" t="s">
        <v>864</v>
      </c>
      <c r="K593" s="27" t="s">
        <v>154</v>
      </c>
    </row>
    <row r="594" spans="1:11" x14ac:dyDescent="0.35">
      <c r="A594" s="10" t="s">
        <v>1283</v>
      </c>
      <c r="B594" s="255">
        <v>7</v>
      </c>
      <c r="C594" s="10" t="s">
        <v>324</v>
      </c>
      <c r="D594" s="10">
        <v>1</v>
      </c>
      <c r="E594" s="10">
        <v>39</v>
      </c>
      <c r="F594" s="10" t="s">
        <v>690</v>
      </c>
      <c r="G594" s="10" t="s">
        <v>695</v>
      </c>
      <c r="H594" s="10" t="str" cm="1">
        <f t="array" aca="1" ref="H594" ca="1">IF(INDEX(I594:Z594,$H$1)=0,"",INDEX(I594:Z594,$H$1))</f>
        <v>Others</v>
      </c>
      <c r="I594" s="17" t="s">
        <v>166</v>
      </c>
      <c r="J594" s="17" t="s">
        <v>863</v>
      </c>
      <c r="K594" s="27" t="s">
        <v>1562</v>
      </c>
    </row>
    <row r="595" spans="1:11" x14ac:dyDescent="0.35">
      <c r="A595" s="10" t="s">
        <v>1283</v>
      </c>
      <c r="B595" s="255">
        <v>7</v>
      </c>
      <c r="C595" s="10" t="s">
        <v>324</v>
      </c>
      <c r="D595" s="10">
        <v>1</v>
      </c>
      <c r="E595" s="10">
        <v>39</v>
      </c>
      <c r="F595" s="10" t="s">
        <v>38</v>
      </c>
      <c r="G595" s="10" t="s">
        <v>695</v>
      </c>
      <c r="H595" s="10" t="str" cm="1">
        <f t="array" aca="1" ref="H595" ca="1">IF(INDEX(I595:Z595,$H$1)=0,"",INDEX(I595:Z595,$H$1))</f>
        <v>Gas</v>
      </c>
      <c r="I595" s="17" t="s">
        <v>154</v>
      </c>
      <c r="J595" s="17" t="s">
        <v>864</v>
      </c>
      <c r="K595" s="27" t="s">
        <v>154</v>
      </c>
    </row>
    <row r="596" spans="1:11" x14ac:dyDescent="0.35">
      <c r="A596" s="10" t="s">
        <v>1283</v>
      </c>
      <c r="B596" s="255">
        <v>7</v>
      </c>
      <c r="C596" s="10" t="s">
        <v>324</v>
      </c>
      <c r="D596" s="10">
        <v>1</v>
      </c>
      <c r="E596" s="10">
        <v>40</v>
      </c>
      <c r="F596" s="10" t="s">
        <v>690</v>
      </c>
      <c r="G596" s="10" t="s">
        <v>695</v>
      </c>
      <c r="H596" s="10" t="str" cm="1">
        <f t="array" aca="1" ref="H596" ca="1">IF(INDEX(I596:Z596,$H$1)=0,"",INDEX(I596:Z596,$H$1))</f>
        <v>Others</v>
      </c>
      <c r="I596" s="17" t="s">
        <v>166</v>
      </c>
      <c r="J596" s="17" t="s">
        <v>863</v>
      </c>
      <c r="K596" s="27" t="s">
        <v>1562</v>
      </c>
    </row>
    <row r="597" spans="1:11" x14ac:dyDescent="0.35">
      <c r="A597" s="10" t="s">
        <v>1283</v>
      </c>
      <c r="B597" s="255">
        <v>7</v>
      </c>
      <c r="C597" s="10" t="s">
        <v>324</v>
      </c>
      <c r="D597" s="10">
        <v>1</v>
      </c>
      <c r="E597" s="10">
        <v>40</v>
      </c>
      <c r="F597" s="10" t="s">
        <v>38</v>
      </c>
      <c r="G597" s="10" t="s">
        <v>695</v>
      </c>
      <c r="H597" s="10" t="str" cm="1">
        <f t="array" aca="1" ref="H597" ca="1">IF(INDEX(I597:Z597,$H$1)=0,"",INDEX(I597:Z597,$H$1))</f>
        <v>Light Liquid</v>
      </c>
      <c r="I597" s="17" t="s">
        <v>155</v>
      </c>
      <c r="J597" s="17" t="s">
        <v>865</v>
      </c>
      <c r="K597" s="27" t="s">
        <v>1540</v>
      </c>
    </row>
    <row r="598" spans="1:11" x14ac:dyDescent="0.35">
      <c r="A598" s="10" t="s">
        <v>1283</v>
      </c>
      <c r="B598" s="255">
        <v>7</v>
      </c>
      <c r="C598" s="10" t="s">
        <v>324</v>
      </c>
      <c r="D598" s="10">
        <v>1</v>
      </c>
      <c r="E598" s="10">
        <v>40</v>
      </c>
      <c r="F598" s="10" t="s">
        <v>690</v>
      </c>
      <c r="G598" s="10" t="s">
        <v>695</v>
      </c>
      <c r="H598" s="10" t="str" cm="1">
        <f t="array" aca="1" ref="H598" ca="1">IF(INDEX(I598:Z598,$H$1)=0,"",INDEX(I598:Z598,$H$1))</f>
        <v>Others</v>
      </c>
      <c r="I598" s="17" t="s">
        <v>166</v>
      </c>
      <c r="J598" s="17" t="s">
        <v>863</v>
      </c>
      <c r="K598" s="27" t="s">
        <v>1562</v>
      </c>
    </row>
    <row r="599" spans="1:11" x14ac:dyDescent="0.35">
      <c r="A599" s="10" t="s">
        <v>1283</v>
      </c>
      <c r="B599" s="255">
        <v>7</v>
      </c>
      <c r="C599" s="10" t="s">
        <v>324</v>
      </c>
      <c r="D599" s="10">
        <v>1</v>
      </c>
      <c r="E599" s="10">
        <v>40</v>
      </c>
      <c r="F599" s="10" t="s">
        <v>690</v>
      </c>
      <c r="G599" s="10" t="s">
        <v>695</v>
      </c>
      <c r="H599" s="10" t="str" cm="1">
        <f t="array" aca="1" ref="H599" ca="1">IF(INDEX(I599:Z599,$H$1)=0,"",INDEX(I599:Z599,$H$1))</f>
        <v>Equipment Leaks (Contributions From Operating Periods)</v>
      </c>
      <c r="I599" s="17" t="s">
        <v>3229</v>
      </c>
      <c r="J599" s="17" t="s">
        <v>3229</v>
      </c>
      <c r="K599" s="17" t="s">
        <v>3229</v>
      </c>
    </row>
    <row r="600" spans="1:11" x14ac:dyDescent="0.35">
      <c r="A600" s="10" t="s">
        <v>1283</v>
      </c>
      <c r="B600" s="255">
        <v>7</v>
      </c>
      <c r="C600" s="10" t="s">
        <v>324</v>
      </c>
      <c r="D600" s="10">
        <v>1</v>
      </c>
      <c r="E600" s="10">
        <v>40</v>
      </c>
      <c r="F600" s="10" t="s">
        <v>690</v>
      </c>
      <c r="G600" s="10" t="s">
        <v>695</v>
      </c>
      <c r="H600" s="10" t="str" cm="1">
        <f t="array" aca="1" ref="H600" ca="1">IF(INDEX(I600:Z600,$H$1)=0,"",INDEX(I600:Z600,$H$1))</f>
        <v>Compressor Seals (Contributions From Operating Periods)</v>
      </c>
      <c r="I600" s="17" t="s">
        <v>3228</v>
      </c>
      <c r="J600" s="17" t="s">
        <v>3228</v>
      </c>
      <c r="K600" s="17" t="s">
        <v>3228</v>
      </c>
    </row>
    <row r="601" spans="1:11" x14ac:dyDescent="0.35">
      <c r="A601" s="10" t="s">
        <v>1283</v>
      </c>
      <c r="B601" s="255">
        <v>7</v>
      </c>
      <c r="C601" s="10" t="s">
        <v>324</v>
      </c>
      <c r="D601" s="10">
        <v>1</v>
      </c>
      <c r="E601" s="10">
        <v>40</v>
      </c>
      <c r="F601" s="10" t="s">
        <v>690</v>
      </c>
      <c r="G601" s="10" t="s">
        <v>695</v>
      </c>
      <c r="H601" s="10" t="str" cm="1">
        <f t="array" aca="1" ref="H601" ca="1">IF(INDEX(I601:Z601,$H$1)=0,"",INDEX(I601:Z601,$H$1))</f>
        <v>Equipment Leaks (Contributions From Standby &amp; Pressurized Periods)</v>
      </c>
      <c r="I601" s="17" t="s">
        <v>3233</v>
      </c>
      <c r="J601" s="17" t="s">
        <v>3233</v>
      </c>
      <c r="K601" s="17" t="s">
        <v>3233</v>
      </c>
    </row>
    <row r="602" spans="1:11" x14ac:dyDescent="0.35">
      <c r="A602" s="10" t="s">
        <v>1283</v>
      </c>
      <c r="B602" s="255">
        <v>7</v>
      </c>
      <c r="C602" s="10" t="s">
        <v>324</v>
      </c>
      <c r="D602" s="10">
        <v>1</v>
      </c>
      <c r="E602" s="10">
        <v>40</v>
      </c>
      <c r="F602" s="10" t="s">
        <v>690</v>
      </c>
      <c r="G602" s="10" t="s">
        <v>695</v>
      </c>
      <c r="H602" s="10" t="str" cm="1">
        <f t="array" aca="1" ref="H602" ca="1">IF(INDEX(I602:Z602,$H$1)=0,"",INDEX(I602:Z602,$H$1))</f>
        <v>Compressor Seals (Contributions From Standby &amp; Pressurized Periods)</v>
      </c>
      <c r="I602" s="17" t="s">
        <v>3230</v>
      </c>
      <c r="J602" s="17" t="s">
        <v>3230</v>
      </c>
      <c r="K602" s="17" t="s">
        <v>3230</v>
      </c>
    </row>
    <row r="603" spans="1:11" x14ac:dyDescent="0.35">
      <c r="A603" s="10" t="s">
        <v>1283</v>
      </c>
      <c r="B603" s="255">
        <v>7</v>
      </c>
      <c r="C603" s="10" t="s">
        <v>324</v>
      </c>
      <c r="D603" s="10">
        <v>1</v>
      </c>
      <c r="E603" s="10">
        <v>40</v>
      </c>
      <c r="F603" s="10" t="s">
        <v>690</v>
      </c>
      <c r="G603" s="10" t="s">
        <v>695</v>
      </c>
      <c r="H603" s="10" t="str" cm="1">
        <f t="array" aca="1" ref="H603" ca="1">IF(INDEX(I603:Z603,$H$1)=0,"",INDEX(I603:Z603,$H$1))</f>
        <v>Equipment Leaks (Contributions From Depressurized Periods)</v>
      </c>
      <c r="I603" s="17" t="s">
        <v>3232</v>
      </c>
      <c r="J603" s="17" t="s">
        <v>3232</v>
      </c>
      <c r="K603" s="17" t="s">
        <v>3232</v>
      </c>
    </row>
    <row r="604" spans="1:11" x14ac:dyDescent="0.35">
      <c r="A604" s="10" t="s">
        <v>1283</v>
      </c>
      <c r="B604" s="255">
        <v>7</v>
      </c>
      <c r="C604" s="10" t="s">
        <v>324</v>
      </c>
      <c r="D604" s="10">
        <v>1</v>
      </c>
      <c r="E604" s="10">
        <v>40</v>
      </c>
      <c r="F604" s="10" t="s">
        <v>690</v>
      </c>
      <c r="G604" s="10" t="s">
        <v>695</v>
      </c>
      <c r="H604" s="10" t="str" cm="1">
        <f t="array" aca="1" ref="H604" ca="1">IF(INDEX(I604:Z604,$H$1)=0,"",INDEX(I604:Z604,$H$1))</f>
        <v>Compressor Seals (Contributions From Depressurized Periods)</v>
      </c>
      <c r="I604" s="17" t="s">
        <v>3231</v>
      </c>
      <c r="J604" s="17" t="s">
        <v>3231</v>
      </c>
      <c r="K604" s="17" t="s">
        <v>3231</v>
      </c>
    </row>
    <row r="605" spans="1:11" x14ac:dyDescent="0.35">
      <c r="A605" s="10" t="s">
        <v>1283</v>
      </c>
      <c r="B605" s="255">
        <v>7</v>
      </c>
      <c r="C605" s="10" t="s">
        <v>324</v>
      </c>
      <c r="D605" s="10">
        <v>1</v>
      </c>
      <c r="E605" s="10">
        <v>40</v>
      </c>
      <c r="F605" s="10" t="s">
        <v>690</v>
      </c>
      <c r="G605" s="10" t="s">
        <v>695</v>
      </c>
      <c r="H605" s="10" t="str" cm="1">
        <f t="array" aca="1" ref="H605" ca="1">IF(INDEX(I605:Z605,$H$1)=0,"",INDEX(I605:Z605,$H$1))</f>
        <v>Equipment Leaks: Total Emissions (Nm3 CH4/h)</v>
      </c>
      <c r="I605" s="17" t="s">
        <v>3235</v>
      </c>
      <c r="J605" s="17" t="s">
        <v>3235</v>
      </c>
      <c r="K605" s="17" t="s">
        <v>3235</v>
      </c>
    </row>
    <row r="606" spans="1:11" x14ac:dyDescent="0.35">
      <c r="A606" s="10" t="s">
        <v>1283</v>
      </c>
      <c r="B606" s="255">
        <v>7</v>
      </c>
      <c r="C606" s="10" t="s">
        <v>324</v>
      </c>
      <c r="D606" s="10">
        <v>1</v>
      </c>
      <c r="E606" s="10">
        <v>40</v>
      </c>
      <c r="F606" s="10" t="s">
        <v>690</v>
      </c>
      <c r="G606" s="10" t="s">
        <v>695</v>
      </c>
      <c r="H606" s="10" t="str" cm="1">
        <f t="array" aca="1" ref="H606" ca="1">IF(INDEX(I606:Z606,$H$1)=0,"",INDEX(I606:Z606,$H$1))</f>
        <v>Compressor Seals: Total Emissions (Nm3 CH4/h)</v>
      </c>
      <c r="I606" s="17" t="s">
        <v>3234</v>
      </c>
      <c r="J606" s="17" t="s">
        <v>3234</v>
      </c>
      <c r="K606" s="17" t="s">
        <v>3234</v>
      </c>
    </row>
    <row r="607" spans="1:11" x14ac:dyDescent="0.35">
      <c r="A607" s="10" t="s">
        <v>1283</v>
      </c>
      <c r="B607" s="255">
        <v>7</v>
      </c>
      <c r="C607" s="10" t="s">
        <v>324</v>
      </c>
      <c r="D607" s="10">
        <v>1</v>
      </c>
      <c r="E607" s="10">
        <v>40</v>
      </c>
      <c r="F607" s="10" t="s">
        <v>690</v>
      </c>
      <c r="G607" s="10" t="s">
        <v>695</v>
      </c>
      <c r="H607" s="10" t="str" cm="1">
        <f t="array" aca="1" ref="H607" ca="1">IF(INDEX(I607:Z607,$H$1)=0,"",INDEX(I607:Z607,$H$1))</f>
        <v>Equipment Leaks: Grand Total Emissions</v>
      </c>
      <c r="I607" s="17" t="s">
        <v>3237</v>
      </c>
      <c r="J607" s="17" t="s">
        <v>3237</v>
      </c>
      <c r="K607" s="17" t="s">
        <v>3237</v>
      </c>
    </row>
    <row r="608" spans="1:11" x14ac:dyDescent="0.35">
      <c r="A608" s="10" t="s">
        <v>1283</v>
      </c>
      <c r="B608" s="255">
        <v>7</v>
      </c>
      <c r="C608" s="10" t="s">
        <v>324</v>
      </c>
      <c r="D608" s="10">
        <v>1</v>
      </c>
      <c r="E608" s="10">
        <v>40</v>
      </c>
      <c r="F608" s="10" t="s">
        <v>690</v>
      </c>
      <c r="G608" s="10" t="s">
        <v>695</v>
      </c>
      <c r="H608" s="10" t="str" cm="1">
        <f t="array" aca="1" ref="H608" ca="1">IF(INDEX(I608:Z608,$H$1)=0,"",INDEX(I608:Z608,$H$1))</f>
        <v>Equipment Leaks: Measured Contribution</v>
      </c>
      <c r="I608" s="17" t="s">
        <v>3238</v>
      </c>
      <c r="J608" s="17" t="s">
        <v>3238</v>
      </c>
      <c r="K608" s="17" t="s">
        <v>3238</v>
      </c>
    </row>
    <row r="609" spans="1:11" x14ac:dyDescent="0.35">
      <c r="A609" s="10" t="s">
        <v>1283</v>
      </c>
      <c r="B609" s="255">
        <v>7</v>
      </c>
      <c r="C609" s="10" t="s">
        <v>324</v>
      </c>
      <c r="D609" s="10">
        <v>1</v>
      </c>
      <c r="E609" s="10">
        <v>40</v>
      </c>
      <c r="F609" s="10" t="s">
        <v>690</v>
      </c>
      <c r="G609" s="10" t="s">
        <v>695</v>
      </c>
      <c r="H609" s="10" t="str" cm="1">
        <f t="array" aca="1" ref="H609" ca="1">IF(INDEX(I609:Z609,$H$1)=0,"",INDEX(I609:Z609,$H$1))</f>
        <v>Equipment Leaks: Estimated Contribution</v>
      </c>
      <c r="I609" s="17" t="s">
        <v>3239</v>
      </c>
      <c r="J609" s="17" t="s">
        <v>3239</v>
      </c>
      <c r="K609" s="17" t="s">
        <v>3239</v>
      </c>
    </row>
    <row r="610" spans="1:11" x14ac:dyDescent="0.35">
      <c r="A610" s="10" t="s">
        <v>1283</v>
      </c>
      <c r="B610" s="255">
        <v>7</v>
      </c>
      <c r="C610" s="10" t="s">
        <v>324</v>
      </c>
      <c r="D610" s="10">
        <v>1</v>
      </c>
      <c r="E610" s="10">
        <v>40</v>
      </c>
      <c r="F610" s="10" t="s">
        <v>690</v>
      </c>
      <c r="G610" s="10" t="s">
        <v>695</v>
      </c>
      <c r="H610" s="10" t="str" cm="1">
        <f t="array" aca="1" ref="H610" ca="1">IF(INDEX(I610:Z610,$H$1)=0,"",INDEX(I610:Z610,$H$1))</f>
        <v>Compressor Seals: Grand Total Emissions</v>
      </c>
      <c r="I610" s="17" t="s">
        <v>3236</v>
      </c>
      <c r="J610" s="17" t="s">
        <v>3236</v>
      </c>
      <c r="K610" s="17" t="s">
        <v>3236</v>
      </c>
    </row>
    <row r="611" spans="1:11" x14ac:dyDescent="0.35">
      <c r="A611" s="10" t="s">
        <v>1283</v>
      </c>
      <c r="B611" s="255">
        <v>7</v>
      </c>
      <c r="C611" s="10" t="s">
        <v>324</v>
      </c>
      <c r="D611" s="10">
        <v>1</v>
      </c>
      <c r="E611" s="10">
        <v>40</v>
      </c>
      <c r="F611" s="10" t="s">
        <v>690</v>
      </c>
      <c r="G611" s="10" t="s">
        <v>695</v>
      </c>
      <c r="H611" s="10" t="str" cm="1">
        <f t="array" aca="1" ref="H611" ca="1">IF(INDEX(I611:Z611,$H$1)=0,"",INDEX(I611:Z611,$H$1))</f>
        <v>Compressor Seals: Measured Contribution</v>
      </c>
      <c r="I611" s="17" t="s">
        <v>3240</v>
      </c>
      <c r="J611" s="17" t="s">
        <v>3240</v>
      </c>
      <c r="K611" s="17" t="s">
        <v>3240</v>
      </c>
    </row>
    <row r="612" spans="1:11" x14ac:dyDescent="0.35">
      <c r="A612" s="10" t="s">
        <v>1283</v>
      </c>
      <c r="B612" s="255">
        <v>7</v>
      </c>
      <c r="C612" s="10" t="s">
        <v>324</v>
      </c>
      <c r="D612" s="10">
        <v>1</v>
      </c>
      <c r="E612" s="10">
        <v>40</v>
      </c>
      <c r="F612" s="10" t="s">
        <v>690</v>
      </c>
      <c r="G612" s="10" t="s">
        <v>695</v>
      </c>
      <c r="H612" s="10" t="str" cm="1">
        <f t="array" aca="1" ref="H612" ca="1">IF(INDEX(I612:Z612,$H$1)=0,"",INDEX(I612:Z612,$H$1))</f>
        <v>Compressor Seals: Estimated Contribution</v>
      </c>
      <c r="I612" s="17" t="s">
        <v>3241</v>
      </c>
      <c r="J612" s="17" t="s">
        <v>3241</v>
      </c>
      <c r="K612" s="17" t="s">
        <v>3241</v>
      </c>
    </row>
    <row r="613" spans="1:11" x14ac:dyDescent="0.35">
      <c r="A613" s="10" t="s">
        <v>1283</v>
      </c>
      <c r="B613" s="255">
        <v>7</v>
      </c>
      <c r="C613" s="10" t="s">
        <v>324</v>
      </c>
      <c r="D613" s="10">
        <v>1</v>
      </c>
      <c r="E613" s="10">
        <v>41</v>
      </c>
      <c r="F613" s="10" t="s">
        <v>38</v>
      </c>
      <c r="G613" s="10" t="s">
        <v>695</v>
      </c>
      <c r="H613" s="10" t="str" cm="1">
        <f t="array" aca="1" ref="H613" ca="1">IF(INDEX(I613:Z613,$H$1)=0,"",INDEX(I613:Z613,$H$1))</f>
        <v>Heavy Liquid</v>
      </c>
      <c r="I613" s="17" t="s">
        <v>156</v>
      </c>
      <c r="J613" s="17" t="s">
        <v>866</v>
      </c>
      <c r="K613" s="27" t="s">
        <v>1541</v>
      </c>
    </row>
    <row r="614" spans="1:11" x14ac:dyDescent="0.35">
      <c r="A614" s="10" t="s">
        <v>1283</v>
      </c>
      <c r="B614" s="255">
        <v>7</v>
      </c>
      <c r="C614" s="10" t="s">
        <v>324</v>
      </c>
      <c r="D614" s="10">
        <v>1</v>
      </c>
      <c r="E614" s="10">
        <v>42</v>
      </c>
      <c r="F614" s="10" t="s">
        <v>690</v>
      </c>
      <c r="G614" s="10" t="s">
        <v>695</v>
      </c>
      <c r="H614" s="10" t="str" cm="1">
        <f t="array" aca="1" ref="H614" ca="1">IF(INDEX(I614:Z614,$H$1)=0,"",INDEX(I614:Z614,$H$1))</f>
        <v>Total Emissions (Nm3 CH4/h)</v>
      </c>
      <c r="I614" s="10" t="s">
        <v>868</v>
      </c>
      <c r="J614" s="10" t="s">
        <v>1275</v>
      </c>
      <c r="K614" s="27" t="s">
        <v>1563</v>
      </c>
    </row>
    <row r="615" spans="1:11" x14ac:dyDescent="0.35">
      <c r="A615" s="10" t="s">
        <v>1283</v>
      </c>
      <c r="B615" s="255">
        <v>7</v>
      </c>
      <c r="C615" s="10" t="s">
        <v>324</v>
      </c>
      <c r="D615" s="10">
        <v>1</v>
      </c>
      <c r="E615" s="10">
        <v>43</v>
      </c>
      <c r="F615" s="10" t="s">
        <v>690</v>
      </c>
      <c r="G615" s="10" t="s">
        <v>695</v>
      </c>
      <c r="H615" s="10" t="str" cm="1">
        <f t="array" aca="1" ref="H615" ca="1">IF(INDEX(I615:Z615,$H$1)=0,"",INDEX(I615:Z615,$H$1))</f>
        <v>Grand Total Emissions</v>
      </c>
      <c r="I615" s="10" t="s">
        <v>313</v>
      </c>
      <c r="J615" s="10" t="s">
        <v>1287</v>
      </c>
      <c r="K615" s="27" t="s">
        <v>1564</v>
      </c>
    </row>
    <row r="616" spans="1:11" x14ac:dyDescent="0.35">
      <c r="A616" s="10" t="s">
        <v>1283</v>
      </c>
      <c r="B616" s="255">
        <v>7</v>
      </c>
      <c r="C616" s="10" t="s">
        <v>324</v>
      </c>
      <c r="D616" s="10">
        <v>1</v>
      </c>
      <c r="E616" s="10">
        <v>43</v>
      </c>
      <c r="F616" s="10" t="s">
        <v>690</v>
      </c>
      <c r="G616" s="10" t="s">
        <v>695</v>
      </c>
      <c r="H616" s="10" t="str" cm="1">
        <f t="array" aca="1" ref="H616" ca="1">IF(INDEX(I616:Z616,$H$1)=0,"",INDEX(I616:Z616,$H$1))</f>
        <v>Measured Contribution:</v>
      </c>
      <c r="I616" s="10" t="s">
        <v>2372</v>
      </c>
      <c r="J616" s="10" t="s">
        <v>2372</v>
      </c>
      <c r="K616" s="10" t="s">
        <v>2372</v>
      </c>
    </row>
    <row r="617" spans="1:11" x14ac:dyDescent="0.35">
      <c r="A617" s="10" t="s">
        <v>1283</v>
      </c>
      <c r="B617" s="255">
        <v>7</v>
      </c>
      <c r="C617" s="10" t="s">
        <v>324</v>
      </c>
      <c r="D617" s="10">
        <v>1</v>
      </c>
      <c r="E617" s="10">
        <v>43</v>
      </c>
      <c r="F617" s="10" t="s">
        <v>690</v>
      </c>
      <c r="G617" s="10" t="s">
        <v>695</v>
      </c>
      <c r="H617" s="10" t="str" cm="1">
        <f t="array" aca="1" ref="H617" ca="1">IF(INDEX(I617:Z617,$H$1)=0,"",INDEX(I617:Z617,$H$1))</f>
        <v>Estimated Contribution:</v>
      </c>
      <c r="I617" s="10" t="s">
        <v>2373</v>
      </c>
      <c r="J617" s="10" t="s">
        <v>2373</v>
      </c>
      <c r="K617" s="10" t="s">
        <v>2373</v>
      </c>
    </row>
    <row r="618" spans="1:11" x14ac:dyDescent="0.35">
      <c r="A618" s="10" t="s">
        <v>1283</v>
      </c>
      <c r="B618" s="255">
        <v>7</v>
      </c>
      <c r="C618" s="10" t="s">
        <v>324</v>
      </c>
      <c r="D618" s="10">
        <v>1</v>
      </c>
      <c r="E618" s="10">
        <v>43</v>
      </c>
      <c r="F618" s="10" t="s">
        <v>690</v>
      </c>
      <c r="G618" s="10" t="s">
        <v>695</v>
      </c>
      <c r="H618" s="10" t="str" cm="1">
        <f t="array" aca="1" ref="H618" ca="1">IF(INDEX(I618:Z618,$H$1)=0,"",INDEX(I618:Z618,$H$1))</f>
        <v>CH4</v>
      </c>
      <c r="I618" s="10" t="s">
        <v>60</v>
      </c>
      <c r="J618" s="10" t="s">
        <v>60</v>
      </c>
      <c r="K618" s="10" t="s">
        <v>60</v>
      </c>
    </row>
    <row r="619" spans="1:11" x14ac:dyDescent="0.35">
      <c r="A619" s="10" t="s">
        <v>1283</v>
      </c>
      <c r="B619" s="255">
        <v>7</v>
      </c>
      <c r="C619" s="10" t="s">
        <v>324</v>
      </c>
      <c r="D619" s="10">
        <v>1</v>
      </c>
      <c r="E619" s="10">
        <v>43</v>
      </c>
      <c r="F619" s="10" t="s">
        <v>690</v>
      </c>
      <c r="G619" s="10" t="s">
        <v>695</v>
      </c>
      <c r="H619" s="10" t="str" cm="1">
        <f t="array" aca="1" ref="H619" ca="1">IF(INDEX(I619:Z619,$H$1)=0,"",INDEX(I619:Z619,$H$1))</f>
        <v>CO2</v>
      </c>
      <c r="I619" s="10" t="s">
        <v>65</v>
      </c>
      <c r="J619" s="10" t="s">
        <v>65</v>
      </c>
      <c r="K619" s="10" t="s">
        <v>65</v>
      </c>
    </row>
    <row r="620" spans="1:11" x14ac:dyDescent="0.35">
      <c r="A620" s="10" t="s">
        <v>1283</v>
      </c>
      <c r="B620" s="255">
        <v>7</v>
      </c>
      <c r="C620" s="10" t="s">
        <v>324</v>
      </c>
      <c r="D620" s="10">
        <v>1</v>
      </c>
      <c r="E620" s="10">
        <v>43</v>
      </c>
      <c r="F620" s="10" t="s">
        <v>690</v>
      </c>
      <c r="G620" s="10" t="s">
        <v>695</v>
      </c>
      <c r="H620" s="10" t="str" cm="1">
        <f t="array" aca="1" ref="H620" ca="1">IF(INDEX(I620:Z620,$H$1)=0,"",INDEX(I620:Z620,$H$1))</f>
        <v>NMVOC</v>
      </c>
      <c r="I620" s="10" t="s">
        <v>2589</v>
      </c>
      <c r="J620" s="10" t="s">
        <v>2589</v>
      </c>
      <c r="K620" s="10" t="s">
        <v>2589</v>
      </c>
    </row>
    <row r="621" spans="1:11" x14ac:dyDescent="0.35">
      <c r="A621" s="10" t="s">
        <v>1283</v>
      </c>
      <c r="B621" s="255">
        <v>7</v>
      </c>
      <c r="C621" s="10" t="s">
        <v>324</v>
      </c>
      <c r="D621" s="10">
        <v>1</v>
      </c>
      <c r="E621" s="10">
        <v>43</v>
      </c>
      <c r="F621" s="10" t="s">
        <v>690</v>
      </c>
      <c r="G621" s="10" t="s">
        <v>695</v>
      </c>
      <c r="H621" s="10" t="str" cm="1">
        <f t="array" aca="1" ref="H621" ca="1">IF(INDEX(I621:Z621,$H$1)=0,"",INDEX(I621:Z621,$H$1))</f>
        <v>Nm3/h</v>
      </c>
      <c r="I621" s="10" t="s">
        <v>2050</v>
      </c>
      <c r="J621" s="10" t="s">
        <v>2050</v>
      </c>
      <c r="K621" s="10" t="s">
        <v>2050</v>
      </c>
    </row>
    <row r="622" spans="1:11" x14ac:dyDescent="0.35">
      <c r="A622" s="10" t="s">
        <v>1283</v>
      </c>
      <c r="B622" s="255">
        <v>7</v>
      </c>
      <c r="C622" s="10" t="s">
        <v>324</v>
      </c>
      <c r="D622" s="10">
        <v>1</v>
      </c>
      <c r="E622" s="10">
        <v>43</v>
      </c>
      <c r="F622" s="10" t="s">
        <v>690</v>
      </c>
      <c r="G622" s="10" t="s">
        <v>695</v>
      </c>
      <c r="H622" s="10" t="str" cm="1">
        <f t="array" aca="1" ref="H622" ca="1">IF(INDEX(I622:Z622,$H$1)=0,"",INDEX(I622:Z622,$H$1))</f>
        <v>Nm3/d</v>
      </c>
      <c r="I622" s="10" t="s">
        <v>2051</v>
      </c>
      <c r="J622" s="10" t="s">
        <v>2051</v>
      </c>
      <c r="K622" s="10" t="s">
        <v>2051</v>
      </c>
    </row>
    <row r="623" spans="1:11" x14ac:dyDescent="0.35">
      <c r="A623" s="10" t="s">
        <v>1283</v>
      </c>
      <c r="B623" s="255">
        <v>7</v>
      </c>
      <c r="C623" s="10" t="s">
        <v>324</v>
      </c>
      <c r="D623" s="10">
        <v>1</v>
      </c>
      <c r="E623" s="10">
        <v>43</v>
      </c>
      <c r="F623" s="10" t="s">
        <v>690</v>
      </c>
      <c r="G623" s="10" t="s">
        <v>695</v>
      </c>
      <c r="H623" s="10" t="str" cm="1">
        <f t="array" aca="1" ref="H623" ca="1">IF(INDEX(I623:Z623,$H$1)=0,"",INDEX(I623:Z623,$H$1))</f>
        <v>Nm3/y</v>
      </c>
      <c r="I623" s="10" t="s">
        <v>880</v>
      </c>
      <c r="J623" s="10" t="s">
        <v>880</v>
      </c>
      <c r="K623" s="10" t="s">
        <v>880</v>
      </c>
    </row>
    <row r="624" spans="1:11" x14ac:dyDescent="0.35">
      <c r="A624" s="10" t="s">
        <v>1283</v>
      </c>
      <c r="B624" s="255">
        <v>7</v>
      </c>
      <c r="C624" s="10" t="s">
        <v>324</v>
      </c>
      <c r="D624" s="10">
        <v>1</v>
      </c>
      <c r="E624" s="10">
        <v>43</v>
      </c>
      <c r="F624" s="10" t="s">
        <v>690</v>
      </c>
      <c r="G624" s="10" t="s">
        <v>695</v>
      </c>
      <c r="H624" s="10" t="str" cm="1">
        <f t="array" aca="1" ref="H624" ca="1">IF(INDEX(I624:Z624,$H$1)=0,"",INDEX(I624:Z624,$H$1))</f>
        <v>tonnes/y</v>
      </c>
      <c r="I624" s="10" t="s">
        <v>2442</v>
      </c>
      <c r="J624" s="10" t="s">
        <v>2442</v>
      </c>
      <c r="K624" s="10" t="s">
        <v>2442</v>
      </c>
    </row>
    <row r="625" spans="1:11" x14ac:dyDescent="0.35">
      <c r="A625" s="10" t="s">
        <v>1283</v>
      </c>
      <c r="B625" s="255">
        <v>7</v>
      </c>
      <c r="C625" s="10" t="s">
        <v>324</v>
      </c>
      <c r="D625" s="10">
        <v>1</v>
      </c>
      <c r="E625" s="10">
        <v>43</v>
      </c>
      <c r="F625" s="10" t="s">
        <v>692</v>
      </c>
      <c r="G625" s="10" t="s">
        <v>767</v>
      </c>
      <c r="H625" s="10" t="str" cm="1">
        <f t="array" aca="1" ref="H625" ca="1">IF(INDEX(I625:Z625,$H$1)=0,"",INDEX(I625:Z625,$H$1))</f>
        <v>Nm3 CH4/h</v>
      </c>
      <c r="I625" s="10" t="s">
        <v>869</v>
      </c>
      <c r="J625" s="10" t="s">
        <v>869</v>
      </c>
      <c r="K625" s="27" t="s">
        <v>869</v>
      </c>
    </row>
    <row r="626" spans="1:11" x14ac:dyDescent="0.35">
      <c r="A626" s="10" t="s">
        <v>1283</v>
      </c>
      <c r="B626" s="255">
        <v>7</v>
      </c>
      <c r="C626" s="10" t="s">
        <v>324</v>
      </c>
      <c r="D626" s="10">
        <v>1</v>
      </c>
      <c r="E626" s="10">
        <v>43</v>
      </c>
      <c r="F626" s="10" t="s">
        <v>694</v>
      </c>
      <c r="G626" s="10" t="s">
        <v>767</v>
      </c>
      <c r="H626" s="10" t="str" cm="1">
        <f t="array" aca="1" ref="H626" ca="1">IF(INDEX(I626:Z626,$H$1)=0,"",INDEX(I626:Z626,$H$1))</f>
        <v>Error Check:</v>
      </c>
      <c r="I626" s="10" t="s">
        <v>327</v>
      </c>
      <c r="J626" s="10" t="s">
        <v>886</v>
      </c>
      <c r="K626" s="27" t="s">
        <v>1565</v>
      </c>
    </row>
    <row r="627" spans="1:11" x14ac:dyDescent="0.35">
      <c r="A627" s="10" t="s">
        <v>1283</v>
      </c>
      <c r="B627" s="255">
        <v>7</v>
      </c>
      <c r="C627" s="10" t="s">
        <v>324</v>
      </c>
      <c r="D627" s="10">
        <v>1</v>
      </c>
      <c r="E627" s="10">
        <v>44</v>
      </c>
      <c r="F627" s="10" t="s">
        <v>692</v>
      </c>
      <c r="G627" s="10" t="s">
        <v>767</v>
      </c>
      <c r="H627" s="10" t="str" cm="1">
        <f t="array" aca="1" ref="H627" ca="1">IF(INDEX(I627:Z627,$H$1)=0,"",INDEX(I627:Z627,$H$1))</f>
        <v>Nm3 CH4/y</v>
      </c>
      <c r="I627" s="10" t="s">
        <v>870</v>
      </c>
      <c r="J627" s="10" t="s">
        <v>870</v>
      </c>
      <c r="K627" s="27" t="s">
        <v>1566</v>
      </c>
    </row>
    <row r="628" spans="1:11" x14ac:dyDescent="0.35">
      <c r="A628" s="10" t="s">
        <v>1283</v>
      </c>
      <c r="B628" s="255">
        <v>7</v>
      </c>
      <c r="C628" s="10" t="s">
        <v>324</v>
      </c>
      <c r="D628" s="10">
        <v>1</v>
      </c>
      <c r="E628" s="10">
        <v>44</v>
      </c>
      <c r="F628" s="10" t="s">
        <v>711</v>
      </c>
      <c r="G628" s="10" t="s">
        <v>767</v>
      </c>
      <c r="H628" s="10" t="str" cm="1">
        <f t="array" aca="1" ref="H628" ca="1">IF(INDEX(I628:Z628,$H$1)=0,"",INDEX(I628:Z628,$H$1))</f>
        <v>Note:  "#N/A" in the component-count field indicates that the process-unit type is invalid (or undefined) for the specified industry sector.</v>
      </c>
      <c r="I628" s="10" t="s">
        <v>328</v>
      </c>
      <c r="J628" s="10" t="s">
        <v>1268</v>
      </c>
      <c r="K628" s="27" t="s">
        <v>1567</v>
      </c>
    </row>
    <row r="629" spans="1:11" x14ac:dyDescent="0.35">
      <c r="A629" s="10" t="s">
        <v>1283</v>
      </c>
      <c r="B629" s="255">
        <v>7</v>
      </c>
      <c r="C629" s="10" t="s">
        <v>324</v>
      </c>
      <c r="D629" s="10">
        <v>1</v>
      </c>
      <c r="E629" s="10">
        <v>45</v>
      </c>
      <c r="F629" s="10" t="s">
        <v>692</v>
      </c>
      <c r="G629" s="10" t="s">
        <v>767</v>
      </c>
      <c r="H629" s="10" t="str" cm="1">
        <f t="array" aca="1" ref="H629" ca="1">IF(INDEX(I629:Z629,$H$1)=0,"",INDEX(I629:Z629,$H$1))</f>
        <v>tonnes CH4/y</v>
      </c>
      <c r="I629" s="10" t="s">
        <v>314</v>
      </c>
      <c r="J629" s="10" t="s">
        <v>1072</v>
      </c>
      <c r="K629" s="27" t="s">
        <v>1568</v>
      </c>
    </row>
    <row r="630" spans="1:11" x14ac:dyDescent="0.35">
      <c r="A630" s="10" t="s">
        <v>1283</v>
      </c>
      <c r="B630" s="255">
        <v>7</v>
      </c>
      <c r="C630" s="10" t="s">
        <v>383</v>
      </c>
      <c r="D630" s="10">
        <v>2</v>
      </c>
      <c r="E630" s="10">
        <v>47</v>
      </c>
      <c r="F630" s="10" t="s">
        <v>690</v>
      </c>
      <c r="G630" s="10" t="s">
        <v>688</v>
      </c>
      <c r="H630" s="10" t="str" cm="1">
        <f t="array" aca="1" ref="H630" ca="1">IF(INDEX(I630:Z630,$H$1)=0,"",INDEX(I630:Z630,$H$1))</f>
        <v>Inventory of Pneumatic Controllers:</v>
      </c>
      <c r="I630" s="10" t="s">
        <v>383</v>
      </c>
      <c r="J630" s="10" t="s">
        <v>887</v>
      </c>
      <c r="K630" s="27" t="s">
        <v>1569</v>
      </c>
    </row>
    <row r="631" spans="1:11" x14ac:dyDescent="0.35">
      <c r="A631" s="10" t="s">
        <v>1283</v>
      </c>
      <c r="B631" s="255">
        <v>7</v>
      </c>
      <c r="C631" s="10" t="s">
        <v>383</v>
      </c>
      <c r="D631" s="10">
        <v>2</v>
      </c>
      <c r="E631" s="10">
        <v>49</v>
      </c>
      <c r="F631" s="10" t="s">
        <v>690</v>
      </c>
      <c r="G631" s="10" t="s">
        <v>696</v>
      </c>
      <c r="H631" s="10" t="str" cm="1">
        <f t="array" aca="1" ref="H631" ca="1">IF(INDEX(I631:Z631,$H$1)=0,"",INDEX(I631:Z631,$H$1))</f>
        <v>Controller Type</v>
      </c>
      <c r="I631" s="10" t="s">
        <v>325</v>
      </c>
      <c r="J631" s="10" t="s">
        <v>748</v>
      </c>
      <c r="K631" s="27" t="s">
        <v>1570</v>
      </c>
    </row>
    <row r="632" spans="1:11" x14ac:dyDescent="0.35">
      <c r="A632" s="10" t="s">
        <v>1283</v>
      </c>
      <c r="B632" s="255">
        <v>7</v>
      </c>
      <c r="C632" s="10" t="s">
        <v>383</v>
      </c>
      <c r="D632" s="10">
        <v>2</v>
      </c>
      <c r="E632" s="10">
        <v>49</v>
      </c>
      <c r="F632" s="10" t="s">
        <v>38</v>
      </c>
      <c r="G632" s="10" t="s">
        <v>696</v>
      </c>
      <c r="H632" s="10" t="str" cm="1">
        <f t="array" aca="1" ref="H632" ca="1">IF(INDEX(I632:Z632,$H$1)=0,"",INDEX(I632:Z632,$H$1))</f>
        <v>Emission Factors (m3/d/controller)</v>
      </c>
      <c r="I632" s="10" t="s">
        <v>871</v>
      </c>
      <c r="J632" s="10" t="s">
        <v>891</v>
      </c>
      <c r="K632" s="27" t="s">
        <v>1571</v>
      </c>
    </row>
    <row r="633" spans="1:11" x14ac:dyDescent="0.35">
      <c r="A633" s="10" t="s">
        <v>1283</v>
      </c>
      <c r="B633" s="255">
        <v>7</v>
      </c>
      <c r="C633" s="10" t="s">
        <v>383</v>
      </c>
      <c r="D633" s="10">
        <v>2</v>
      </c>
      <c r="E633" s="10">
        <v>49</v>
      </c>
      <c r="F633" s="10" t="s">
        <v>693</v>
      </c>
      <c r="G633" s="10" t="s">
        <v>696</v>
      </c>
      <c r="H633" s="10" t="str" cm="1">
        <f t="array" aca="1" ref="H633" ca="1">IF(INDEX(I633:Z633,$H$1)=0,"",INDEX(I633:Z633,$H$1))</f>
        <v>Emission Calculations</v>
      </c>
      <c r="I633" s="10" t="s">
        <v>312</v>
      </c>
      <c r="J633" s="10" t="s">
        <v>892</v>
      </c>
      <c r="K633" s="27" t="s">
        <v>1572</v>
      </c>
    </row>
    <row r="634" spans="1:11" x14ac:dyDescent="0.35">
      <c r="A634" s="10" t="s">
        <v>1283</v>
      </c>
      <c r="B634" s="255">
        <v>7</v>
      </c>
      <c r="C634" s="10" t="s">
        <v>383</v>
      </c>
      <c r="D634" s="10">
        <v>2</v>
      </c>
      <c r="E634" s="10">
        <v>50</v>
      </c>
      <c r="F634" s="10" t="s">
        <v>822</v>
      </c>
      <c r="G634" s="10" t="s">
        <v>696</v>
      </c>
      <c r="H634" s="10" t="str" cm="1">
        <f t="array" aca="1" ref="H634" ca="1">IF(INDEX(I634:Z634,$H$1)=0,"",INDEX(I634:Z634,$H$1))</f>
        <v>Category 12</v>
      </c>
      <c r="I634" s="10" t="s">
        <v>292</v>
      </c>
      <c r="J634" s="10" t="s">
        <v>846</v>
      </c>
      <c r="K634" s="27" t="s">
        <v>1522</v>
      </c>
    </row>
    <row r="635" spans="1:11" x14ac:dyDescent="0.35">
      <c r="A635" s="10" t="s">
        <v>1283</v>
      </c>
      <c r="B635" s="255">
        <v>7</v>
      </c>
      <c r="C635" s="10" t="s">
        <v>383</v>
      </c>
      <c r="D635" s="10">
        <v>2</v>
      </c>
      <c r="E635" s="10">
        <v>50</v>
      </c>
      <c r="F635" s="10" t="s">
        <v>824</v>
      </c>
      <c r="G635" s="10" t="s">
        <v>696</v>
      </c>
      <c r="H635" s="10" t="str" cm="1">
        <f t="array" aca="1" ref="H635" ca="1">IF(INDEX(I635:Z635,$H$1)=0,"",INDEX(I635:Z635,$H$1))</f>
        <v>Category 13</v>
      </c>
      <c r="I635" s="10" t="s">
        <v>293</v>
      </c>
      <c r="J635" s="10" t="s">
        <v>847</v>
      </c>
      <c r="K635" s="27" t="s">
        <v>1523</v>
      </c>
    </row>
    <row r="636" spans="1:11" x14ac:dyDescent="0.35">
      <c r="A636" s="10" t="s">
        <v>1283</v>
      </c>
      <c r="B636" s="255">
        <v>7</v>
      </c>
      <c r="C636" s="10" t="s">
        <v>383</v>
      </c>
      <c r="D636" s="10">
        <v>2</v>
      </c>
      <c r="E636" s="10">
        <v>50</v>
      </c>
      <c r="F636" s="10" t="s">
        <v>826</v>
      </c>
      <c r="G636" s="10" t="s">
        <v>696</v>
      </c>
      <c r="H636" s="10" t="str" cm="1">
        <f t="array" aca="1" ref="H636" ca="1">IF(INDEX(I636:Z636,$H$1)=0,"",INDEX(I636:Z636,$H$1))</f>
        <v>Category 14</v>
      </c>
      <c r="I636" s="10" t="s">
        <v>294</v>
      </c>
      <c r="J636" s="10" t="s">
        <v>848</v>
      </c>
      <c r="K636" s="27" t="s">
        <v>1524</v>
      </c>
    </row>
    <row r="637" spans="1:11" x14ac:dyDescent="0.35">
      <c r="A637" s="10" t="s">
        <v>1283</v>
      </c>
      <c r="B637" s="255">
        <v>7</v>
      </c>
      <c r="C637" s="10" t="s">
        <v>383</v>
      </c>
      <c r="D637" s="10">
        <v>2</v>
      </c>
      <c r="E637" s="10">
        <v>50</v>
      </c>
      <c r="F637" s="10" t="s">
        <v>828</v>
      </c>
      <c r="G637" s="10" t="s">
        <v>696</v>
      </c>
      <c r="H637" s="10" t="str" cm="1">
        <f t="array" aca="1" ref="H637" ca="1">IF(INDEX(I637:Z637,$H$1)=0,"",INDEX(I637:Z637,$H$1))</f>
        <v>Category 15</v>
      </c>
      <c r="I637" s="10" t="s">
        <v>295</v>
      </c>
      <c r="J637" s="10" t="s">
        <v>849</v>
      </c>
      <c r="K637" s="27" t="s">
        <v>1525</v>
      </c>
    </row>
    <row r="638" spans="1:11" x14ac:dyDescent="0.35">
      <c r="A638" s="10" t="s">
        <v>1283</v>
      </c>
      <c r="B638" s="255">
        <v>7</v>
      </c>
      <c r="C638" s="10" t="s">
        <v>383</v>
      </c>
      <c r="D638" s="10">
        <v>2</v>
      </c>
      <c r="E638" s="10">
        <v>50</v>
      </c>
      <c r="F638" s="10" t="s">
        <v>693</v>
      </c>
      <c r="G638" s="10" t="s">
        <v>696</v>
      </c>
      <c r="H638" s="10" t="str" cm="1">
        <f t="array" aca="1" ref="H638" ca="1">IF(INDEX(I638:Z638,$H$1)=0,"",INDEX(I638:Z638,$H$1))</f>
        <v>Category 1</v>
      </c>
      <c r="I638" s="10" t="s">
        <v>281</v>
      </c>
      <c r="J638" s="10" t="s">
        <v>835</v>
      </c>
      <c r="K638" s="27" t="s">
        <v>1527</v>
      </c>
    </row>
    <row r="639" spans="1:11" x14ac:dyDescent="0.35">
      <c r="A639" s="10" t="s">
        <v>1283</v>
      </c>
      <c r="B639" s="255">
        <v>7</v>
      </c>
      <c r="C639" s="10" t="s">
        <v>383</v>
      </c>
      <c r="D639" s="10">
        <v>2</v>
      </c>
      <c r="E639" s="10">
        <v>50</v>
      </c>
      <c r="F639" s="10" t="s">
        <v>711</v>
      </c>
      <c r="G639" s="10" t="s">
        <v>696</v>
      </c>
      <c r="H639" s="10" t="str" cm="1">
        <f t="array" aca="1" ref="H639" ca="1">IF(INDEX(I639:Z639,$H$1)=0,"",INDEX(I639:Z639,$H$1))</f>
        <v>Category 2</v>
      </c>
      <c r="I639" s="10" t="s">
        <v>282</v>
      </c>
      <c r="J639" s="10" t="s">
        <v>836</v>
      </c>
      <c r="K639" s="27" t="s">
        <v>1528</v>
      </c>
    </row>
    <row r="640" spans="1:11" x14ac:dyDescent="0.35">
      <c r="A640" s="10" t="s">
        <v>1283</v>
      </c>
      <c r="B640" s="255">
        <v>7</v>
      </c>
      <c r="C640" s="10" t="s">
        <v>383</v>
      </c>
      <c r="D640" s="10">
        <v>2</v>
      </c>
      <c r="E640" s="10">
        <v>50</v>
      </c>
      <c r="F640" s="10" t="s">
        <v>712</v>
      </c>
      <c r="G640" s="10" t="s">
        <v>696</v>
      </c>
      <c r="H640" s="10" t="str" cm="1">
        <f t="array" aca="1" ref="H640" ca="1">IF(INDEX(I640:Z640,$H$1)=0,"",INDEX(I640:Z640,$H$1))</f>
        <v>Category 3</v>
      </c>
      <c r="I640" s="10" t="s">
        <v>283</v>
      </c>
      <c r="J640" s="10" t="s">
        <v>837</v>
      </c>
      <c r="K640" s="27" t="s">
        <v>1529</v>
      </c>
    </row>
    <row r="641" spans="1:11" x14ac:dyDescent="0.35">
      <c r="A641" s="10" t="s">
        <v>1283</v>
      </c>
      <c r="B641" s="255">
        <v>7</v>
      </c>
      <c r="C641" s="10" t="s">
        <v>383</v>
      </c>
      <c r="D641" s="10">
        <v>2</v>
      </c>
      <c r="E641" s="10">
        <v>50</v>
      </c>
      <c r="F641" s="10" t="s">
        <v>772</v>
      </c>
      <c r="G641" s="10" t="s">
        <v>696</v>
      </c>
      <c r="H641" s="10" t="str" cm="1">
        <f t="array" aca="1" ref="H641" ca="1">IF(INDEX(I641:Z641,$H$1)=0,"",INDEX(I641:Z641,$H$1))</f>
        <v>Category 4</v>
      </c>
      <c r="I641" s="10" t="s">
        <v>284</v>
      </c>
      <c r="J641" s="10" t="s">
        <v>838</v>
      </c>
      <c r="K641" s="27" t="s">
        <v>1530</v>
      </c>
    </row>
    <row r="642" spans="1:11" x14ac:dyDescent="0.35">
      <c r="A642" s="10" t="s">
        <v>1283</v>
      </c>
      <c r="B642" s="255">
        <v>7</v>
      </c>
      <c r="C642" s="10" t="s">
        <v>383</v>
      </c>
      <c r="D642" s="10">
        <v>2</v>
      </c>
      <c r="E642" s="10">
        <v>50</v>
      </c>
      <c r="F642" s="10" t="s">
        <v>771</v>
      </c>
      <c r="G642" s="10" t="s">
        <v>696</v>
      </c>
      <c r="H642" s="10" t="str" cm="1">
        <f t="array" aca="1" ref="H642" ca="1">IF(INDEX(I642:Z642,$H$1)=0,"",INDEX(I642:Z642,$H$1))</f>
        <v>Category 5</v>
      </c>
      <c r="I642" s="10" t="s">
        <v>285</v>
      </c>
      <c r="J642" s="10" t="s">
        <v>839</v>
      </c>
      <c r="K642" s="27" t="s">
        <v>1531</v>
      </c>
    </row>
    <row r="643" spans="1:11" x14ac:dyDescent="0.35">
      <c r="A643" s="10" t="s">
        <v>1283</v>
      </c>
      <c r="B643" s="255">
        <v>7</v>
      </c>
      <c r="C643" s="10" t="s">
        <v>383</v>
      </c>
      <c r="D643" s="10">
        <v>2</v>
      </c>
      <c r="E643" s="10">
        <v>50</v>
      </c>
      <c r="F643" s="10" t="s">
        <v>594</v>
      </c>
      <c r="G643" s="10" t="s">
        <v>696</v>
      </c>
      <c r="H643" s="10" t="str" cm="1">
        <f t="array" aca="1" ref="H643" ca="1">IF(INDEX(I643:Z643,$H$1)=0,"",INDEX(I643:Z643,$H$1))</f>
        <v>Category 6</v>
      </c>
      <c r="I643" s="10" t="s">
        <v>286</v>
      </c>
      <c r="J643" s="10" t="s">
        <v>840</v>
      </c>
      <c r="K643" s="27" t="s">
        <v>1532</v>
      </c>
    </row>
    <row r="644" spans="1:11" x14ac:dyDescent="0.35">
      <c r="A644" s="10" t="s">
        <v>1283</v>
      </c>
      <c r="B644" s="255">
        <v>7</v>
      </c>
      <c r="C644" s="10" t="s">
        <v>383</v>
      </c>
      <c r="D644" s="10">
        <v>2</v>
      </c>
      <c r="E644" s="10">
        <v>50</v>
      </c>
      <c r="F644" s="10" t="s">
        <v>777</v>
      </c>
      <c r="G644" s="10" t="s">
        <v>696</v>
      </c>
      <c r="H644" s="10" t="str" cm="1">
        <f t="array" aca="1" ref="H644" ca="1">IF(INDEX(I644:Z644,$H$1)=0,"",INDEX(I644:Z644,$H$1))</f>
        <v>Category 7</v>
      </c>
      <c r="I644" s="10" t="s">
        <v>287</v>
      </c>
      <c r="J644" s="10" t="s">
        <v>841</v>
      </c>
      <c r="K644" s="27" t="s">
        <v>1533</v>
      </c>
    </row>
    <row r="645" spans="1:11" x14ac:dyDescent="0.35">
      <c r="A645" s="10" t="s">
        <v>1283</v>
      </c>
      <c r="B645" s="255">
        <v>7</v>
      </c>
      <c r="C645" s="10" t="s">
        <v>383</v>
      </c>
      <c r="D645" s="10">
        <v>2</v>
      </c>
      <c r="E645" s="10">
        <v>50</v>
      </c>
      <c r="F645" s="10" t="s">
        <v>592</v>
      </c>
      <c r="G645" s="10" t="s">
        <v>696</v>
      </c>
      <c r="H645" s="10" t="str" cm="1">
        <f t="array" aca="1" ref="H645" ca="1">IF(INDEX(I645:Z645,$H$1)=0,"",INDEX(I645:Z645,$H$1))</f>
        <v>Category 8</v>
      </c>
      <c r="I645" s="10" t="s">
        <v>288</v>
      </c>
      <c r="J645" s="10" t="s">
        <v>842</v>
      </c>
      <c r="K645" s="27" t="s">
        <v>1534</v>
      </c>
    </row>
    <row r="646" spans="1:11" x14ac:dyDescent="0.35">
      <c r="A646" s="10" t="s">
        <v>1283</v>
      </c>
      <c r="B646" s="255">
        <v>7</v>
      </c>
      <c r="C646" s="10" t="s">
        <v>383</v>
      </c>
      <c r="D646" s="10">
        <v>2</v>
      </c>
      <c r="E646" s="10">
        <v>50</v>
      </c>
      <c r="F646" s="10" t="s">
        <v>817</v>
      </c>
      <c r="G646" s="10" t="s">
        <v>696</v>
      </c>
      <c r="H646" s="10" t="str" cm="1">
        <f t="array" aca="1" ref="H646" ca="1">IF(INDEX(I646:Z646,$H$1)=0,"",INDEX(I646:Z646,$H$1))</f>
        <v>Category 9</v>
      </c>
      <c r="I646" s="10" t="s">
        <v>289</v>
      </c>
      <c r="J646" s="10" t="s">
        <v>843</v>
      </c>
      <c r="K646" s="27" t="s">
        <v>1535</v>
      </c>
    </row>
    <row r="647" spans="1:11" x14ac:dyDescent="0.35">
      <c r="A647" s="10" t="s">
        <v>1283</v>
      </c>
      <c r="B647" s="255">
        <v>7</v>
      </c>
      <c r="C647" s="10" t="s">
        <v>383</v>
      </c>
      <c r="D647" s="10">
        <v>2</v>
      </c>
      <c r="E647" s="10">
        <v>50</v>
      </c>
      <c r="F647" s="10" t="s">
        <v>818</v>
      </c>
      <c r="G647" s="10" t="s">
        <v>696</v>
      </c>
      <c r="H647" s="10" t="str" cm="1">
        <f t="array" aca="1" ref="H647" ca="1">IF(INDEX(I647:Z647,$H$1)=0,"",INDEX(I647:Z647,$H$1))</f>
        <v>Category 10</v>
      </c>
      <c r="I647" s="10" t="s">
        <v>290</v>
      </c>
      <c r="J647" s="10" t="s">
        <v>844</v>
      </c>
      <c r="K647" s="27" t="s">
        <v>1536</v>
      </c>
    </row>
    <row r="648" spans="1:11" x14ac:dyDescent="0.35">
      <c r="A648" s="10" t="s">
        <v>1283</v>
      </c>
      <c r="B648" s="255">
        <v>7</v>
      </c>
      <c r="C648" s="10" t="s">
        <v>383</v>
      </c>
      <c r="D648" s="10">
        <v>2</v>
      </c>
      <c r="E648" s="10">
        <v>50</v>
      </c>
      <c r="F648" s="10" t="s">
        <v>820</v>
      </c>
      <c r="G648" s="10" t="s">
        <v>696</v>
      </c>
      <c r="H648" s="10" t="str" cm="1">
        <f t="array" aca="1" ref="H648" ca="1">IF(INDEX(I648:Z648,$H$1)=0,"",INDEX(I648:Z648,$H$1))</f>
        <v>Category 11</v>
      </c>
      <c r="I648" s="10" t="s">
        <v>291</v>
      </c>
      <c r="J648" s="10" t="s">
        <v>845</v>
      </c>
      <c r="K648" s="27" t="s">
        <v>1521</v>
      </c>
    </row>
    <row r="649" spans="1:11" x14ac:dyDescent="0.35">
      <c r="A649" s="10" t="s">
        <v>1283</v>
      </c>
      <c r="B649" s="255">
        <v>7</v>
      </c>
      <c r="C649" s="10" t="s">
        <v>383</v>
      </c>
      <c r="D649" s="10">
        <v>2</v>
      </c>
      <c r="E649" s="10">
        <v>53</v>
      </c>
      <c r="F649" s="10" t="s">
        <v>822</v>
      </c>
      <c r="G649" s="10" t="s">
        <v>696</v>
      </c>
      <c r="H649" s="10" t="str" cm="1">
        <f t="array" aca="1" ref="H649" ca="1">IF(INDEX(I649:Z649,$H$1)=0,"",INDEX(I649:Z649,$H$1))</f>
        <v>Controller Count</v>
      </c>
      <c r="I649" s="10" t="s">
        <v>337</v>
      </c>
      <c r="J649" s="10" t="s">
        <v>893</v>
      </c>
      <c r="K649" s="27" t="s">
        <v>1573</v>
      </c>
    </row>
    <row r="650" spans="1:11" x14ac:dyDescent="0.35">
      <c r="A650" s="10" t="s">
        <v>1283</v>
      </c>
      <c r="B650" s="255">
        <v>7</v>
      </c>
      <c r="C650" s="10" t="s">
        <v>383</v>
      </c>
      <c r="D650" s="10">
        <v>2</v>
      </c>
      <c r="E650" s="10">
        <v>53</v>
      </c>
      <c r="F650" s="10" t="s">
        <v>823</v>
      </c>
      <c r="G650" s="10" t="s">
        <v>696</v>
      </c>
      <c r="H650" s="10" t="str" cm="1">
        <f t="array" aca="1" ref="H650" ca="1">IF(INDEX(I650:Z650,$H$1)=0,"",INDEX(I650:Z650,$H$1))</f>
        <v>Emissions (m3/d)</v>
      </c>
      <c r="I650" s="10" t="s">
        <v>357</v>
      </c>
      <c r="J650" s="10" t="s">
        <v>1094</v>
      </c>
      <c r="K650" s="27" t="s">
        <v>1574</v>
      </c>
    </row>
    <row r="651" spans="1:11" x14ac:dyDescent="0.35">
      <c r="A651" s="10" t="s">
        <v>1283</v>
      </c>
      <c r="B651" s="255">
        <v>7</v>
      </c>
      <c r="C651" s="10" t="s">
        <v>383</v>
      </c>
      <c r="D651" s="10">
        <v>2</v>
      </c>
      <c r="E651" s="10">
        <v>53</v>
      </c>
      <c r="F651" s="10" t="s">
        <v>824</v>
      </c>
      <c r="G651" s="10" t="s">
        <v>696</v>
      </c>
      <c r="H651" s="10" t="str" cm="1">
        <f t="array" aca="1" ref="H651" ca="1">IF(INDEX(I651:Z651,$H$1)=0,"",INDEX(I651:Z651,$H$1))</f>
        <v>Controller Count</v>
      </c>
      <c r="I651" s="10" t="s">
        <v>337</v>
      </c>
      <c r="J651" s="10" t="s">
        <v>893</v>
      </c>
      <c r="K651" s="27" t="s">
        <v>1573</v>
      </c>
    </row>
    <row r="652" spans="1:11" x14ac:dyDescent="0.35">
      <c r="A652" s="10" t="s">
        <v>1283</v>
      </c>
      <c r="B652" s="255">
        <v>7</v>
      </c>
      <c r="C652" s="10" t="s">
        <v>383</v>
      </c>
      <c r="D652" s="10">
        <v>2</v>
      </c>
      <c r="E652" s="10">
        <v>53</v>
      </c>
      <c r="F652" s="10" t="s">
        <v>825</v>
      </c>
      <c r="G652" s="10" t="s">
        <v>696</v>
      </c>
      <c r="H652" s="10" t="str" cm="1">
        <f t="array" aca="1" ref="H652" ca="1">IF(INDEX(I652:Z652,$H$1)=0,"",INDEX(I652:Z652,$H$1))</f>
        <v>Emissions (m3/d)</v>
      </c>
      <c r="I652" s="10" t="s">
        <v>357</v>
      </c>
      <c r="J652" s="10" t="s">
        <v>1094</v>
      </c>
      <c r="K652" s="27" t="s">
        <v>1574</v>
      </c>
    </row>
    <row r="653" spans="1:11" x14ac:dyDescent="0.35">
      <c r="A653" s="10" t="s">
        <v>1283</v>
      </c>
      <c r="B653" s="255">
        <v>7</v>
      </c>
      <c r="C653" s="10" t="s">
        <v>383</v>
      </c>
      <c r="D653" s="10">
        <v>2</v>
      </c>
      <c r="E653" s="10">
        <v>53</v>
      </c>
      <c r="F653" s="10" t="s">
        <v>826</v>
      </c>
      <c r="G653" s="10" t="s">
        <v>696</v>
      </c>
      <c r="H653" s="10" t="str" cm="1">
        <f t="array" aca="1" ref="H653" ca="1">IF(INDEX(I653:Z653,$H$1)=0,"",INDEX(I653:Z653,$H$1))</f>
        <v>Controller Count</v>
      </c>
      <c r="I653" s="10" t="s">
        <v>337</v>
      </c>
      <c r="J653" s="10" t="s">
        <v>893</v>
      </c>
      <c r="K653" s="27" t="s">
        <v>1573</v>
      </c>
    </row>
    <row r="654" spans="1:11" x14ac:dyDescent="0.35">
      <c r="A654" s="10" t="s">
        <v>1283</v>
      </c>
      <c r="B654" s="255">
        <v>7</v>
      </c>
      <c r="C654" s="10" t="s">
        <v>383</v>
      </c>
      <c r="D654" s="10">
        <v>2</v>
      </c>
      <c r="E654" s="10">
        <v>53</v>
      </c>
      <c r="F654" s="10" t="s">
        <v>827</v>
      </c>
      <c r="G654" s="10" t="s">
        <v>696</v>
      </c>
      <c r="H654" s="10" t="str" cm="1">
        <f t="array" aca="1" ref="H654" ca="1">IF(INDEX(I654:Z654,$H$1)=0,"",INDEX(I654:Z654,$H$1))</f>
        <v>Emissions (m3/d)</v>
      </c>
      <c r="I654" s="10" t="s">
        <v>357</v>
      </c>
      <c r="J654" s="10" t="s">
        <v>1094</v>
      </c>
      <c r="K654" s="27" t="s">
        <v>1574</v>
      </c>
    </row>
    <row r="655" spans="1:11" x14ac:dyDescent="0.35">
      <c r="A655" s="10" t="s">
        <v>1283</v>
      </c>
      <c r="B655" s="255">
        <v>7</v>
      </c>
      <c r="C655" s="10" t="s">
        <v>383</v>
      </c>
      <c r="D655" s="10">
        <v>2</v>
      </c>
      <c r="E655" s="10">
        <v>53</v>
      </c>
      <c r="F655" s="10" t="s">
        <v>828</v>
      </c>
      <c r="G655" s="10" t="s">
        <v>696</v>
      </c>
      <c r="H655" s="10" t="str" cm="1">
        <f t="array" aca="1" ref="H655" ca="1">IF(INDEX(I655:Z655,$H$1)=0,"",INDEX(I655:Z655,$H$1))</f>
        <v>Controller Count</v>
      </c>
      <c r="I655" s="10" t="s">
        <v>337</v>
      </c>
      <c r="J655" s="10" t="s">
        <v>893</v>
      </c>
      <c r="K655" s="27" t="s">
        <v>1573</v>
      </c>
    </row>
    <row r="656" spans="1:11" x14ac:dyDescent="0.35">
      <c r="A656" s="10" t="s">
        <v>1283</v>
      </c>
      <c r="B656" s="255">
        <v>7</v>
      </c>
      <c r="C656" s="10" t="s">
        <v>383</v>
      </c>
      <c r="D656" s="10">
        <v>2</v>
      </c>
      <c r="E656" s="10">
        <v>53</v>
      </c>
      <c r="F656" s="10" t="s">
        <v>829</v>
      </c>
      <c r="G656" s="10" t="s">
        <v>696</v>
      </c>
      <c r="H656" s="10" t="str" cm="1">
        <f t="array" aca="1" ref="H656" ca="1">IF(INDEX(I656:Z656,$H$1)=0,"",INDEX(I656:Z656,$H$1))</f>
        <v>Emissions (m3/d)</v>
      </c>
      <c r="I656" s="10" t="s">
        <v>357</v>
      </c>
      <c r="J656" s="10" t="s">
        <v>1094</v>
      </c>
      <c r="K656" s="27" t="s">
        <v>1574</v>
      </c>
    </row>
    <row r="657" spans="1:11" x14ac:dyDescent="0.35">
      <c r="A657" s="10" t="s">
        <v>1283</v>
      </c>
      <c r="B657" s="255">
        <v>7</v>
      </c>
      <c r="C657" s="10" t="s">
        <v>383</v>
      </c>
      <c r="D657" s="10">
        <v>2</v>
      </c>
      <c r="E657" s="10">
        <v>53</v>
      </c>
      <c r="F657" s="10" t="s">
        <v>693</v>
      </c>
      <c r="G657" s="10" t="s">
        <v>696</v>
      </c>
      <c r="H657" s="10" t="str" cm="1">
        <f t="array" aca="1" ref="H657" ca="1">IF(INDEX(I657:Z657,$H$1)=0,"",INDEX(I657:Z657,$H$1))</f>
        <v>Controller Count</v>
      </c>
      <c r="I657" s="10" t="s">
        <v>337</v>
      </c>
      <c r="J657" s="10" t="s">
        <v>893</v>
      </c>
      <c r="K657" s="27" t="s">
        <v>1573</v>
      </c>
    </row>
    <row r="658" spans="1:11" x14ac:dyDescent="0.35">
      <c r="A658" s="10" t="s">
        <v>1283</v>
      </c>
      <c r="B658" s="255">
        <v>7</v>
      </c>
      <c r="C658" s="10" t="s">
        <v>383</v>
      </c>
      <c r="D658" s="10">
        <v>2</v>
      </c>
      <c r="E658" s="10">
        <v>53</v>
      </c>
      <c r="F658" s="10" t="s">
        <v>694</v>
      </c>
      <c r="G658" s="10" t="s">
        <v>696</v>
      </c>
      <c r="H658" s="10" t="str" cm="1">
        <f t="array" aca="1" ref="H658" ca="1">IF(INDEX(I658:Z658,$H$1)=0,"",INDEX(I658:Z658,$H$1))</f>
        <v>Emissions (m3/d)</v>
      </c>
      <c r="I658" s="10" t="s">
        <v>357</v>
      </c>
      <c r="J658" s="10" t="s">
        <v>1094</v>
      </c>
      <c r="K658" s="27" t="s">
        <v>1574</v>
      </c>
    </row>
    <row r="659" spans="1:11" x14ac:dyDescent="0.35">
      <c r="A659" s="10" t="s">
        <v>1283</v>
      </c>
      <c r="B659" s="255">
        <v>7</v>
      </c>
      <c r="C659" s="10" t="s">
        <v>383</v>
      </c>
      <c r="D659" s="10">
        <v>2</v>
      </c>
      <c r="E659" s="10">
        <v>53</v>
      </c>
      <c r="F659" s="10" t="s">
        <v>711</v>
      </c>
      <c r="G659" s="10" t="s">
        <v>696</v>
      </c>
      <c r="H659" s="10" t="str" cm="1">
        <f t="array" aca="1" ref="H659" ca="1">IF(INDEX(I659:Z659,$H$1)=0,"",INDEX(I659:Z659,$H$1))</f>
        <v>Controller Count</v>
      </c>
      <c r="I659" s="10" t="s">
        <v>337</v>
      </c>
      <c r="J659" s="10" t="s">
        <v>893</v>
      </c>
      <c r="K659" s="27" t="s">
        <v>1573</v>
      </c>
    </row>
    <row r="660" spans="1:11" x14ac:dyDescent="0.35">
      <c r="A660" s="10" t="s">
        <v>1283</v>
      </c>
      <c r="B660" s="255">
        <v>7</v>
      </c>
      <c r="C660" s="10" t="s">
        <v>383</v>
      </c>
      <c r="D660" s="10">
        <v>2</v>
      </c>
      <c r="E660" s="10">
        <v>53</v>
      </c>
      <c r="F660" s="10" t="s">
        <v>591</v>
      </c>
      <c r="G660" s="10" t="s">
        <v>696</v>
      </c>
      <c r="H660" s="10" t="str" cm="1">
        <f t="array" aca="1" ref="H660" ca="1">IF(INDEX(I660:Z660,$H$1)=0,"",INDEX(I660:Z660,$H$1))</f>
        <v>Emissions (m3/d)</v>
      </c>
      <c r="I660" s="10" t="s">
        <v>357</v>
      </c>
      <c r="J660" s="10" t="s">
        <v>1094</v>
      </c>
      <c r="K660" s="27" t="s">
        <v>1574</v>
      </c>
    </row>
    <row r="661" spans="1:11" x14ac:dyDescent="0.35">
      <c r="A661" s="10" t="s">
        <v>1283</v>
      </c>
      <c r="B661" s="255">
        <v>7</v>
      </c>
      <c r="C661" s="10" t="s">
        <v>383</v>
      </c>
      <c r="D661" s="10">
        <v>2</v>
      </c>
      <c r="E661" s="10">
        <v>53</v>
      </c>
      <c r="F661" s="10" t="s">
        <v>712</v>
      </c>
      <c r="G661" s="10" t="s">
        <v>696</v>
      </c>
      <c r="H661" s="10" t="str" cm="1">
        <f t="array" aca="1" ref="H661" ca="1">IF(INDEX(I661:Z661,$H$1)=0,"",INDEX(I661:Z661,$H$1))</f>
        <v>Controller Count</v>
      </c>
      <c r="I661" s="10" t="s">
        <v>337</v>
      </c>
      <c r="J661" s="10" t="s">
        <v>893</v>
      </c>
      <c r="K661" s="27" t="s">
        <v>1573</v>
      </c>
    </row>
    <row r="662" spans="1:11" x14ac:dyDescent="0.35">
      <c r="A662" s="10" t="s">
        <v>1283</v>
      </c>
      <c r="B662" s="255">
        <v>7</v>
      </c>
      <c r="C662" s="10" t="s">
        <v>383</v>
      </c>
      <c r="D662" s="10">
        <v>2</v>
      </c>
      <c r="E662" s="10">
        <v>53</v>
      </c>
      <c r="F662" s="10" t="s">
        <v>713</v>
      </c>
      <c r="G662" s="10" t="s">
        <v>696</v>
      </c>
      <c r="H662" s="10" t="str" cm="1">
        <f t="array" aca="1" ref="H662" ca="1">IF(INDEX(I662:Z662,$H$1)=0,"",INDEX(I662:Z662,$H$1))</f>
        <v>Emissions (m3/d)</v>
      </c>
      <c r="I662" s="10" t="s">
        <v>357</v>
      </c>
      <c r="J662" s="10" t="s">
        <v>1094</v>
      </c>
      <c r="K662" s="27" t="s">
        <v>1574</v>
      </c>
    </row>
    <row r="663" spans="1:11" x14ac:dyDescent="0.35">
      <c r="A663" s="10" t="s">
        <v>1283</v>
      </c>
      <c r="B663" s="255">
        <v>7</v>
      </c>
      <c r="C663" s="10" t="s">
        <v>383</v>
      </c>
      <c r="D663" s="10">
        <v>2</v>
      </c>
      <c r="E663" s="10">
        <v>53</v>
      </c>
      <c r="F663" s="10" t="s">
        <v>772</v>
      </c>
      <c r="G663" s="10" t="s">
        <v>696</v>
      </c>
      <c r="H663" s="10" t="str" cm="1">
        <f t="array" aca="1" ref="H663" ca="1">IF(INDEX(I663:Z663,$H$1)=0,"",INDEX(I663:Z663,$H$1))</f>
        <v>Controller Count</v>
      </c>
      <c r="I663" s="10" t="s">
        <v>337</v>
      </c>
      <c r="J663" s="10" t="s">
        <v>893</v>
      </c>
      <c r="K663" s="27" t="s">
        <v>1573</v>
      </c>
    </row>
    <row r="664" spans="1:11" x14ac:dyDescent="0.35">
      <c r="A664" s="10" t="s">
        <v>1283</v>
      </c>
      <c r="B664" s="255">
        <v>7</v>
      </c>
      <c r="C664" s="10" t="s">
        <v>383</v>
      </c>
      <c r="D664" s="10">
        <v>2</v>
      </c>
      <c r="E664" s="10">
        <v>53</v>
      </c>
      <c r="F664" s="10" t="s">
        <v>773</v>
      </c>
      <c r="G664" s="10" t="s">
        <v>696</v>
      </c>
      <c r="H664" s="10" t="str" cm="1">
        <f t="array" aca="1" ref="H664" ca="1">IF(INDEX(I664:Z664,$H$1)=0,"",INDEX(I664:Z664,$H$1))</f>
        <v>Emissions (m3/d)</v>
      </c>
      <c r="I664" s="10" t="s">
        <v>357</v>
      </c>
      <c r="J664" s="10" t="s">
        <v>1094</v>
      </c>
      <c r="K664" s="27" t="s">
        <v>1574</v>
      </c>
    </row>
    <row r="665" spans="1:11" x14ac:dyDescent="0.35">
      <c r="A665" s="10" t="s">
        <v>1283</v>
      </c>
      <c r="B665" s="255">
        <v>7</v>
      </c>
      <c r="C665" s="10" t="s">
        <v>383</v>
      </c>
      <c r="D665" s="10">
        <v>2</v>
      </c>
      <c r="E665" s="10">
        <v>53</v>
      </c>
      <c r="F665" s="10" t="s">
        <v>771</v>
      </c>
      <c r="G665" s="10" t="s">
        <v>696</v>
      </c>
      <c r="H665" s="10" t="str" cm="1">
        <f t="array" aca="1" ref="H665" ca="1">IF(INDEX(I665:Z665,$H$1)=0,"",INDEX(I665:Z665,$H$1))</f>
        <v>Controller Count</v>
      </c>
      <c r="I665" s="10" t="s">
        <v>337</v>
      </c>
      <c r="J665" s="10" t="s">
        <v>893</v>
      </c>
      <c r="K665" s="27" t="s">
        <v>1573</v>
      </c>
    </row>
    <row r="666" spans="1:11" x14ac:dyDescent="0.35">
      <c r="A666" s="10" t="s">
        <v>1283</v>
      </c>
      <c r="B666" s="255">
        <v>7</v>
      </c>
      <c r="C666" s="10" t="s">
        <v>383</v>
      </c>
      <c r="D666" s="10">
        <v>2</v>
      </c>
      <c r="E666" s="10">
        <v>53</v>
      </c>
      <c r="F666" s="10" t="s">
        <v>593</v>
      </c>
      <c r="G666" s="10" t="s">
        <v>696</v>
      </c>
      <c r="H666" s="10" t="str" cm="1">
        <f t="array" aca="1" ref="H666" ca="1">IF(INDEX(I666:Z666,$H$1)=0,"",INDEX(I666:Z666,$H$1))</f>
        <v>Emissions (m3/d)</v>
      </c>
      <c r="I666" s="10" t="s">
        <v>357</v>
      </c>
      <c r="J666" s="10" t="s">
        <v>1094</v>
      </c>
      <c r="K666" s="27" t="s">
        <v>1574</v>
      </c>
    </row>
    <row r="667" spans="1:11" x14ac:dyDescent="0.35">
      <c r="A667" s="10" t="s">
        <v>1283</v>
      </c>
      <c r="B667" s="255">
        <v>7</v>
      </c>
      <c r="C667" s="10" t="s">
        <v>383</v>
      </c>
      <c r="D667" s="10">
        <v>2</v>
      </c>
      <c r="E667" s="10">
        <v>53</v>
      </c>
      <c r="F667" s="10" t="s">
        <v>594</v>
      </c>
      <c r="G667" s="10" t="s">
        <v>696</v>
      </c>
      <c r="H667" s="10" t="str" cm="1">
        <f t="array" aca="1" ref="H667" ca="1">IF(INDEX(I667:Z667,$H$1)=0,"",INDEX(I667:Z667,$H$1))</f>
        <v>Controller Count</v>
      </c>
      <c r="I667" s="10" t="s">
        <v>337</v>
      </c>
      <c r="J667" s="10" t="s">
        <v>893</v>
      </c>
      <c r="K667" s="27" t="s">
        <v>1573</v>
      </c>
    </row>
    <row r="668" spans="1:11" x14ac:dyDescent="0.35">
      <c r="A668" s="10" t="s">
        <v>1283</v>
      </c>
      <c r="B668" s="255">
        <v>7</v>
      </c>
      <c r="C668" s="10" t="s">
        <v>383</v>
      </c>
      <c r="D668" s="10">
        <v>2</v>
      </c>
      <c r="E668" s="10">
        <v>53</v>
      </c>
      <c r="F668" s="10" t="s">
        <v>775</v>
      </c>
      <c r="G668" s="10" t="s">
        <v>696</v>
      </c>
      <c r="H668" s="10" t="str" cm="1">
        <f t="array" aca="1" ref="H668" ca="1">IF(INDEX(I668:Z668,$H$1)=0,"",INDEX(I668:Z668,$H$1))</f>
        <v>Emissions (m3/d)</v>
      </c>
      <c r="I668" s="10" t="s">
        <v>357</v>
      </c>
      <c r="J668" s="10" t="s">
        <v>1094</v>
      </c>
      <c r="K668" s="27" t="s">
        <v>1574</v>
      </c>
    </row>
    <row r="669" spans="1:11" x14ac:dyDescent="0.35">
      <c r="A669" s="10" t="s">
        <v>1283</v>
      </c>
      <c r="B669" s="255">
        <v>7</v>
      </c>
      <c r="C669" s="10" t="s">
        <v>383</v>
      </c>
      <c r="D669" s="10">
        <v>2</v>
      </c>
      <c r="E669" s="10">
        <v>53</v>
      </c>
      <c r="F669" s="10" t="s">
        <v>777</v>
      </c>
      <c r="G669" s="10" t="s">
        <v>696</v>
      </c>
      <c r="H669" s="10" t="str" cm="1">
        <f t="array" aca="1" ref="H669" ca="1">IF(INDEX(I669:Z669,$H$1)=0,"",INDEX(I669:Z669,$H$1))</f>
        <v>Controller Count</v>
      </c>
      <c r="I669" s="10" t="s">
        <v>337</v>
      </c>
      <c r="J669" s="10" t="s">
        <v>893</v>
      </c>
      <c r="K669" s="27" t="s">
        <v>1573</v>
      </c>
    </row>
    <row r="670" spans="1:11" x14ac:dyDescent="0.35">
      <c r="A670" s="10" t="s">
        <v>1283</v>
      </c>
      <c r="B670" s="255">
        <v>7</v>
      </c>
      <c r="C670" s="10" t="s">
        <v>383</v>
      </c>
      <c r="D670" s="10">
        <v>2</v>
      </c>
      <c r="E670" s="10">
        <v>53</v>
      </c>
      <c r="F670" s="10" t="s">
        <v>718</v>
      </c>
      <c r="G670" s="10" t="s">
        <v>696</v>
      </c>
      <c r="H670" s="10" t="str" cm="1">
        <f t="array" aca="1" ref="H670" ca="1">IF(INDEX(I670:Z670,$H$1)=0,"",INDEX(I670:Z670,$H$1))</f>
        <v>Emissions (m3/d)</v>
      </c>
      <c r="I670" s="10" t="s">
        <v>357</v>
      </c>
      <c r="J670" s="10" t="s">
        <v>1094</v>
      </c>
      <c r="K670" s="27" t="s">
        <v>1574</v>
      </c>
    </row>
    <row r="671" spans="1:11" x14ac:dyDescent="0.35">
      <c r="A671" s="10" t="s">
        <v>1283</v>
      </c>
      <c r="B671" s="255">
        <v>7</v>
      </c>
      <c r="C671" s="10" t="s">
        <v>383</v>
      </c>
      <c r="D671" s="10">
        <v>2</v>
      </c>
      <c r="E671" s="10">
        <v>53</v>
      </c>
      <c r="F671" s="10" t="s">
        <v>592</v>
      </c>
      <c r="G671" s="10" t="s">
        <v>696</v>
      </c>
      <c r="H671" s="10" t="str" cm="1">
        <f t="array" aca="1" ref="H671" ca="1">IF(INDEX(I671:Z671,$H$1)=0,"",INDEX(I671:Z671,$H$1))</f>
        <v>Controller Count</v>
      </c>
      <c r="I671" s="10" t="s">
        <v>337</v>
      </c>
      <c r="J671" s="10" t="s">
        <v>893</v>
      </c>
      <c r="K671" s="27" t="s">
        <v>1573</v>
      </c>
    </row>
    <row r="672" spans="1:11" x14ac:dyDescent="0.35">
      <c r="A672" s="10" t="s">
        <v>1283</v>
      </c>
      <c r="B672" s="255">
        <v>7</v>
      </c>
      <c r="C672" s="10" t="s">
        <v>383</v>
      </c>
      <c r="D672" s="10">
        <v>2</v>
      </c>
      <c r="E672" s="10">
        <v>53</v>
      </c>
      <c r="F672" s="10" t="s">
        <v>816</v>
      </c>
      <c r="G672" s="10" t="s">
        <v>696</v>
      </c>
      <c r="H672" s="10" t="str" cm="1">
        <f t="array" aca="1" ref="H672" ca="1">IF(INDEX(I672:Z672,$H$1)=0,"",INDEX(I672:Z672,$H$1))</f>
        <v>Emissions (m3/d)</v>
      </c>
      <c r="I672" s="10" t="s">
        <v>357</v>
      </c>
      <c r="J672" s="10" t="s">
        <v>1094</v>
      </c>
      <c r="K672" s="27" t="s">
        <v>1574</v>
      </c>
    </row>
    <row r="673" spans="1:12" x14ac:dyDescent="0.35">
      <c r="A673" s="10" t="s">
        <v>1283</v>
      </c>
      <c r="B673" s="255">
        <v>7</v>
      </c>
      <c r="C673" s="10" t="s">
        <v>383</v>
      </c>
      <c r="D673" s="10">
        <v>2</v>
      </c>
      <c r="E673" s="10">
        <v>53</v>
      </c>
      <c r="F673" s="10" t="s">
        <v>817</v>
      </c>
      <c r="G673" s="10" t="s">
        <v>696</v>
      </c>
      <c r="H673" s="10" t="str" cm="1">
        <f t="array" aca="1" ref="H673" ca="1">IF(INDEX(I673:Z673,$H$1)=0,"",INDEX(I673:Z673,$H$1))</f>
        <v>Controller Count</v>
      </c>
      <c r="I673" s="10" t="s">
        <v>337</v>
      </c>
      <c r="J673" s="10" t="s">
        <v>893</v>
      </c>
      <c r="K673" s="27" t="s">
        <v>1573</v>
      </c>
    </row>
    <row r="674" spans="1:12" x14ac:dyDescent="0.35">
      <c r="A674" s="10" t="s">
        <v>1283</v>
      </c>
      <c r="B674" s="255">
        <v>7</v>
      </c>
      <c r="C674" s="10" t="s">
        <v>383</v>
      </c>
      <c r="D674" s="10">
        <v>2</v>
      </c>
      <c r="E674" s="10">
        <v>53</v>
      </c>
      <c r="F674" s="10" t="s">
        <v>390</v>
      </c>
      <c r="G674" s="10" t="s">
        <v>696</v>
      </c>
      <c r="H674" s="10" t="str" cm="1">
        <f t="array" aca="1" ref="H674" ca="1">IF(INDEX(I674:Z674,$H$1)=0,"",INDEX(I674:Z674,$H$1))</f>
        <v>Emissions (m3/d)</v>
      </c>
      <c r="I674" s="10" t="s">
        <v>357</v>
      </c>
      <c r="J674" s="10" t="s">
        <v>1094</v>
      </c>
      <c r="K674" s="27" t="s">
        <v>1574</v>
      </c>
    </row>
    <row r="675" spans="1:12" x14ac:dyDescent="0.35">
      <c r="A675" s="10" t="s">
        <v>1283</v>
      </c>
      <c r="B675" s="255">
        <v>7</v>
      </c>
      <c r="C675" s="10" t="s">
        <v>383</v>
      </c>
      <c r="D675" s="10">
        <v>2</v>
      </c>
      <c r="E675" s="10">
        <v>53</v>
      </c>
      <c r="F675" s="10" t="s">
        <v>818</v>
      </c>
      <c r="G675" s="10" t="s">
        <v>696</v>
      </c>
      <c r="H675" s="10" t="str" cm="1">
        <f t="array" aca="1" ref="H675" ca="1">IF(INDEX(I675:Z675,$H$1)=0,"",INDEX(I675:Z675,$H$1))</f>
        <v>Controller Count</v>
      </c>
      <c r="I675" s="10" t="s">
        <v>337</v>
      </c>
      <c r="J675" s="10" t="s">
        <v>893</v>
      </c>
      <c r="K675" s="27" t="s">
        <v>1573</v>
      </c>
    </row>
    <row r="676" spans="1:12" x14ac:dyDescent="0.35">
      <c r="A676" s="10" t="s">
        <v>1283</v>
      </c>
      <c r="B676" s="255">
        <v>7</v>
      </c>
      <c r="C676" s="10" t="s">
        <v>383</v>
      </c>
      <c r="D676" s="10">
        <v>2</v>
      </c>
      <c r="E676" s="10">
        <v>53</v>
      </c>
      <c r="F676" s="10" t="s">
        <v>819</v>
      </c>
      <c r="G676" s="10" t="s">
        <v>696</v>
      </c>
      <c r="H676" s="10" t="str" cm="1">
        <f t="array" aca="1" ref="H676" ca="1">IF(INDEX(I676:Z676,$H$1)=0,"",INDEX(I676:Z676,$H$1))</f>
        <v>Emissions (m3/d)</v>
      </c>
      <c r="I676" s="10" t="s">
        <v>357</v>
      </c>
      <c r="J676" s="10" t="s">
        <v>1094</v>
      </c>
      <c r="K676" s="27" t="s">
        <v>1574</v>
      </c>
    </row>
    <row r="677" spans="1:12" x14ac:dyDescent="0.35">
      <c r="A677" s="10" t="s">
        <v>1283</v>
      </c>
      <c r="B677" s="255">
        <v>7</v>
      </c>
      <c r="C677" s="10" t="s">
        <v>383</v>
      </c>
      <c r="D677" s="10">
        <v>2</v>
      </c>
      <c r="E677" s="10">
        <v>53</v>
      </c>
      <c r="F677" s="10" t="s">
        <v>820</v>
      </c>
      <c r="G677" s="10" t="s">
        <v>696</v>
      </c>
      <c r="H677" s="10" t="str" cm="1">
        <f t="array" aca="1" ref="H677" ca="1">IF(INDEX(I677:Z677,$H$1)=0,"",INDEX(I677:Z677,$H$1))</f>
        <v>Controller Count</v>
      </c>
      <c r="I677" s="10" t="s">
        <v>337</v>
      </c>
      <c r="J677" s="10" t="s">
        <v>893</v>
      </c>
      <c r="K677" s="27" t="s">
        <v>1573</v>
      </c>
    </row>
    <row r="678" spans="1:12" x14ac:dyDescent="0.35">
      <c r="A678" s="10" t="s">
        <v>1283</v>
      </c>
      <c r="B678" s="255">
        <v>7</v>
      </c>
      <c r="C678" s="10" t="s">
        <v>383</v>
      </c>
      <c r="D678" s="10">
        <v>2</v>
      </c>
      <c r="E678" s="10">
        <v>53</v>
      </c>
      <c r="F678" s="10" t="s">
        <v>821</v>
      </c>
      <c r="G678" s="10" t="s">
        <v>696</v>
      </c>
      <c r="H678" s="10" t="str" cm="1">
        <f t="array" aca="1" ref="H678" ca="1">IF(INDEX(I678:Z678,$H$1)=0,"",INDEX(I678:Z678,$H$1))</f>
        <v>Emissions (m3/d)</v>
      </c>
      <c r="I678" s="10" t="s">
        <v>357</v>
      </c>
      <c r="J678" s="10" t="s">
        <v>1094</v>
      </c>
      <c r="K678" s="27" t="s">
        <v>1574</v>
      </c>
    </row>
    <row r="679" spans="1:12" x14ac:dyDescent="0.35">
      <c r="A679" s="10" t="s">
        <v>1283</v>
      </c>
      <c r="B679" s="255">
        <v>7</v>
      </c>
      <c r="C679" s="10" t="s">
        <v>383</v>
      </c>
      <c r="D679" s="10">
        <v>2</v>
      </c>
      <c r="E679" s="10">
        <f>ROW('Calculations - Fugitives'!B$78)</f>
        <v>78</v>
      </c>
      <c r="F679" s="10" t="s">
        <v>690</v>
      </c>
      <c r="G679" s="10" t="s">
        <v>695</v>
      </c>
      <c r="H679" s="10" t="str" cm="1">
        <f t="array" aca="1" ref="H679" ca="1">IF(INDEX(I679:Z679,$H$1)=0,"",INDEX(I679:Z679,$H$1))</f>
        <v>High-Bleed</v>
      </c>
      <c r="I679" s="10" t="s">
        <v>11</v>
      </c>
      <c r="J679" s="10" t="s">
        <v>1248</v>
      </c>
      <c r="K679" s="27" t="s">
        <v>1575</v>
      </c>
    </row>
    <row r="680" spans="1:12" x14ac:dyDescent="0.35">
      <c r="A680" s="10" t="s">
        <v>1283</v>
      </c>
      <c r="B680" s="255">
        <v>7</v>
      </c>
      <c r="C680" s="10" t="s">
        <v>383</v>
      </c>
      <c r="D680" s="10">
        <v>2</v>
      </c>
      <c r="E680" s="10">
        <f>ROW('Calculations - Fugitives'!B$79)</f>
        <v>79</v>
      </c>
      <c r="F680" s="10" t="s">
        <v>690</v>
      </c>
      <c r="G680" s="10" t="s">
        <v>695</v>
      </c>
      <c r="H680" s="10" t="str" cm="1">
        <f t="array" aca="1" ref="H680" ca="1">IF(INDEX(I680:Z680,$H$1)=0,"",INDEX(I680:Z680,$H$1))</f>
        <v>Intermittent Bleed</v>
      </c>
      <c r="I680" s="10" t="s">
        <v>12</v>
      </c>
      <c r="J680" s="10" t="s">
        <v>890</v>
      </c>
      <c r="K680" s="27" t="s">
        <v>1576</v>
      </c>
    </row>
    <row r="681" spans="1:12" x14ac:dyDescent="0.35">
      <c r="A681" s="10" t="s">
        <v>1283</v>
      </c>
      <c r="B681" s="255">
        <v>7</v>
      </c>
      <c r="C681" s="10" t="s">
        <v>383</v>
      </c>
      <c r="D681" s="10">
        <v>2</v>
      </c>
      <c r="E681" s="10">
        <f>ROW('Calculations - Fugitives'!B$80)</f>
        <v>80</v>
      </c>
      <c r="F681" s="10" t="s">
        <v>690</v>
      </c>
      <c r="G681" s="10" t="s">
        <v>695</v>
      </c>
      <c r="H681" s="10" t="str" cm="1">
        <f t="array" aca="1" ref="H681" ca="1">IF(INDEX(I681:Z681,$H$1)=0,"",INDEX(I681:Z681,$H$1))</f>
        <v>Low-Bleed</v>
      </c>
      <c r="I681" s="10" t="s">
        <v>10</v>
      </c>
      <c r="J681" s="10" t="s">
        <v>1261</v>
      </c>
      <c r="K681" s="27" t="s">
        <v>1577</v>
      </c>
    </row>
    <row r="682" spans="1:12" x14ac:dyDescent="0.35">
      <c r="A682" s="10" t="s">
        <v>1283</v>
      </c>
      <c r="B682" s="255">
        <v>7</v>
      </c>
      <c r="C682" s="10" t="s">
        <v>383</v>
      </c>
      <c r="D682" s="10">
        <v>2</v>
      </c>
      <c r="E682" s="10">
        <f>ROW('Calculations - Fugitives'!B$81)</f>
        <v>81</v>
      </c>
      <c r="F682" s="10" t="s">
        <v>690</v>
      </c>
      <c r="G682" s="10" t="s">
        <v>695</v>
      </c>
      <c r="H682" s="10" t="str" cm="1">
        <f t="array" aca="1" ref="H682" ca="1">IF(INDEX(I682:Z682,$H$1)=0,"",INDEX(I682:Z682,$H$1))</f>
        <v>No-Bleed</v>
      </c>
      <c r="I682" s="10" t="s">
        <v>13</v>
      </c>
      <c r="J682" s="10" t="s">
        <v>1266</v>
      </c>
      <c r="K682" s="27" t="s">
        <v>1578</v>
      </c>
    </row>
    <row r="683" spans="1:12" x14ac:dyDescent="0.35">
      <c r="A683" s="10" t="s">
        <v>1283</v>
      </c>
      <c r="B683" s="255">
        <v>7</v>
      </c>
      <c r="C683" s="10" t="s">
        <v>383</v>
      </c>
      <c r="D683" s="10">
        <v>2</v>
      </c>
      <c r="E683" s="10">
        <f>ROW('Calculations - Fugitives'!B$82)</f>
        <v>82</v>
      </c>
      <c r="F683" s="10" t="s">
        <v>690</v>
      </c>
      <c r="G683" s="10" t="s">
        <v>695</v>
      </c>
      <c r="H683" s="10" t="str" cm="1">
        <f t="array" aca="1" ref="H683" ca="1">IF(INDEX(I683:Z683,$H$1)=0,"",INDEX(I683:Z683,$H$1))</f>
        <v>Not Applicable</v>
      </c>
      <c r="I683" s="10" t="s">
        <v>50</v>
      </c>
      <c r="J683" s="10" t="s">
        <v>888</v>
      </c>
      <c r="K683" s="27" t="s">
        <v>1579</v>
      </c>
    </row>
    <row r="684" spans="1:12" x14ac:dyDescent="0.35">
      <c r="A684" s="10" t="s">
        <v>1283</v>
      </c>
      <c r="B684" s="255">
        <v>7</v>
      </c>
      <c r="C684" s="10" t="s">
        <v>383</v>
      </c>
      <c r="D684" s="10">
        <v>2</v>
      </c>
      <c r="E684" s="10">
        <f>ROW('Calculations - Fugitives'!G$80)</f>
        <v>80</v>
      </c>
      <c r="F684" s="10" t="s">
        <v>711</v>
      </c>
      <c r="G684" s="10" t="s">
        <v>696</v>
      </c>
      <c r="H684" s="10" t="str" cm="1">
        <f t="array" aca="1" ref="H684" ca="1">IF(INDEX(I684:Z684,$H$1)=0,"",INDEX(I684:Z684,$H$1))</f>
        <v>Total Emissions (m3 CH4/d):</v>
      </c>
      <c r="I684" s="10" t="s">
        <v>329</v>
      </c>
      <c r="J684" s="10" t="s">
        <v>1276</v>
      </c>
      <c r="K684" s="27" t="s">
        <v>1580</v>
      </c>
      <c r="L684" s="15"/>
    </row>
    <row r="685" spans="1:12" x14ac:dyDescent="0.35">
      <c r="A685" s="10" t="s">
        <v>1283</v>
      </c>
      <c r="B685" s="255">
        <v>7</v>
      </c>
      <c r="C685" s="10" t="s">
        <v>383</v>
      </c>
      <c r="D685" s="10">
        <v>2</v>
      </c>
      <c r="E685" s="10">
        <f>ROW('Calculations - Fugitives'!G$81)</f>
        <v>81</v>
      </c>
      <c r="F685" s="10" t="s">
        <v>711</v>
      </c>
      <c r="G685" s="10" t="s">
        <v>695</v>
      </c>
      <c r="H685" s="10" t="str" cm="1">
        <f t="array" aca="1" ref="H685" ca="1">IF(INDEX(I685:Z685,$H$1)=0,"",INDEX(I685:Z685,$H$1))</f>
        <v>Grand Total:</v>
      </c>
      <c r="I685" s="10" t="s">
        <v>330</v>
      </c>
      <c r="J685" s="10" t="s">
        <v>1096</v>
      </c>
      <c r="K685" s="27" t="s">
        <v>1581</v>
      </c>
    </row>
    <row r="686" spans="1:12" x14ac:dyDescent="0.35">
      <c r="A686" s="10" t="s">
        <v>1283</v>
      </c>
      <c r="B686" s="255">
        <v>7</v>
      </c>
      <c r="C686" s="10" t="s">
        <v>383</v>
      </c>
      <c r="D686" s="10">
        <v>2</v>
      </c>
      <c r="E686" s="10">
        <f>ROW('Calculations - Fugitives'!I$82)</f>
        <v>82</v>
      </c>
      <c r="F686" s="10" t="s">
        <v>712</v>
      </c>
      <c r="G686" s="10" t="s">
        <v>767</v>
      </c>
      <c r="H686" s="10" t="str" cm="1">
        <f t="array" aca="1" ref="H686" ca="1">IF(INDEX(I686:Z686,$H$1)=0,"",INDEX(I686:Z686,$H$1))</f>
        <v>Nm3 CH4/d</v>
      </c>
      <c r="I686" s="10" t="s">
        <v>872</v>
      </c>
      <c r="J686" s="10" t="s">
        <v>872</v>
      </c>
      <c r="K686" s="27" t="s">
        <v>872</v>
      </c>
    </row>
    <row r="687" spans="1:12" x14ac:dyDescent="0.35">
      <c r="A687" s="10" t="s">
        <v>1283</v>
      </c>
      <c r="B687" s="255">
        <v>7</v>
      </c>
      <c r="C687" s="10" t="s">
        <v>383</v>
      </c>
      <c r="D687" s="10">
        <v>2</v>
      </c>
      <c r="E687" s="10">
        <f>ROW('Calculations - Fugitives'!I$83)</f>
        <v>83</v>
      </c>
      <c r="F687" s="10" t="s">
        <v>712</v>
      </c>
      <c r="G687" s="10" t="s">
        <v>767</v>
      </c>
      <c r="H687" s="10" t="str" cm="1">
        <f t="array" aca="1" ref="H687" ca="1">IF(INDEX(I687:Z687,$H$1)=0,"",INDEX(I687:Z687,$H$1))</f>
        <v>Nm3 CH4/y</v>
      </c>
      <c r="I687" s="10" t="s">
        <v>870</v>
      </c>
      <c r="J687" s="10" t="s">
        <v>870</v>
      </c>
      <c r="K687" s="27" t="s">
        <v>1566</v>
      </c>
    </row>
    <row r="688" spans="1:12" x14ac:dyDescent="0.35">
      <c r="A688" s="10" t="s">
        <v>1283</v>
      </c>
      <c r="B688" s="255">
        <v>7</v>
      </c>
      <c r="C688" s="10" t="s">
        <v>383</v>
      </c>
      <c r="D688" s="10">
        <v>2</v>
      </c>
      <c r="E688" s="10">
        <f>ROW('Calculations - Fugitives'!I$84)</f>
        <v>84</v>
      </c>
      <c r="F688" s="10" t="s">
        <v>712</v>
      </c>
      <c r="G688" s="10" t="s">
        <v>767</v>
      </c>
      <c r="H688" s="10" t="str" cm="1">
        <f t="array" aca="1" ref="H688" ca="1">IF(INDEX(I688:Z688,$H$1)=0,"",INDEX(I688:Z688,$H$1))</f>
        <v>tonnes CH4/y</v>
      </c>
      <c r="I688" s="10" t="s">
        <v>314</v>
      </c>
      <c r="J688" s="10" t="s">
        <v>1072</v>
      </c>
      <c r="K688" s="27" t="s">
        <v>1568</v>
      </c>
    </row>
    <row r="689" spans="1:12" x14ac:dyDescent="0.35">
      <c r="A689" s="10" t="s">
        <v>1283</v>
      </c>
      <c r="B689" s="255">
        <v>7</v>
      </c>
      <c r="C689" s="10" t="s">
        <v>384</v>
      </c>
      <c r="D689" s="10">
        <v>3</v>
      </c>
      <c r="E689" s="10">
        <v>61</v>
      </c>
      <c r="F689" s="10" t="s">
        <v>690</v>
      </c>
      <c r="G689" s="10" t="s">
        <v>688</v>
      </c>
      <c r="H689" s="10" t="str" cm="1">
        <f t="array" aca="1" ref="H689" ca="1">IF(INDEX(I689:Z689,$H$1)=0,"",INDEX(I689:Z689,$H$1))</f>
        <v>Inventory of Pneumatic Chemical Injection Pumps:</v>
      </c>
      <c r="I689" s="10" t="s">
        <v>384</v>
      </c>
      <c r="J689" s="10" t="s">
        <v>1256</v>
      </c>
      <c r="K689" s="27" t="s">
        <v>1582</v>
      </c>
    </row>
    <row r="690" spans="1:12" x14ac:dyDescent="0.35">
      <c r="A690" s="10" t="s">
        <v>1283</v>
      </c>
      <c r="B690" s="255">
        <v>7</v>
      </c>
      <c r="C690" s="10" t="s">
        <v>384</v>
      </c>
      <c r="D690" s="10">
        <v>3</v>
      </c>
      <c r="E690" s="10">
        <v>63</v>
      </c>
      <c r="F690" s="10" t="s">
        <v>690</v>
      </c>
      <c r="G690" s="10" t="s">
        <v>696</v>
      </c>
      <c r="H690" s="10" t="str" cm="1">
        <f t="array" aca="1" ref="H690" ca="1">IF(INDEX(I690:Z690,$H$1)=0,"",INDEX(I690:Z690,$H$1))</f>
        <v>Type</v>
      </c>
      <c r="I690" s="10" t="s">
        <v>2</v>
      </c>
      <c r="J690" s="10" t="s">
        <v>724</v>
      </c>
      <c r="K690" s="27" t="s">
        <v>1415</v>
      </c>
    </row>
    <row r="691" spans="1:12" x14ac:dyDescent="0.35">
      <c r="A691" s="10" t="s">
        <v>1283</v>
      </c>
      <c r="B691" s="255">
        <v>7</v>
      </c>
      <c r="C691" s="10" t="s">
        <v>384</v>
      </c>
      <c r="D691" s="10">
        <v>3</v>
      </c>
      <c r="E691" s="10">
        <v>63</v>
      </c>
      <c r="F691" s="10" t="s">
        <v>38</v>
      </c>
      <c r="G691" s="10" t="s">
        <v>696</v>
      </c>
      <c r="H691" s="10" t="str" cm="1">
        <f t="array" aca="1" ref="H691" ca="1">IF(INDEX(I691:Z691,$H$1)=0,"",INDEX(I691:Z691,$H$1))</f>
        <v>Count</v>
      </c>
      <c r="I691" s="10" t="s">
        <v>336</v>
      </c>
      <c r="J691" s="10" t="s">
        <v>994</v>
      </c>
      <c r="K691" s="27" t="s">
        <v>1436</v>
      </c>
    </row>
    <row r="692" spans="1:12" x14ac:dyDescent="0.35">
      <c r="A692" s="10" t="s">
        <v>1283</v>
      </c>
      <c r="B692" s="255">
        <v>7</v>
      </c>
      <c r="C692" s="10" t="s">
        <v>384</v>
      </c>
      <c r="D692" s="10">
        <v>3</v>
      </c>
      <c r="E692" s="10">
        <v>63</v>
      </c>
      <c r="F692" s="10" t="s">
        <v>692</v>
      </c>
      <c r="G692" s="10" t="s">
        <v>696</v>
      </c>
      <c r="H692" s="10" t="str" cm="1">
        <f t="array" aca="1" ref="H692" ca="1">IF(INDEX(I692:Z692,$H$1)=0,"",INDEX(I692:Z692,$H$1))</f>
        <v>Emission Factor</v>
      </c>
      <c r="I692" s="10" t="s">
        <v>145</v>
      </c>
      <c r="J692" s="10" t="s">
        <v>910</v>
      </c>
      <c r="K692" s="27" t="s">
        <v>1583</v>
      </c>
    </row>
    <row r="693" spans="1:12" x14ac:dyDescent="0.35">
      <c r="A693" s="10" t="s">
        <v>1283</v>
      </c>
      <c r="B693" s="255">
        <v>7</v>
      </c>
      <c r="C693" s="10" t="s">
        <v>384</v>
      </c>
      <c r="D693" s="10">
        <v>3</v>
      </c>
      <c r="E693" s="10">
        <v>63</v>
      </c>
      <c r="F693" s="10" t="s">
        <v>693</v>
      </c>
      <c r="G693" s="10" t="s">
        <v>696</v>
      </c>
      <c r="H693" s="10" t="str" cm="1">
        <f t="array" aca="1" ref="H693" ca="1">IF(INDEX(I693:Z693,$H$1)=0,"",INDEX(I693:Z693,$H$1))</f>
        <v>CH4</v>
      </c>
      <c r="I693" s="10" t="s">
        <v>60</v>
      </c>
      <c r="J693" s="10" t="s">
        <v>60</v>
      </c>
      <c r="K693" s="27" t="s">
        <v>60</v>
      </c>
    </row>
    <row r="694" spans="1:12" x14ac:dyDescent="0.35">
      <c r="A694" s="10" t="s">
        <v>1283</v>
      </c>
      <c r="B694" s="255">
        <v>7</v>
      </c>
      <c r="C694" s="10" t="s">
        <v>384</v>
      </c>
      <c r="D694" s="10">
        <v>3</v>
      </c>
      <c r="E694" s="10">
        <v>63</v>
      </c>
      <c r="F694" s="10" t="s">
        <v>694</v>
      </c>
      <c r="G694" s="10" t="s">
        <v>696</v>
      </c>
      <c r="H694" s="10" t="str" cm="1">
        <f t="array" aca="1" ref="H694" ca="1">IF(INDEX(I694:Z694,$H$1)=0,"",INDEX(I694:Z694,$H$1))</f>
        <v>OT</v>
      </c>
      <c r="I694" s="10" t="s">
        <v>375</v>
      </c>
      <c r="J694" s="10" t="s">
        <v>375</v>
      </c>
      <c r="K694" s="27" t="s">
        <v>1584</v>
      </c>
    </row>
    <row r="695" spans="1:12" x14ac:dyDescent="0.35">
      <c r="A695" s="10" t="s">
        <v>1283</v>
      </c>
      <c r="B695" s="255">
        <v>7</v>
      </c>
      <c r="C695" s="10" t="s">
        <v>384</v>
      </c>
      <c r="D695" s="10">
        <v>3</v>
      </c>
      <c r="E695" s="10">
        <v>63</v>
      </c>
      <c r="F695" s="10" t="s">
        <v>711</v>
      </c>
      <c r="G695" s="10" t="s">
        <v>696</v>
      </c>
      <c r="H695" s="10" t="str" cm="1">
        <f t="array" aca="1" ref="H695" ca="1">IF(INDEX(I695:Z695,$H$1)=0,"",INDEX(I695:Z695,$H$1))</f>
        <v>Emissions</v>
      </c>
      <c r="I695" s="10" t="s">
        <v>360</v>
      </c>
      <c r="J695" s="6" t="s">
        <v>807</v>
      </c>
      <c r="K695" s="27" t="s">
        <v>1460</v>
      </c>
    </row>
    <row r="696" spans="1:12" x14ac:dyDescent="0.35">
      <c r="A696" s="10" t="s">
        <v>1283</v>
      </c>
      <c r="B696" s="255">
        <v>7</v>
      </c>
      <c r="C696" s="10" t="s">
        <v>384</v>
      </c>
      <c r="D696" s="10">
        <v>3</v>
      </c>
      <c r="E696" s="10">
        <v>64</v>
      </c>
      <c r="F696" s="10" t="s">
        <v>692</v>
      </c>
      <c r="G696" s="10" t="s">
        <v>696</v>
      </c>
      <c r="H696" s="10" t="str" cm="1">
        <f t="array" aca="1" ref="H696" ca="1">IF(INDEX(I696:Z696,$H$1)=0,"",INDEX(I696:Z696,$H$1))</f>
        <v>(Nm3/d/pump)</v>
      </c>
      <c r="I696" s="10" t="s">
        <v>873</v>
      </c>
      <c r="J696" s="10" t="s">
        <v>1080</v>
      </c>
      <c r="K696" s="27" t="s">
        <v>1585</v>
      </c>
    </row>
    <row r="697" spans="1:12" x14ac:dyDescent="0.35">
      <c r="A697" s="10" t="s">
        <v>1283</v>
      </c>
      <c r="B697" s="255">
        <v>7</v>
      </c>
      <c r="C697" s="10" t="s">
        <v>384</v>
      </c>
      <c r="D697" s="10">
        <v>3</v>
      </c>
      <c r="E697" s="10">
        <v>64</v>
      </c>
      <c r="F697" s="10" t="s">
        <v>693</v>
      </c>
      <c r="G697" s="10" t="s">
        <v>696</v>
      </c>
      <c r="H697" s="10" t="str" cm="1">
        <f t="array" aca="1" ref="H697" ca="1">IF(INDEX(I697:Z697,$H$1)=0,"",INDEX(I697:Z697,$H$1))</f>
        <v>Content (mol%)</v>
      </c>
      <c r="I697" s="10" t="s">
        <v>374</v>
      </c>
      <c r="J697" s="10" t="s">
        <v>1218</v>
      </c>
      <c r="K697" s="27" t="s">
        <v>1586</v>
      </c>
    </row>
    <row r="698" spans="1:12" x14ac:dyDescent="0.35">
      <c r="A698" s="10" t="s">
        <v>1283</v>
      </c>
      <c r="B698" s="255">
        <v>7</v>
      </c>
      <c r="C698" s="10" t="s">
        <v>384</v>
      </c>
      <c r="D698" s="10">
        <v>3</v>
      </c>
      <c r="E698" s="10">
        <v>64</v>
      </c>
      <c r="F698" s="10" t="s">
        <v>694</v>
      </c>
      <c r="G698" s="10" t="s">
        <v>696</v>
      </c>
      <c r="H698" s="10" t="str" cm="1">
        <f t="array" aca="1" ref="H698" ca="1">IF(INDEX(I698:Z698,$H$1)=0,"",INDEX(I698:Z698,$H$1))</f>
        <v>(%)</v>
      </c>
      <c r="I698" s="10" t="s">
        <v>146</v>
      </c>
      <c r="J698" s="10" t="s">
        <v>146</v>
      </c>
      <c r="K698" s="27" t="s">
        <v>146</v>
      </c>
    </row>
    <row r="699" spans="1:12" x14ac:dyDescent="0.35">
      <c r="A699" s="10" t="s">
        <v>1283</v>
      </c>
      <c r="B699" s="255">
        <v>7</v>
      </c>
      <c r="C699" s="10" t="s">
        <v>384</v>
      </c>
      <c r="D699" s="10">
        <v>3</v>
      </c>
      <c r="E699" s="10">
        <v>64</v>
      </c>
      <c r="F699" s="10" t="s">
        <v>711</v>
      </c>
      <c r="G699" s="10" t="s">
        <v>696</v>
      </c>
      <c r="H699" s="10" t="str" cm="1">
        <f t="array" aca="1" ref="H699" ca="1">IF(INDEX(I699:Z699,$H$1)=0,"",INDEX(I699:Z699,$H$1))</f>
        <v>(Nm3 CH4/d)</v>
      </c>
      <c r="I699" s="10" t="s">
        <v>874</v>
      </c>
      <c r="J699" s="10" t="s">
        <v>874</v>
      </c>
      <c r="K699" s="27" t="s">
        <v>874</v>
      </c>
    </row>
    <row r="700" spans="1:12" x14ac:dyDescent="0.35">
      <c r="A700" s="10" t="s">
        <v>1283</v>
      </c>
      <c r="B700" s="255">
        <v>7</v>
      </c>
      <c r="C700" s="10" t="s">
        <v>384</v>
      </c>
      <c r="D700" s="10">
        <v>3</v>
      </c>
      <c r="E700" s="10">
        <v>65</v>
      </c>
      <c r="F700" s="10" t="s">
        <v>690</v>
      </c>
      <c r="G700" s="10" t="s">
        <v>695</v>
      </c>
      <c r="H700" s="10" t="str" cm="1">
        <f t="array" aca="1" ref="H700" ca="1">IF(INDEX(I700:Z700,$H$1)=0,"",INDEX(I700:Z700,$H$1))</f>
        <v>Chemical Injection Pump: Pneumatic (Diaphragm Type)</v>
      </c>
      <c r="I700" s="17" t="s">
        <v>2375</v>
      </c>
      <c r="J700" s="17" t="s">
        <v>2375</v>
      </c>
      <c r="K700" s="17" t="s">
        <v>2375</v>
      </c>
    </row>
    <row r="701" spans="1:12" x14ac:dyDescent="0.35">
      <c r="A701" s="10" t="s">
        <v>1283</v>
      </c>
      <c r="B701" s="255">
        <v>7</v>
      </c>
      <c r="C701" s="10" t="s">
        <v>384</v>
      </c>
      <c r="D701" s="10">
        <v>3</v>
      </c>
      <c r="E701" s="10">
        <v>66</v>
      </c>
      <c r="F701" s="10" t="s">
        <v>690</v>
      </c>
      <c r="G701" s="10" t="s">
        <v>695</v>
      </c>
      <c r="H701" s="10" t="str" cm="1">
        <f t="array" aca="1" ref="H701" ca="1">IF(INDEX(I701:Z701,$H$1)=0,"",INDEX(I701:Z701,$H$1))</f>
        <v>Chemical Injection Pump: Pneumatic (Piston Type)</v>
      </c>
      <c r="I701" s="17" t="s">
        <v>2376</v>
      </c>
      <c r="J701" s="17" t="s">
        <v>2376</v>
      </c>
      <c r="K701" s="17" t="s">
        <v>2376</v>
      </c>
    </row>
    <row r="702" spans="1:12" x14ac:dyDescent="0.35">
      <c r="A702" s="10" t="s">
        <v>1283</v>
      </c>
      <c r="B702" s="255">
        <v>7</v>
      </c>
      <c r="C702" s="10" t="s">
        <v>384</v>
      </c>
      <c r="D702" s="10">
        <v>3</v>
      </c>
      <c r="E702" s="10">
        <v>67</v>
      </c>
      <c r="F702" s="10" t="s">
        <v>690</v>
      </c>
      <c r="G702" s="10" t="s">
        <v>695</v>
      </c>
      <c r="H702" s="10" t="str" cm="1">
        <f t="array" aca="1" ref="H702" ca="1">IF(INDEX(I702:Z702,$H$1)=0,"",INDEX(I702:Z702,$H$1))</f>
        <v>Chemical Injection Pump: Pneumatic (Unknown Type)</v>
      </c>
      <c r="I702" s="17" t="s">
        <v>2377</v>
      </c>
      <c r="J702" s="17" t="s">
        <v>2377</v>
      </c>
      <c r="K702" s="17" t="s">
        <v>2377</v>
      </c>
    </row>
    <row r="703" spans="1:12" x14ac:dyDescent="0.35">
      <c r="A703" s="10" t="s">
        <v>1283</v>
      </c>
      <c r="B703" s="255">
        <v>7</v>
      </c>
      <c r="C703" s="10" t="s">
        <v>384</v>
      </c>
      <c r="D703" s="10">
        <v>3</v>
      </c>
      <c r="E703" s="10">
        <v>68</v>
      </c>
      <c r="F703" s="10" t="s">
        <v>694</v>
      </c>
      <c r="G703" s="10" t="s">
        <v>695</v>
      </c>
      <c r="H703" s="10" t="str" cm="1">
        <f t="array" aca="1" ref="H703" ca="1">IF(INDEX(I703:Z703,$H$1)=0,"",INDEX(I703:Z703,$H$1))</f>
        <v>Grand Total:</v>
      </c>
      <c r="I703" s="10" t="s">
        <v>330</v>
      </c>
      <c r="J703" s="10" t="s">
        <v>1096</v>
      </c>
      <c r="K703" s="27" t="s">
        <v>1581</v>
      </c>
      <c r="L703" s="15"/>
    </row>
    <row r="704" spans="1:12" x14ac:dyDescent="0.35">
      <c r="A704" s="10" t="s">
        <v>1283</v>
      </c>
      <c r="B704" s="255">
        <v>7</v>
      </c>
      <c r="C704" s="10" t="s">
        <v>384</v>
      </c>
      <c r="D704" s="10">
        <v>3</v>
      </c>
      <c r="E704" s="10">
        <v>68</v>
      </c>
      <c r="F704" s="10" t="s">
        <v>591</v>
      </c>
      <c r="G704" s="10" t="s">
        <v>767</v>
      </c>
      <c r="H704" s="10" t="str" cm="1">
        <f t="array" aca="1" ref="H704" ca="1">IF(INDEX(I704:Z704,$H$1)=0,"",INDEX(I704:Z704,$H$1))</f>
        <v>m3 CH4/d</v>
      </c>
      <c r="I704" s="10" t="s">
        <v>875</v>
      </c>
      <c r="J704" s="10" t="s">
        <v>875</v>
      </c>
      <c r="K704" s="27" t="s">
        <v>875</v>
      </c>
      <c r="L704" s="22"/>
    </row>
    <row r="705" spans="1:11" x14ac:dyDescent="0.35">
      <c r="A705" s="10" t="s">
        <v>1283</v>
      </c>
      <c r="B705" s="255">
        <v>7</v>
      </c>
      <c r="C705" s="10" t="s">
        <v>384</v>
      </c>
      <c r="D705" s="10">
        <v>3</v>
      </c>
      <c r="E705" s="10">
        <v>69</v>
      </c>
      <c r="F705" s="10" t="s">
        <v>591</v>
      </c>
      <c r="G705" s="10" t="s">
        <v>767</v>
      </c>
      <c r="H705" s="10" t="str" cm="1">
        <f t="array" aca="1" ref="H705" ca="1">IF(INDEX(I705:Z705,$H$1)=0,"",INDEX(I705:Z705,$H$1))</f>
        <v>m3 CH4/y</v>
      </c>
      <c r="I705" s="10" t="s">
        <v>876</v>
      </c>
      <c r="J705" s="10" t="s">
        <v>876</v>
      </c>
      <c r="K705" s="27" t="s">
        <v>1587</v>
      </c>
    </row>
    <row r="706" spans="1:11" x14ac:dyDescent="0.35">
      <c r="A706" s="10" t="s">
        <v>1283</v>
      </c>
      <c r="B706" s="255">
        <v>7</v>
      </c>
      <c r="C706" s="10" t="s">
        <v>384</v>
      </c>
      <c r="D706" s="10">
        <v>3</v>
      </c>
      <c r="E706" s="10">
        <v>70</v>
      </c>
      <c r="F706" s="10" t="s">
        <v>591</v>
      </c>
      <c r="G706" s="10" t="s">
        <v>767</v>
      </c>
      <c r="H706" s="10" t="str" cm="1">
        <f t="array" aca="1" ref="H706" ca="1">IF(INDEX(I706:Z706,$H$1)=0,"",INDEX(I706:Z706,$H$1))</f>
        <v>tonnes CH4/y</v>
      </c>
      <c r="I706" s="10" t="s">
        <v>314</v>
      </c>
      <c r="J706" s="10" t="s">
        <v>1072</v>
      </c>
      <c r="K706" s="27" t="s">
        <v>1568</v>
      </c>
    </row>
    <row r="707" spans="1:11" x14ac:dyDescent="0.35">
      <c r="A707" s="10" t="s">
        <v>1283</v>
      </c>
      <c r="B707" s="255">
        <v>7</v>
      </c>
      <c r="C707" s="10" t="s">
        <v>339</v>
      </c>
      <c r="D707" s="10">
        <v>4</v>
      </c>
      <c r="E707" s="10">
        <v>75</v>
      </c>
      <c r="F707" s="10" t="s">
        <v>690</v>
      </c>
      <c r="G707" s="10" t="s">
        <v>688</v>
      </c>
      <c r="H707" s="10" t="str" cm="1">
        <f t="array" aca="1" ref="H707" ca="1">IF(INDEX(I707:Z707,$H$1)=0,"",INDEX(I707:Z707,$H$1))</f>
        <v>Inventory of Pressure Vessels:</v>
      </c>
      <c r="I707" s="10" t="s">
        <v>339</v>
      </c>
      <c r="J707" s="10" t="s">
        <v>1257</v>
      </c>
      <c r="K707" s="27" t="s">
        <v>1588</v>
      </c>
    </row>
    <row r="708" spans="1:11" x14ac:dyDescent="0.35">
      <c r="A708" s="10" t="s">
        <v>1283</v>
      </c>
      <c r="B708" s="255">
        <v>7</v>
      </c>
      <c r="C708" s="10" t="s">
        <v>339</v>
      </c>
      <c r="D708" s="10">
        <v>4</v>
      </c>
      <c r="E708" s="10">
        <v>75</v>
      </c>
      <c r="F708" s="10" t="s">
        <v>692</v>
      </c>
      <c r="G708" s="10" t="s">
        <v>696</v>
      </c>
      <c r="H708" s="10" t="str" cm="1">
        <f t="array" aca="1" ref="H708" ca="1">IF(INDEX(I708:Z708,$H$1)=0,"",INDEX(I708:Z708,$H$1))</f>
        <v>Emission Calculations</v>
      </c>
      <c r="I708" s="10" t="s">
        <v>312</v>
      </c>
      <c r="J708" s="10" t="s">
        <v>892</v>
      </c>
      <c r="K708" s="27" t="s">
        <v>1572</v>
      </c>
    </row>
    <row r="709" spans="1:11" x14ac:dyDescent="0.35">
      <c r="A709" s="10" t="s">
        <v>1283</v>
      </c>
      <c r="B709" s="255">
        <v>7</v>
      </c>
      <c r="C709" s="10" t="s">
        <v>339</v>
      </c>
      <c r="D709" s="10">
        <v>4</v>
      </c>
      <c r="E709" s="10">
        <v>76</v>
      </c>
      <c r="F709" s="10" t="s">
        <v>823</v>
      </c>
      <c r="G709" s="10" t="s">
        <v>696</v>
      </c>
      <c r="H709" s="10" t="str" cm="1">
        <f t="array" aca="1" ref="H709" ca="1">IF(INDEX(I709:Z709,$H$1)=0,"",INDEX(I709:Z709,$H$1))</f>
        <v>Category 13</v>
      </c>
      <c r="I709" s="10" t="s">
        <v>293</v>
      </c>
      <c r="J709" s="10" t="s">
        <v>847</v>
      </c>
      <c r="K709" s="27" t="s">
        <v>1523</v>
      </c>
    </row>
    <row r="710" spans="1:11" x14ac:dyDescent="0.35">
      <c r="A710" s="10" t="s">
        <v>1283</v>
      </c>
      <c r="B710" s="255">
        <v>7</v>
      </c>
      <c r="C710" s="10" t="s">
        <v>339</v>
      </c>
      <c r="D710" s="10">
        <v>4</v>
      </c>
      <c r="E710" s="10">
        <v>76</v>
      </c>
      <c r="F710" s="10" t="s">
        <v>825</v>
      </c>
      <c r="G710" s="10" t="s">
        <v>696</v>
      </c>
      <c r="H710" s="10" t="str" cm="1">
        <f t="array" aca="1" ref="H710" ca="1">IF(INDEX(I710:Z710,$H$1)=0,"",INDEX(I710:Z710,$H$1))</f>
        <v>Category 14</v>
      </c>
      <c r="I710" s="10" t="s">
        <v>294</v>
      </c>
      <c r="J710" s="10" t="s">
        <v>848</v>
      </c>
      <c r="K710" s="27" t="s">
        <v>1524</v>
      </c>
    </row>
    <row r="711" spans="1:11" x14ac:dyDescent="0.35">
      <c r="A711" s="10" t="s">
        <v>1283</v>
      </c>
      <c r="B711" s="255">
        <v>7</v>
      </c>
      <c r="C711" s="10" t="s">
        <v>339</v>
      </c>
      <c r="D711" s="10">
        <v>4</v>
      </c>
      <c r="E711" s="10">
        <v>76</v>
      </c>
      <c r="F711" s="10" t="s">
        <v>827</v>
      </c>
      <c r="G711" s="10" t="s">
        <v>696</v>
      </c>
      <c r="H711" s="10" t="str" cm="1">
        <f t="array" aca="1" ref="H711" ca="1">IF(INDEX(I711:Z711,$H$1)=0,"",INDEX(I711:Z711,$H$1))</f>
        <v>Category 15</v>
      </c>
      <c r="I711" s="10" t="s">
        <v>295</v>
      </c>
      <c r="J711" s="10" t="s">
        <v>849</v>
      </c>
      <c r="K711" s="27" t="s">
        <v>1525</v>
      </c>
    </row>
    <row r="712" spans="1:11" x14ac:dyDescent="0.35">
      <c r="A712" s="10" t="s">
        <v>1283</v>
      </c>
      <c r="B712" s="255">
        <v>7</v>
      </c>
      <c r="C712" s="10" t="s">
        <v>339</v>
      </c>
      <c r="D712" s="10">
        <v>4</v>
      </c>
      <c r="E712" s="10">
        <v>76</v>
      </c>
      <c r="F712" s="10" t="s">
        <v>692</v>
      </c>
      <c r="G712" s="10" t="s">
        <v>696</v>
      </c>
      <c r="H712" s="10" t="str" cm="1">
        <f t="array" aca="1" ref="H712" ca="1">IF(INDEX(I712:Z712,$H$1)=0,"",INDEX(I712:Z712,$H$1))</f>
        <v>Category 1</v>
      </c>
      <c r="I712" s="10" t="s">
        <v>281</v>
      </c>
      <c r="J712" s="10" t="s">
        <v>835</v>
      </c>
      <c r="K712" s="27" t="s">
        <v>1527</v>
      </c>
    </row>
    <row r="713" spans="1:11" x14ac:dyDescent="0.35">
      <c r="A713" s="10" t="s">
        <v>1283</v>
      </c>
      <c r="B713" s="255">
        <v>7</v>
      </c>
      <c r="C713" s="10" t="s">
        <v>339</v>
      </c>
      <c r="D713" s="10">
        <v>4</v>
      </c>
      <c r="E713" s="10">
        <v>76</v>
      </c>
      <c r="F713" s="10" t="s">
        <v>694</v>
      </c>
      <c r="G713" s="10" t="s">
        <v>696</v>
      </c>
      <c r="H713" s="10" t="str" cm="1">
        <f t="array" aca="1" ref="H713" ca="1">IF(INDEX(I713:Z713,$H$1)=0,"",INDEX(I713:Z713,$H$1))</f>
        <v>Category 2</v>
      </c>
      <c r="I713" s="10" t="s">
        <v>282</v>
      </c>
      <c r="J713" s="10" t="s">
        <v>836</v>
      </c>
      <c r="K713" s="27" t="s">
        <v>1528</v>
      </c>
    </row>
    <row r="714" spans="1:11" x14ac:dyDescent="0.35">
      <c r="A714" s="10" t="s">
        <v>1283</v>
      </c>
      <c r="B714" s="255">
        <v>7</v>
      </c>
      <c r="C714" s="10" t="s">
        <v>339</v>
      </c>
      <c r="D714" s="10">
        <v>4</v>
      </c>
      <c r="E714" s="10">
        <v>76</v>
      </c>
      <c r="F714" s="10" t="s">
        <v>591</v>
      </c>
      <c r="G714" s="10" t="s">
        <v>696</v>
      </c>
      <c r="H714" s="10" t="str" cm="1">
        <f t="array" aca="1" ref="H714" ca="1">IF(INDEX(I714:Z714,$H$1)=0,"",INDEX(I714:Z714,$H$1))</f>
        <v>Category 3</v>
      </c>
      <c r="I714" s="10" t="s">
        <v>283</v>
      </c>
      <c r="J714" s="10" t="s">
        <v>837</v>
      </c>
      <c r="K714" s="27" t="s">
        <v>1529</v>
      </c>
    </row>
    <row r="715" spans="1:11" x14ac:dyDescent="0.35">
      <c r="A715" s="10" t="s">
        <v>1283</v>
      </c>
      <c r="B715" s="255">
        <v>7</v>
      </c>
      <c r="C715" s="10" t="s">
        <v>339</v>
      </c>
      <c r="D715" s="10">
        <v>4</v>
      </c>
      <c r="E715" s="10">
        <v>76</v>
      </c>
      <c r="F715" s="10" t="s">
        <v>713</v>
      </c>
      <c r="G715" s="10" t="s">
        <v>696</v>
      </c>
      <c r="H715" s="10" t="str" cm="1">
        <f t="array" aca="1" ref="H715" ca="1">IF(INDEX(I715:Z715,$H$1)=0,"",INDEX(I715:Z715,$H$1))</f>
        <v>Category 4</v>
      </c>
      <c r="I715" s="10" t="s">
        <v>284</v>
      </c>
      <c r="J715" s="10" t="s">
        <v>838</v>
      </c>
      <c r="K715" s="27" t="s">
        <v>1530</v>
      </c>
    </row>
    <row r="716" spans="1:11" x14ac:dyDescent="0.35">
      <c r="A716" s="10" t="s">
        <v>1283</v>
      </c>
      <c r="B716" s="255">
        <v>7</v>
      </c>
      <c r="C716" s="10" t="s">
        <v>339</v>
      </c>
      <c r="D716" s="10">
        <v>4</v>
      </c>
      <c r="E716" s="10">
        <v>76</v>
      </c>
      <c r="F716" s="10" t="s">
        <v>773</v>
      </c>
      <c r="G716" s="10" t="s">
        <v>696</v>
      </c>
      <c r="H716" s="10" t="str" cm="1">
        <f t="array" aca="1" ref="H716" ca="1">IF(INDEX(I716:Z716,$H$1)=0,"",INDEX(I716:Z716,$H$1))</f>
        <v>Category 5</v>
      </c>
      <c r="I716" s="10" t="s">
        <v>285</v>
      </c>
      <c r="J716" s="10" t="s">
        <v>839</v>
      </c>
      <c r="K716" s="27" t="s">
        <v>1531</v>
      </c>
    </row>
    <row r="717" spans="1:11" x14ac:dyDescent="0.35">
      <c r="A717" s="10" t="s">
        <v>1283</v>
      </c>
      <c r="B717" s="255">
        <v>7</v>
      </c>
      <c r="C717" s="10" t="s">
        <v>339</v>
      </c>
      <c r="D717" s="10">
        <v>4</v>
      </c>
      <c r="E717" s="10">
        <v>76</v>
      </c>
      <c r="F717" s="10" t="s">
        <v>593</v>
      </c>
      <c r="G717" s="10" t="s">
        <v>696</v>
      </c>
      <c r="H717" s="10" t="str" cm="1">
        <f t="array" aca="1" ref="H717" ca="1">IF(INDEX(I717:Z717,$H$1)=0,"",INDEX(I717:Z717,$H$1))</f>
        <v>Category 6</v>
      </c>
      <c r="I717" s="10" t="s">
        <v>286</v>
      </c>
      <c r="J717" s="10" t="s">
        <v>840</v>
      </c>
      <c r="K717" s="27" t="s">
        <v>1532</v>
      </c>
    </row>
    <row r="718" spans="1:11" x14ac:dyDescent="0.35">
      <c r="A718" s="10" t="s">
        <v>1283</v>
      </c>
      <c r="B718" s="255">
        <v>7</v>
      </c>
      <c r="C718" s="10" t="s">
        <v>339</v>
      </c>
      <c r="D718" s="10">
        <v>4</v>
      </c>
      <c r="E718" s="10">
        <v>76</v>
      </c>
      <c r="F718" s="10" t="s">
        <v>775</v>
      </c>
      <c r="G718" s="10" t="s">
        <v>696</v>
      </c>
      <c r="H718" s="10" t="str" cm="1">
        <f t="array" aca="1" ref="H718" ca="1">IF(INDEX(I718:Z718,$H$1)=0,"",INDEX(I718:Z718,$H$1))</f>
        <v>Category 7</v>
      </c>
      <c r="I718" s="10" t="s">
        <v>287</v>
      </c>
      <c r="J718" s="10" t="s">
        <v>841</v>
      </c>
      <c r="K718" s="27" t="s">
        <v>1533</v>
      </c>
    </row>
    <row r="719" spans="1:11" x14ac:dyDescent="0.35">
      <c r="A719" s="10" t="s">
        <v>1283</v>
      </c>
      <c r="B719" s="255">
        <v>7</v>
      </c>
      <c r="C719" s="10" t="s">
        <v>339</v>
      </c>
      <c r="D719" s="10">
        <v>4</v>
      </c>
      <c r="E719" s="10">
        <v>76</v>
      </c>
      <c r="F719" s="10" t="s">
        <v>718</v>
      </c>
      <c r="G719" s="10" t="s">
        <v>696</v>
      </c>
      <c r="H719" s="10" t="str" cm="1">
        <f t="array" aca="1" ref="H719" ca="1">IF(INDEX(I719:Z719,$H$1)=0,"",INDEX(I719:Z719,$H$1))</f>
        <v>Category 8</v>
      </c>
      <c r="I719" s="10" t="s">
        <v>288</v>
      </c>
      <c r="J719" s="10" t="s">
        <v>842</v>
      </c>
      <c r="K719" s="27" t="s">
        <v>1534</v>
      </c>
    </row>
    <row r="720" spans="1:11" x14ac:dyDescent="0.35">
      <c r="A720" s="10" t="s">
        <v>1283</v>
      </c>
      <c r="B720" s="255">
        <v>7</v>
      </c>
      <c r="C720" s="10" t="s">
        <v>339</v>
      </c>
      <c r="D720" s="10">
        <v>4</v>
      </c>
      <c r="E720" s="10">
        <v>76</v>
      </c>
      <c r="F720" s="10" t="s">
        <v>816</v>
      </c>
      <c r="G720" s="10" t="s">
        <v>696</v>
      </c>
      <c r="H720" s="10" t="str" cm="1">
        <f t="array" aca="1" ref="H720" ca="1">IF(INDEX(I720:Z720,$H$1)=0,"",INDEX(I720:Z720,$H$1))</f>
        <v>Category 9</v>
      </c>
      <c r="I720" s="10" t="s">
        <v>289</v>
      </c>
      <c r="J720" s="10" t="s">
        <v>843</v>
      </c>
      <c r="K720" s="27" t="s">
        <v>1535</v>
      </c>
    </row>
    <row r="721" spans="1:11" x14ac:dyDescent="0.35">
      <c r="A721" s="10" t="s">
        <v>1283</v>
      </c>
      <c r="B721" s="255">
        <v>7</v>
      </c>
      <c r="C721" s="10" t="s">
        <v>339</v>
      </c>
      <c r="D721" s="10">
        <v>4</v>
      </c>
      <c r="E721" s="10">
        <v>76</v>
      </c>
      <c r="F721" s="10" t="s">
        <v>390</v>
      </c>
      <c r="G721" s="10" t="s">
        <v>696</v>
      </c>
      <c r="H721" s="10" t="str" cm="1">
        <f t="array" aca="1" ref="H721" ca="1">IF(INDEX(I721:Z721,$H$1)=0,"",INDEX(I721:Z721,$H$1))</f>
        <v>Category 10</v>
      </c>
      <c r="I721" s="10" t="s">
        <v>290</v>
      </c>
      <c r="J721" s="10" t="s">
        <v>844</v>
      </c>
      <c r="K721" s="27" t="s">
        <v>1536</v>
      </c>
    </row>
    <row r="722" spans="1:11" x14ac:dyDescent="0.35">
      <c r="A722" s="10" t="s">
        <v>1283</v>
      </c>
      <c r="B722" s="255">
        <v>7</v>
      </c>
      <c r="C722" s="10" t="s">
        <v>339</v>
      </c>
      <c r="D722" s="10">
        <v>4</v>
      </c>
      <c r="E722" s="10">
        <v>76</v>
      </c>
      <c r="F722" s="10" t="s">
        <v>819</v>
      </c>
      <c r="G722" s="10" t="s">
        <v>696</v>
      </c>
      <c r="H722" s="10" t="str" cm="1">
        <f t="array" aca="1" ref="H722" ca="1">IF(INDEX(I722:Z722,$H$1)=0,"",INDEX(I722:Z722,$H$1))</f>
        <v>Category 11</v>
      </c>
      <c r="I722" s="10" t="s">
        <v>291</v>
      </c>
      <c r="J722" s="10" t="s">
        <v>845</v>
      </c>
      <c r="K722" s="27" t="s">
        <v>1521</v>
      </c>
    </row>
    <row r="723" spans="1:11" x14ac:dyDescent="0.35">
      <c r="A723" s="10" t="s">
        <v>1283</v>
      </c>
      <c r="B723" s="255">
        <v>7</v>
      </c>
      <c r="C723" s="10" t="s">
        <v>339</v>
      </c>
      <c r="D723" s="10">
        <v>4</v>
      </c>
      <c r="E723" s="10">
        <v>76</v>
      </c>
      <c r="F723" s="10" t="s">
        <v>821</v>
      </c>
      <c r="G723" s="10" t="s">
        <v>696</v>
      </c>
      <c r="H723" s="10" t="str" cm="1">
        <f t="array" aca="1" ref="H723" ca="1">IF(INDEX(I723:Z723,$H$1)=0,"",INDEX(I723:Z723,$H$1))</f>
        <v>Category 12</v>
      </c>
      <c r="I723" s="10" t="s">
        <v>292</v>
      </c>
      <c r="J723" s="10" t="s">
        <v>846</v>
      </c>
      <c r="K723" s="27" t="s">
        <v>1522</v>
      </c>
    </row>
    <row r="724" spans="1:11" x14ac:dyDescent="0.35">
      <c r="A724" s="10" t="s">
        <v>1283</v>
      </c>
      <c r="B724" s="255">
        <v>7</v>
      </c>
      <c r="C724" s="10" t="s">
        <v>339</v>
      </c>
      <c r="D724" s="10">
        <v>4</v>
      </c>
      <c r="E724" s="10">
        <v>77</v>
      </c>
      <c r="F724" s="10" t="s">
        <v>690</v>
      </c>
      <c r="G724" s="10" t="s">
        <v>696</v>
      </c>
      <c r="H724" s="10" t="str" cm="1">
        <f t="array" aca="1" ref="H724" ca="1">IF(INDEX(I724:Z724,$H$1)=0,"",INDEX(I724:Z724,$H$1))</f>
        <v>Emission Factor</v>
      </c>
      <c r="I724" s="10" t="s">
        <v>145</v>
      </c>
      <c r="J724" s="10" t="s">
        <v>910</v>
      </c>
      <c r="K724" s="27" t="s">
        <v>1583</v>
      </c>
    </row>
    <row r="725" spans="1:11" x14ac:dyDescent="0.35">
      <c r="A725" s="10" t="s">
        <v>1283</v>
      </c>
      <c r="B725" s="255">
        <v>7</v>
      </c>
      <c r="C725" s="10" t="s">
        <v>339</v>
      </c>
      <c r="D725" s="10">
        <v>4</v>
      </c>
      <c r="E725" s="10">
        <v>78</v>
      </c>
      <c r="F725" s="10" t="s">
        <v>690</v>
      </c>
      <c r="G725" s="10" t="s">
        <v>696</v>
      </c>
      <c r="H725" s="10" t="str" cm="1">
        <f t="array" aca="1" ref="H725" ca="1">IF(INDEX(I725:Z725,$H$1)=0,"",INDEX(I725:Z725,$H$1))</f>
        <v>(Nm3/y/vessel)</v>
      </c>
      <c r="I725" s="10" t="s">
        <v>877</v>
      </c>
      <c r="J725" s="10" t="s">
        <v>1321</v>
      </c>
      <c r="K725" s="27" t="s">
        <v>1589</v>
      </c>
    </row>
    <row r="726" spans="1:11" x14ac:dyDescent="0.35">
      <c r="A726" s="10" t="s">
        <v>1283</v>
      </c>
      <c r="B726" s="255">
        <v>7</v>
      </c>
      <c r="C726" s="10" t="s">
        <v>339</v>
      </c>
      <c r="D726" s="10">
        <v>4</v>
      </c>
      <c r="E726" s="10">
        <v>79</v>
      </c>
      <c r="F726" s="10" t="s">
        <v>822</v>
      </c>
      <c r="G726" s="10" t="s">
        <v>696</v>
      </c>
      <c r="H726" s="10" t="str" cm="1">
        <f t="array" aca="1" ref="H726" ca="1">IF(INDEX(I726:Z726,$H$1)=0,"",INDEX(I726:Z726,$H$1))</f>
        <v>Emissions (Nm3 CH4/y)</v>
      </c>
      <c r="I726" s="10" t="s">
        <v>878</v>
      </c>
      <c r="J726" s="10" t="s">
        <v>1095</v>
      </c>
      <c r="K726" s="27" t="s">
        <v>1590</v>
      </c>
    </row>
    <row r="727" spans="1:11" x14ac:dyDescent="0.35">
      <c r="A727" s="10" t="s">
        <v>1283</v>
      </c>
      <c r="B727" s="255">
        <v>7</v>
      </c>
      <c r="C727" s="10" t="s">
        <v>339</v>
      </c>
      <c r="D727" s="10">
        <v>4</v>
      </c>
      <c r="E727" s="10">
        <v>79</v>
      </c>
      <c r="F727" s="10" t="s">
        <v>823</v>
      </c>
      <c r="G727" s="10" t="s">
        <v>696</v>
      </c>
      <c r="H727" s="10" t="str" cm="1">
        <f t="array" aca="1" ref="H727" ca="1">IF(INDEX(I727:Z727,$H$1)=0,"",INDEX(I727:Z727,$H$1))</f>
        <v>Vessel Count</v>
      </c>
      <c r="I727" s="10" t="s">
        <v>338</v>
      </c>
      <c r="J727" s="10" t="s">
        <v>1280</v>
      </c>
      <c r="K727" s="27" t="s">
        <v>1591</v>
      </c>
    </row>
    <row r="728" spans="1:11" x14ac:dyDescent="0.35">
      <c r="A728" s="10" t="s">
        <v>1283</v>
      </c>
      <c r="B728" s="255">
        <v>7</v>
      </c>
      <c r="C728" s="10" t="s">
        <v>339</v>
      </c>
      <c r="D728" s="10">
        <v>4</v>
      </c>
      <c r="E728" s="10">
        <v>79</v>
      </c>
      <c r="F728" s="10" t="s">
        <v>824</v>
      </c>
      <c r="G728" s="10" t="s">
        <v>696</v>
      </c>
      <c r="H728" s="10" t="str" cm="1">
        <f t="array" aca="1" ref="H728" ca="1">IF(INDEX(I728:Z728,$H$1)=0,"",INDEX(I728:Z728,$H$1))</f>
        <v>Emissions (Nm3 CH4/y)</v>
      </c>
      <c r="I728" s="10" t="s">
        <v>878</v>
      </c>
      <c r="J728" s="10" t="s">
        <v>1095</v>
      </c>
      <c r="K728" s="27" t="s">
        <v>1590</v>
      </c>
    </row>
    <row r="729" spans="1:11" x14ac:dyDescent="0.35">
      <c r="A729" s="10" t="s">
        <v>1283</v>
      </c>
      <c r="B729" s="255">
        <v>7</v>
      </c>
      <c r="C729" s="10" t="s">
        <v>339</v>
      </c>
      <c r="D729" s="10">
        <v>4</v>
      </c>
      <c r="E729" s="10">
        <v>79</v>
      </c>
      <c r="F729" s="10" t="s">
        <v>825</v>
      </c>
      <c r="G729" s="10" t="s">
        <v>696</v>
      </c>
      <c r="H729" s="10" t="str" cm="1">
        <f t="array" aca="1" ref="H729" ca="1">IF(INDEX(I729:Z729,$H$1)=0,"",INDEX(I729:Z729,$H$1))</f>
        <v>Vessel Count</v>
      </c>
      <c r="I729" s="10" t="s">
        <v>338</v>
      </c>
      <c r="J729" s="10" t="s">
        <v>1280</v>
      </c>
      <c r="K729" s="27" t="s">
        <v>1591</v>
      </c>
    </row>
    <row r="730" spans="1:11" x14ac:dyDescent="0.35">
      <c r="A730" s="10" t="s">
        <v>1283</v>
      </c>
      <c r="B730" s="255">
        <v>7</v>
      </c>
      <c r="C730" s="10" t="s">
        <v>339</v>
      </c>
      <c r="D730" s="10">
        <v>4</v>
      </c>
      <c r="E730" s="10">
        <v>79</v>
      </c>
      <c r="F730" s="10" t="s">
        <v>826</v>
      </c>
      <c r="G730" s="10" t="s">
        <v>696</v>
      </c>
      <c r="H730" s="10" t="str" cm="1">
        <f t="array" aca="1" ref="H730" ca="1">IF(INDEX(I730:Z730,$H$1)=0,"",INDEX(I730:Z730,$H$1))</f>
        <v>Emissions (Nm3 CH4/y)</v>
      </c>
      <c r="I730" s="10" t="s">
        <v>878</v>
      </c>
      <c r="J730" s="10" t="s">
        <v>1095</v>
      </c>
      <c r="K730" s="27" t="s">
        <v>1590</v>
      </c>
    </row>
    <row r="731" spans="1:11" x14ac:dyDescent="0.35">
      <c r="A731" s="10" t="s">
        <v>1283</v>
      </c>
      <c r="B731" s="255">
        <v>7</v>
      </c>
      <c r="C731" s="10" t="s">
        <v>339</v>
      </c>
      <c r="D731" s="10">
        <v>4</v>
      </c>
      <c r="E731" s="10">
        <v>79</v>
      </c>
      <c r="F731" s="10" t="s">
        <v>827</v>
      </c>
      <c r="G731" s="10" t="s">
        <v>696</v>
      </c>
      <c r="H731" s="10" t="str" cm="1">
        <f t="array" aca="1" ref="H731" ca="1">IF(INDEX(I731:Z731,$H$1)=0,"",INDEX(I731:Z731,$H$1))</f>
        <v>Vessel Count</v>
      </c>
      <c r="I731" s="10" t="s">
        <v>338</v>
      </c>
      <c r="J731" s="10" t="s">
        <v>1280</v>
      </c>
      <c r="K731" s="27" t="s">
        <v>1591</v>
      </c>
    </row>
    <row r="732" spans="1:11" x14ac:dyDescent="0.35">
      <c r="A732" s="10" t="s">
        <v>1283</v>
      </c>
      <c r="B732" s="255">
        <v>7</v>
      </c>
      <c r="C732" s="10" t="s">
        <v>339</v>
      </c>
      <c r="D732" s="10">
        <v>4</v>
      </c>
      <c r="E732" s="10">
        <v>79</v>
      </c>
      <c r="F732" s="10" t="s">
        <v>828</v>
      </c>
      <c r="G732" s="10" t="s">
        <v>696</v>
      </c>
      <c r="H732" s="10" t="str" cm="1">
        <f t="array" aca="1" ref="H732" ca="1">IF(INDEX(I732:Z732,$H$1)=0,"",INDEX(I732:Z732,$H$1))</f>
        <v>Emissions (Nm3 CH4/y)</v>
      </c>
      <c r="I732" s="10" t="s">
        <v>878</v>
      </c>
      <c r="J732" s="10" t="s">
        <v>1095</v>
      </c>
      <c r="K732" s="27" t="s">
        <v>1590</v>
      </c>
    </row>
    <row r="733" spans="1:11" x14ac:dyDescent="0.35">
      <c r="A733" s="10" t="s">
        <v>1283</v>
      </c>
      <c r="B733" s="255">
        <v>7</v>
      </c>
      <c r="C733" s="10" t="s">
        <v>339</v>
      </c>
      <c r="D733" s="10">
        <v>4</v>
      </c>
      <c r="E733" s="10">
        <v>79</v>
      </c>
      <c r="F733" s="10" t="s">
        <v>692</v>
      </c>
      <c r="G733" s="10" t="s">
        <v>696</v>
      </c>
      <c r="H733" s="10" t="str" cm="1">
        <f t="array" aca="1" ref="H733" ca="1">IF(INDEX(I733:Z733,$H$1)=0,"",INDEX(I733:Z733,$H$1))</f>
        <v>Vessel Count</v>
      </c>
      <c r="I733" s="10" t="s">
        <v>338</v>
      </c>
      <c r="J733" s="10" t="s">
        <v>1280</v>
      </c>
      <c r="K733" s="27" t="s">
        <v>1591</v>
      </c>
    </row>
    <row r="734" spans="1:11" x14ac:dyDescent="0.35">
      <c r="A734" s="10" t="s">
        <v>1283</v>
      </c>
      <c r="B734" s="255">
        <v>7</v>
      </c>
      <c r="C734" s="10" t="s">
        <v>339</v>
      </c>
      <c r="D734" s="10">
        <v>4</v>
      </c>
      <c r="E734" s="10">
        <v>79</v>
      </c>
      <c r="F734" s="10" t="s">
        <v>693</v>
      </c>
      <c r="G734" s="10" t="s">
        <v>696</v>
      </c>
      <c r="H734" s="10" t="str" cm="1">
        <f t="array" aca="1" ref="H734" ca="1">IF(INDEX(I734:Z734,$H$1)=0,"",INDEX(I734:Z734,$H$1))</f>
        <v>Emissions (Nm3 CH4/y)</v>
      </c>
      <c r="I734" s="10" t="s">
        <v>878</v>
      </c>
      <c r="J734" s="10" t="s">
        <v>1095</v>
      </c>
      <c r="K734" s="27" t="s">
        <v>1590</v>
      </c>
    </row>
    <row r="735" spans="1:11" x14ac:dyDescent="0.35">
      <c r="A735" s="10" t="s">
        <v>1283</v>
      </c>
      <c r="B735" s="255">
        <v>7</v>
      </c>
      <c r="C735" s="10" t="s">
        <v>339</v>
      </c>
      <c r="D735" s="10">
        <v>4</v>
      </c>
      <c r="E735" s="10">
        <v>79</v>
      </c>
      <c r="F735" s="10" t="s">
        <v>694</v>
      </c>
      <c r="G735" s="10" t="s">
        <v>696</v>
      </c>
      <c r="H735" s="10" t="str" cm="1">
        <f t="array" aca="1" ref="H735" ca="1">IF(INDEX(I735:Z735,$H$1)=0,"",INDEX(I735:Z735,$H$1))</f>
        <v>Vessel Count</v>
      </c>
      <c r="I735" s="10" t="s">
        <v>338</v>
      </c>
      <c r="J735" s="10" t="s">
        <v>1280</v>
      </c>
      <c r="K735" s="27" t="s">
        <v>1591</v>
      </c>
    </row>
    <row r="736" spans="1:11" x14ac:dyDescent="0.35">
      <c r="A736" s="10" t="s">
        <v>1283</v>
      </c>
      <c r="B736" s="255">
        <v>7</v>
      </c>
      <c r="C736" s="10" t="s">
        <v>339</v>
      </c>
      <c r="D736" s="10">
        <v>4</v>
      </c>
      <c r="E736" s="10">
        <v>79</v>
      </c>
      <c r="F736" s="10" t="s">
        <v>711</v>
      </c>
      <c r="G736" s="10" t="s">
        <v>696</v>
      </c>
      <c r="H736" s="10" t="str" cm="1">
        <f t="array" aca="1" ref="H736" ca="1">IF(INDEX(I736:Z736,$H$1)=0,"",INDEX(I736:Z736,$H$1))</f>
        <v>Emissions (Nm3 CH4/y)</v>
      </c>
      <c r="I736" s="10" t="s">
        <v>878</v>
      </c>
      <c r="J736" s="10" t="s">
        <v>1095</v>
      </c>
      <c r="K736" s="27" t="s">
        <v>1590</v>
      </c>
    </row>
    <row r="737" spans="1:11" x14ac:dyDescent="0.35">
      <c r="A737" s="10" t="s">
        <v>1283</v>
      </c>
      <c r="B737" s="255">
        <v>7</v>
      </c>
      <c r="C737" s="10" t="s">
        <v>339</v>
      </c>
      <c r="D737" s="10">
        <v>4</v>
      </c>
      <c r="E737" s="10">
        <v>79</v>
      </c>
      <c r="F737" s="10" t="s">
        <v>591</v>
      </c>
      <c r="G737" s="10" t="s">
        <v>696</v>
      </c>
      <c r="H737" s="10" t="str" cm="1">
        <f t="array" aca="1" ref="H737" ca="1">IF(INDEX(I737:Z737,$H$1)=0,"",INDEX(I737:Z737,$H$1))</f>
        <v>Vessel Count</v>
      </c>
      <c r="I737" s="10" t="s">
        <v>338</v>
      </c>
      <c r="J737" s="10" t="s">
        <v>1280</v>
      </c>
      <c r="K737" s="27" t="s">
        <v>1591</v>
      </c>
    </row>
    <row r="738" spans="1:11" x14ac:dyDescent="0.35">
      <c r="A738" s="10" t="s">
        <v>1283</v>
      </c>
      <c r="B738" s="255">
        <v>7</v>
      </c>
      <c r="C738" s="10" t="s">
        <v>339</v>
      </c>
      <c r="D738" s="10">
        <v>4</v>
      </c>
      <c r="E738" s="10">
        <v>79</v>
      </c>
      <c r="F738" s="10" t="s">
        <v>712</v>
      </c>
      <c r="G738" s="10" t="s">
        <v>696</v>
      </c>
      <c r="H738" s="10" t="str" cm="1">
        <f t="array" aca="1" ref="H738" ca="1">IF(INDEX(I738:Z738,$H$1)=0,"",INDEX(I738:Z738,$H$1))</f>
        <v>Emissions (Nm3 CH4/y)</v>
      </c>
      <c r="I738" s="10" t="s">
        <v>878</v>
      </c>
      <c r="J738" s="10" t="s">
        <v>1095</v>
      </c>
      <c r="K738" s="27" t="s">
        <v>1590</v>
      </c>
    </row>
    <row r="739" spans="1:11" x14ac:dyDescent="0.35">
      <c r="A739" s="10" t="s">
        <v>1283</v>
      </c>
      <c r="B739" s="255">
        <v>7</v>
      </c>
      <c r="C739" s="10" t="s">
        <v>339</v>
      </c>
      <c r="D739" s="10">
        <v>4</v>
      </c>
      <c r="E739" s="10">
        <v>79</v>
      </c>
      <c r="F739" s="10" t="s">
        <v>713</v>
      </c>
      <c r="G739" s="10" t="s">
        <v>696</v>
      </c>
      <c r="H739" s="10" t="str" cm="1">
        <f t="array" aca="1" ref="H739" ca="1">IF(INDEX(I739:Z739,$H$1)=0,"",INDEX(I739:Z739,$H$1))</f>
        <v>Vessel Count</v>
      </c>
      <c r="I739" s="10" t="s">
        <v>338</v>
      </c>
      <c r="J739" s="10" t="s">
        <v>1280</v>
      </c>
      <c r="K739" s="27" t="s">
        <v>1591</v>
      </c>
    </row>
    <row r="740" spans="1:11" x14ac:dyDescent="0.35">
      <c r="A740" s="10" t="s">
        <v>1283</v>
      </c>
      <c r="B740" s="255">
        <v>7</v>
      </c>
      <c r="C740" s="10" t="s">
        <v>339</v>
      </c>
      <c r="D740" s="10">
        <v>4</v>
      </c>
      <c r="E740" s="10">
        <v>79</v>
      </c>
      <c r="F740" s="10" t="s">
        <v>772</v>
      </c>
      <c r="G740" s="10" t="s">
        <v>696</v>
      </c>
      <c r="H740" s="10" t="str" cm="1">
        <f t="array" aca="1" ref="H740" ca="1">IF(INDEX(I740:Z740,$H$1)=0,"",INDEX(I740:Z740,$H$1))</f>
        <v>Emissions (Nm3 CH4/y)</v>
      </c>
      <c r="I740" s="10" t="s">
        <v>878</v>
      </c>
      <c r="J740" s="10" t="s">
        <v>1095</v>
      </c>
      <c r="K740" s="27" t="s">
        <v>1590</v>
      </c>
    </row>
    <row r="741" spans="1:11" x14ac:dyDescent="0.35">
      <c r="A741" s="10" t="s">
        <v>1283</v>
      </c>
      <c r="B741" s="255">
        <v>7</v>
      </c>
      <c r="C741" s="10" t="s">
        <v>339</v>
      </c>
      <c r="D741" s="10">
        <v>4</v>
      </c>
      <c r="E741" s="10">
        <v>79</v>
      </c>
      <c r="F741" s="10" t="s">
        <v>773</v>
      </c>
      <c r="G741" s="10" t="s">
        <v>696</v>
      </c>
      <c r="H741" s="10" t="str" cm="1">
        <f t="array" aca="1" ref="H741" ca="1">IF(INDEX(I741:Z741,$H$1)=0,"",INDEX(I741:Z741,$H$1))</f>
        <v>Vessel Count</v>
      </c>
      <c r="I741" s="10" t="s">
        <v>338</v>
      </c>
      <c r="J741" s="10" t="s">
        <v>1280</v>
      </c>
      <c r="K741" s="27" t="s">
        <v>1591</v>
      </c>
    </row>
    <row r="742" spans="1:11" x14ac:dyDescent="0.35">
      <c r="A742" s="10" t="s">
        <v>1283</v>
      </c>
      <c r="B742" s="255">
        <v>7</v>
      </c>
      <c r="C742" s="10" t="s">
        <v>339</v>
      </c>
      <c r="D742" s="10">
        <v>4</v>
      </c>
      <c r="E742" s="10">
        <v>79</v>
      </c>
      <c r="F742" s="10" t="s">
        <v>771</v>
      </c>
      <c r="G742" s="10" t="s">
        <v>696</v>
      </c>
      <c r="H742" s="10" t="str" cm="1">
        <f t="array" aca="1" ref="H742" ca="1">IF(INDEX(I742:Z742,$H$1)=0,"",INDEX(I742:Z742,$H$1))</f>
        <v>Emissions (Nm3 CH4/y)</v>
      </c>
      <c r="I742" s="10" t="s">
        <v>878</v>
      </c>
      <c r="J742" s="10" t="s">
        <v>1095</v>
      </c>
      <c r="K742" s="27" t="s">
        <v>1590</v>
      </c>
    </row>
    <row r="743" spans="1:11" x14ac:dyDescent="0.35">
      <c r="A743" s="10" t="s">
        <v>1283</v>
      </c>
      <c r="B743" s="255">
        <v>7</v>
      </c>
      <c r="C743" s="10" t="s">
        <v>339</v>
      </c>
      <c r="D743" s="10">
        <v>4</v>
      </c>
      <c r="E743" s="10">
        <v>79</v>
      </c>
      <c r="F743" s="10" t="s">
        <v>593</v>
      </c>
      <c r="G743" s="10" t="s">
        <v>696</v>
      </c>
      <c r="H743" s="10" t="str" cm="1">
        <f t="array" aca="1" ref="H743" ca="1">IF(INDEX(I743:Z743,$H$1)=0,"",INDEX(I743:Z743,$H$1))</f>
        <v>Vessel Count</v>
      </c>
      <c r="I743" s="10" t="s">
        <v>338</v>
      </c>
      <c r="J743" s="10" t="s">
        <v>1280</v>
      </c>
      <c r="K743" s="27" t="s">
        <v>1591</v>
      </c>
    </row>
    <row r="744" spans="1:11" x14ac:dyDescent="0.35">
      <c r="A744" s="10" t="s">
        <v>1283</v>
      </c>
      <c r="B744" s="255">
        <v>7</v>
      </c>
      <c r="C744" s="10" t="s">
        <v>339</v>
      </c>
      <c r="D744" s="10">
        <v>4</v>
      </c>
      <c r="E744" s="10">
        <v>79</v>
      </c>
      <c r="F744" s="10" t="s">
        <v>594</v>
      </c>
      <c r="G744" s="10" t="s">
        <v>696</v>
      </c>
      <c r="H744" s="10" t="str" cm="1">
        <f t="array" aca="1" ref="H744" ca="1">IF(INDEX(I744:Z744,$H$1)=0,"",INDEX(I744:Z744,$H$1))</f>
        <v>Emissions (Nm3 CH4/y)</v>
      </c>
      <c r="I744" s="10" t="s">
        <v>878</v>
      </c>
      <c r="J744" s="10" t="s">
        <v>1095</v>
      </c>
      <c r="K744" s="27" t="s">
        <v>1590</v>
      </c>
    </row>
    <row r="745" spans="1:11" x14ac:dyDescent="0.35">
      <c r="A745" s="10" t="s">
        <v>1283</v>
      </c>
      <c r="B745" s="255">
        <v>7</v>
      </c>
      <c r="C745" s="10" t="s">
        <v>339</v>
      </c>
      <c r="D745" s="10">
        <v>4</v>
      </c>
      <c r="E745" s="10">
        <v>79</v>
      </c>
      <c r="F745" s="10" t="s">
        <v>775</v>
      </c>
      <c r="G745" s="10" t="s">
        <v>696</v>
      </c>
      <c r="H745" s="10" t="str" cm="1">
        <f t="array" aca="1" ref="H745" ca="1">IF(INDEX(I745:Z745,$H$1)=0,"",INDEX(I745:Z745,$H$1))</f>
        <v>Vessel Count</v>
      </c>
      <c r="I745" s="10" t="s">
        <v>338</v>
      </c>
      <c r="J745" s="10" t="s">
        <v>1280</v>
      </c>
      <c r="K745" s="27" t="s">
        <v>1591</v>
      </c>
    </row>
    <row r="746" spans="1:11" x14ac:dyDescent="0.35">
      <c r="A746" s="10" t="s">
        <v>1283</v>
      </c>
      <c r="B746" s="255">
        <v>7</v>
      </c>
      <c r="C746" s="10" t="s">
        <v>339</v>
      </c>
      <c r="D746" s="10">
        <v>4</v>
      </c>
      <c r="E746" s="10">
        <v>79</v>
      </c>
      <c r="F746" s="10" t="s">
        <v>777</v>
      </c>
      <c r="G746" s="10" t="s">
        <v>696</v>
      </c>
      <c r="H746" s="10" t="str" cm="1">
        <f t="array" aca="1" ref="H746" ca="1">IF(INDEX(I746:Z746,$H$1)=0,"",INDEX(I746:Z746,$H$1))</f>
        <v>Emissions (Nm3 CH4/y)</v>
      </c>
      <c r="I746" s="10" t="s">
        <v>878</v>
      </c>
      <c r="J746" s="10" t="s">
        <v>1095</v>
      </c>
      <c r="K746" s="27" t="s">
        <v>1590</v>
      </c>
    </row>
    <row r="747" spans="1:11" x14ac:dyDescent="0.35">
      <c r="A747" s="10" t="s">
        <v>1283</v>
      </c>
      <c r="B747" s="255">
        <v>7</v>
      </c>
      <c r="C747" s="10" t="s">
        <v>339</v>
      </c>
      <c r="D747" s="10">
        <v>4</v>
      </c>
      <c r="E747" s="10">
        <v>79</v>
      </c>
      <c r="F747" s="10" t="s">
        <v>718</v>
      </c>
      <c r="G747" s="10" t="s">
        <v>696</v>
      </c>
      <c r="H747" s="10" t="str" cm="1">
        <f t="array" aca="1" ref="H747" ca="1">IF(INDEX(I747:Z747,$H$1)=0,"",INDEX(I747:Z747,$H$1))</f>
        <v>Vessel Count</v>
      </c>
      <c r="I747" s="10" t="s">
        <v>338</v>
      </c>
      <c r="J747" s="10" t="s">
        <v>1280</v>
      </c>
      <c r="K747" s="27" t="s">
        <v>1591</v>
      </c>
    </row>
    <row r="748" spans="1:11" x14ac:dyDescent="0.35">
      <c r="A748" s="10" t="s">
        <v>1283</v>
      </c>
      <c r="B748" s="255">
        <v>7</v>
      </c>
      <c r="C748" s="10" t="s">
        <v>339</v>
      </c>
      <c r="D748" s="10">
        <v>4</v>
      </c>
      <c r="E748" s="10">
        <v>79</v>
      </c>
      <c r="F748" s="10" t="s">
        <v>592</v>
      </c>
      <c r="G748" s="10" t="s">
        <v>696</v>
      </c>
      <c r="H748" s="10" t="str" cm="1">
        <f t="array" aca="1" ref="H748" ca="1">IF(INDEX(I748:Z748,$H$1)=0,"",INDEX(I748:Z748,$H$1))</f>
        <v>Emissions (Nm3 CH4/y)</v>
      </c>
      <c r="I748" s="10" t="s">
        <v>878</v>
      </c>
      <c r="J748" s="10" t="s">
        <v>1095</v>
      </c>
      <c r="K748" s="27" t="s">
        <v>1590</v>
      </c>
    </row>
    <row r="749" spans="1:11" x14ac:dyDescent="0.35">
      <c r="A749" s="10" t="s">
        <v>1283</v>
      </c>
      <c r="B749" s="255">
        <v>7</v>
      </c>
      <c r="C749" s="10" t="s">
        <v>339</v>
      </c>
      <c r="D749" s="10">
        <v>4</v>
      </c>
      <c r="E749" s="10">
        <v>79</v>
      </c>
      <c r="F749" s="10" t="s">
        <v>816</v>
      </c>
      <c r="G749" s="10" t="s">
        <v>696</v>
      </c>
      <c r="H749" s="10" t="str" cm="1">
        <f t="array" aca="1" ref="H749" ca="1">IF(INDEX(I749:Z749,$H$1)=0,"",INDEX(I749:Z749,$H$1))</f>
        <v>Vessel Count</v>
      </c>
      <c r="I749" s="10" t="s">
        <v>338</v>
      </c>
      <c r="J749" s="10" t="s">
        <v>1280</v>
      </c>
      <c r="K749" s="27" t="s">
        <v>1591</v>
      </c>
    </row>
    <row r="750" spans="1:11" x14ac:dyDescent="0.35">
      <c r="A750" s="10" t="s">
        <v>1283</v>
      </c>
      <c r="B750" s="255">
        <v>7</v>
      </c>
      <c r="C750" s="10" t="s">
        <v>339</v>
      </c>
      <c r="D750" s="10">
        <v>4</v>
      </c>
      <c r="E750" s="10">
        <v>79</v>
      </c>
      <c r="F750" s="10" t="s">
        <v>817</v>
      </c>
      <c r="G750" s="10" t="s">
        <v>696</v>
      </c>
      <c r="H750" s="10" t="str" cm="1">
        <f t="array" aca="1" ref="H750" ca="1">IF(INDEX(I750:Z750,$H$1)=0,"",INDEX(I750:Z750,$H$1))</f>
        <v>Emissions (Nm3 CH4/y)</v>
      </c>
      <c r="I750" s="10" t="s">
        <v>878</v>
      </c>
      <c r="J750" s="10" t="s">
        <v>1095</v>
      </c>
      <c r="K750" s="27" t="s">
        <v>1590</v>
      </c>
    </row>
    <row r="751" spans="1:11" x14ac:dyDescent="0.35">
      <c r="A751" s="10" t="s">
        <v>1283</v>
      </c>
      <c r="B751" s="255">
        <v>7</v>
      </c>
      <c r="C751" s="10" t="s">
        <v>339</v>
      </c>
      <c r="D751" s="10">
        <v>4</v>
      </c>
      <c r="E751" s="10">
        <v>79</v>
      </c>
      <c r="F751" s="10" t="s">
        <v>390</v>
      </c>
      <c r="G751" s="10" t="s">
        <v>696</v>
      </c>
      <c r="H751" s="10" t="str" cm="1">
        <f t="array" aca="1" ref="H751" ca="1">IF(INDEX(I751:Z751,$H$1)=0,"",INDEX(I751:Z751,$H$1))</f>
        <v>Vessel Count</v>
      </c>
      <c r="I751" s="10" t="s">
        <v>338</v>
      </c>
      <c r="J751" s="10" t="s">
        <v>1280</v>
      </c>
      <c r="K751" s="27" t="s">
        <v>1591</v>
      </c>
    </row>
    <row r="752" spans="1:11" x14ac:dyDescent="0.35">
      <c r="A752" s="10" t="s">
        <v>1283</v>
      </c>
      <c r="B752" s="255">
        <v>7</v>
      </c>
      <c r="C752" s="10" t="s">
        <v>339</v>
      </c>
      <c r="D752" s="10">
        <v>4</v>
      </c>
      <c r="E752" s="10">
        <v>79</v>
      </c>
      <c r="F752" s="10" t="s">
        <v>818</v>
      </c>
      <c r="G752" s="10" t="s">
        <v>696</v>
      </c>
      <c r="H752" s="10" t="str" cm="1">
        <f t="array" aca="1" ref="H752" ca="1">IF(INDEX(I752:Z752,$H$1)=0,"",INDEX(I752:Z752,$H$1))</f>
        <v>Emissions (Nm3 CH4/y)</v>
      </c>
      <c r="I752" s="10" t="s">
        <v>878</v>
      </c>
      <c r="J752" s="10" t="s">
        <v>1095</v>
      </c>
      <c r="K752" s="27" t="s">
        <v>1590</v>
      </c>
    </row>
    <row r="753" spans="1:11" x14ac:dyDescent="0.35">
      <c r="A753" s="10" t="s">
        <v>1283</v>
      </c>
      <c r="B753" s="255">
        <v>7</v>
      </c>
      <c r="C753" s="10" t="s">
        <v>339</v>
      </c>
      <c r="D753" s="10">
        <v>4</v>
      </c>
      <c r="E753" s="10">
        <v>79</v>
      </c>
      <c r="F753" s="10" t="s">
        <v>819</v>
      </c>
      <c r="G753" s="10" t="s">
        <v>696</v>
      </c>
      <c r="H753" s="10" t="str" cm="1">
        <f t="array" aca="1" ref="H753" ca="1">IF(INDEX(I753:Z753,$H$1)=0,"",INDEX(I753:Z753,$H$1))</f>
        <v>Vessel Count</v>
      </c>
      <c r="I753" s="10" t="s">
        <v>338</v>
      </c>
      <c r="J753" s="10" t="s">
        <v>1280</v>
      </c>
      <c r="K753" s="27" t="s">
        <v>1591</v>
      </c>
    </row>
    <row r="754" spans="1:11" x14ac:dyDescent="0.35">
      <c r="A754" s="10" t="s">
        <v>1283</v>
      </c>
      <c r="B754" s="255">
        <v>7</v>
      </c>
      <c r="C754" s="10" t="s">
        <v>339</v>
      </c>
      <c r="D754" s="10">
        <v>4</v>
      </c>
      <c r="E754" s="10">
        <v>79</v>
      </c>
      <c r="F754" s="10" t="s">
        <v>820</v>
      </c>
      <c r="G754" s="10" t="s">
        <v>696</v>
      </c>
      <c r="H754" s="10" t="str" cm="1">
        <f t="array" aca="1" ref="H754" ca="1">IF(INDEX(I754:Z754,$H$1)=0,"",INDEX(I754:Z754,$H$1))</f>
        <v>Emissions (Nm3 CH4/y)</v>
      </c>
      <c r="I754" s="10" t="s">
        <v>878</v>
      </c>
      <c r="J754" s="10" t="s">
        <v>1095</v>
      </c>
      <c r="K754" s="27" t="s">
        <v>1590</v>
      </c>
    </row>
    <row r="755" spans="1:11" x14ac:dyDescent="0.35">
      <c r="A755" s="10" t="s">
        <v>1283</v>
      </c>
      <c r="B755" s="255">
        <v>7</v>
      </c>
      <c r="C755" s="10" t="s">
        <v>339</v>
      </c>
      <c r="D755" s="10">
        <v>4</v>
      </c>
      <c r="E755" s="10">
        <v>79</v>
      </c>
      <c r="F755" s="10" t="s">
        <v>821</v>
      </c>
      <c r="G755" s="10" t="s">
        <v>696</v>
      </c>
      <c r="H755" s="10" t="str" cm="1">
        <f t="array" aca="1" ref="H755" ca="1">IF(INDEX(I755:Z755,$H$1)=0,"",INDEX(I755:Z755,$H$1))</f>
        <v>Vessel Count</v>
      </c>
      <c r="I755" s="10" t="s">
        <v>338</v>
      </c>
      <c r="J755" s="10" t="s">
        <v>1280</v>
      </c>
      <c r="K755" s="27" t="s">
        <v>1591</v>
      </c>
    </row>
    <row r="756" spans="1:11" x14ac:dyDescent="0.35">
      <c r="A756" s="10" t="s">
        <v>1283</v>
      </c>
      <c r="B756" s="255">
        <v>7</v>
      </c>
      <c r="C756" s="10" t="s">
        <v>339</v>
      </c>
      <c r="D756" s="10">
        <v>4</v>
      </c>
      <c r="E756" s="10">
        <v>81</v>
      </c>
      <c r="F756" s="10" t="s">
        <v>690</v>
      </c>
      <c r="G756" s="10" t="s">
        <v>767</v>
      </c>
      <c r="H756" s="10" t="str" cm="1">
        <f t="array" aca="1" ref="H756" ca="1">IF(INDEX(I756:Z756,$H$1)=0,"",INDEX(I756:Z756,$H$1))</f>
        <v>Note: EF for production sector used for all sectors.</v>
      </c>
      <c r="I756" s="10" t="s">
        <v>669</v>
      </c>
      <c r="J756" s="10" t="s">
        <v>1269</v>
      </c>
      <c r="K756" s="27" t="s">
        <v>1592</v>
      </c>
    </row>
    <row r="757" spans="1:11" x14ac:dyDescent="0.35">
      <c r="A757" s="10" t="s">
        <v>1283</v>
      </c>
      <c r="B757" s="255">
        <v>7</v>
      </c>
      <c r="C757" s="10" t="s">
        <v>339</v>
      </c>
      <c r="D757" s="10">
        <v>4</v>
      </c>
      <c r="E757" s="10">
        <v>81</v>
      </c>
      <c r="F757" s="10" t="s">
        <v>692</v>
      </c>
      <c r="G757" s="10" t="s">
        <v>695</v>
      </c>
      <c r="H757" s="10" t="str" cm="1">
        <f t="array" aca="1" ref="H757" ca="1">IF(INDEX(I757:Z757,$H$1)=0,"",INDEX(I757:Z757,$H$1))</f>
        <v>Totals (Nm3 CH4/y):</v>
      </c>
      <c r="I757" s="10" t="s">
        <v>879</v>
      </c>
      <c r="J757" s="10" t="s">
        <v>1097</v>
      </c>
      <c r="K757" s="27" t="s">
        <v>1593</v>
      </c>
    </row>
    <row r="758" spans="1:11" x14ac:dyDescent="0.35">
      <c r="A758" s="10" t="s">
        <v>1283</v>
      </c>
      <c r="B758" s="255">
        <v>7</v>
      </c>
      <c r="C758" s="10" t="s">
        <v>339</v>
      </c>
      <c r="D758" s="10">
        <v>4</v>
      </c>
      <c r="E758" s="10">
        <v>82</v>
      </c>
      <c r="F758" s="10" t="s">
        <v>692</v>
      </c>
      <c r="G758" s="10" t="s">
        <v>695</v>
      </c>
      <c r="H758" s="10" t="str" cm="1">
        <f t="array" aca="1" ref="H758" ca="1">IF(INDEX(I758:Z758,$H$1)=0,"",INDEX(I758:Z758,$H$1))</f>
        <v>Grand Total:</v>
      </c>
      <c r="I758" s="10" t="s">
        <v>330</v>
      </c>
      <c r="J758" s="10" t="s">
        <v>1096</v>
      </c>
      <c r="K758" s="27" t="s">
        <v>1581</v>
      </c>
    </row>
    <row r="759" spans="1:11" x14ac:dyDescent="0.35">
      <c r="A759" s="10" t="s">
        <v>1283</v>
      </c>
      <c r="B759" s="255">
        <v>7</v>
      </c>
      <c r="C759" s="10" t="s">
        <v>339</v>
      </c>
      <c r="D759" s="10">
        <v>4</v>
      </c>
      <c r="E759" s="10">
        <v>82</v>
      </c>
      <c r="F759" s="10" t="s">
        <v>694</v>
      </c>
      <c r="G759" s="10" t="s">
        <v>767</v>
      </c>
      <c r="H759" s="10" t="str" cm="1">
        <f t="array" aca="1" ref="H759" ca="1">IF(INDEX(I759:Z759,$H$1)=0,"",INDEX(I759:Z759,$H$1))</f>
        <v>m3 CH4/d</v>
      </c>
      <c r="I759" s="10" t="s">
        <v>875</v>
      </c>
      <c r="J759" s="10" t="s">
        <v>875</v>
      </c>
      <c r="K759" s="27" t="s">
        <v>875</v>
      </c>
    </row>
    <row r="760" spans="1:11" x14ac:dyDescent="0.35">
      <c r="A760" s="10" t="s">
        <v>1283</v>
      </c>
      <c r="B760" s="255">
        <v>7</v>
      </c>
      <c r="C760" s="10" t="s">
        <v>339</v>
      </c>
      <c r="D760" s="10">
        <v>4</v>
      </c>
      <c r="E760" s="10">
        <v>83</v>
      </c>
      <c r="F760" s="10" t="s">
        <v>694</v>
      </c>
      <c r="G760" s="10" t="s">
        <v>767</v>
      </c>
      <c r="H760" s="10" t="str" cm="1">
        <f t="array" aca="1" ref="H760" ca="1">IF(INDEX(I760:Z760,$H$1)=0,"",INDEX(I760:Z760,$H$1))</f>
        <v>m3 CH4/y</v>
      </c>
      <c r="I760" s="10" t="s">
        <v>876</v>
      </c>
      <c r="J760" s="10" t="s">
        <v>876</v>
      </c>
      <c r="K760" s="27" t="s">
        <v>1587</v>
      </c>
    </row>
    <row r="761" spans="1:11" x14ac:dyDescent="0.35">
      <c r="A761" s="10" t="s">
        <v>1283</v>
      </c>
      <c r="B761" s="255">
        <v>7</v>
      </c>
      <c r="C761" s="10" t="s">
        <v>339</v>
      </c>
      <c r="D761" s="10">
        <v>4</v>
      </c>
      <c r="E761" s="10">
        <v>84</v>
      </c>
      <c r="F761" s="10" t="s">
        <v>694</v>
      </c>
      <c r="G761" s="10" t="s">
        <v>767</v>
      </c>
      <c r="H761" s="10" t="str" cm="1">
        <f t="array" aca="1" ref="H761" ca="1">IF(INDEX(I761:Z761,$H$1)=0,"",INDEX(I761:Z761,$H$1))</f>
        <v>tonnes CH4/y</v>
      </c>
      <c r="I761" s="10" t="s">
        <v>314</v>
      </c>
      <c r="J761" s="10" t="s">
        <v>1072</v>
      </c>
      <c r="K761" s="27" t="s">
        <v>1568</v>
      </c>
    </row>
    <row r="762" spans="1:11" x14ac:dyDescent="0.35">
      <c r="A762" s="10" t="s">
        <v>1283</v>
      </c>
      <c r="B762" s="255">
        <v>7</v>
      </c>
      <c r="C762" s="10" t="s">
        <v>359</v>
      </c>
      <c r="D762" s="10">
        <v>5</v>
      </c>
      <c r="E762" s="10">
        <v>86</v>
      </c>
      <c r="F762" s="10" t="s">
        <v>690</v>
      </c>
      <c r="G762" s="10" t="s">
        <v>688</v>
      </c>
      <c r="H762" s="10" t="str" cm="1">
        <f t="array" aca="1" ref="H762" ca="1">IF(INDEX(I762:Z762,$H$1)=0,"",INDEX(I762:Z762,$H$1))</f>
        <v>Inventory of Compressors:</v>
      </c>
      <c r="I762" s="10" t="s">
        <v>359</v>
      </c>
      <c r="J762" s="10" t="s">
        <v>1252</v>
      </c>
      <c r="K762" s="27" t="s">
        <v>1594</v>
      </c>
    </row>
    <row r="763" spans="1:11" x14ac:dyDescent="0.35">
      <c r="A763" s="10" t="s">
        <v>1283</v>
      </c>
      <c r="B763" s="255">
        <v>7</v>
      </c>
      <c r="C763" s="10" t="s">
        <v>359</v>
      </c>
      <c r="D763" s="10">
        <v>5</v>
      </c>
      <c r="E763" s="10">
        <v>86</v>
      </c>
      <c r="F763" s="10" t="s">
        <v>690</v>
      </c>
      <c r="G763" s="10" t="s">
        <v>688</v>
      </c>
      <c r="H763" s="10" t="str" cm="1">
        <f t="array" aca="1" ref="H763" ca="1">IF(INDEX(I763:Z763,$H$1)=0,"",INDEX(I763:Z763,$H$1))</f>
        <v>Inventory of Compressors (Emissions from Compressor Starts)</v>
      </c>
      <c r="I763" s="10" t="s">
        <v>3107</v>
      </c>
      <c r="J763" s="10"/>
      <c r="K763" s="27"/>
    </row>
    <row r="764" spans="1:11" x14ac:dyDescent="0.35">
      <c r="A764" s="10" t="s">
        <v>1283</v>
      </c>
      <c r="B764" s="255">
        <v>7</v>
      </c>
      <c r="C764" s="10" t="s">
        <v>359</v>
      </c>
      <c r="D764" s="10">
        <v>5</v>
      </c>
      <c r="E764" s="10">
        <v>87</v>
      </c>
      <c r="F764" s="10" t="s">
        <v>690</v>
      </c>
      <c r="G764" s="10" t="s">
        <v>696</v>
      </c>
      <c r="H764" s="10" t="str" cm="1">
        <f t="array" aca="1" ref="H764" ca="1">IF(INDEX(I764:Z764,$H$1)=0,"",INDEX(I764:Z764,$H$1))</f>
        <v>Type</v>
      </c>
      <c r="I764" s="10" t="s">
        <v>2</v>
      </c>
      <c r="J764" s="10" t="s">
        <v>724</v>
      </c>
      <c r="K764" s="27" t="s">
        <v>1415</v>
      </c>
    </row>
    <row r="765" spans="1:11" x14ac:dyDescent="0.35">
      <c r="A765" s="10" t="s">
        <v>1283</v>
      </c>
      <c r="B765" s="255">
        <v>7</v>
      </c>
      <c r="C765" s="10" t="s">
        <v>359</v>
      </c>
      <c r="D765" s="10">
        <v>5</v>
      </c>
      <c r="E765" s="10">
        <v>87</v>
      </c>
      <c r="F765" s="10" t="s">
        <v>38</v>
      </c>
      <c r="G765" s="10" t="s">
        <v>696</v>
      </c>
      <c r="H765" s="10" t="str" cm="1">
        <f t="array" aca="1" ref="H765" ca="1">IF(INDEX(I765:Z765,$H$1)=0,"",INDEX(I765:Z765,$H$1))</f>
        <v>Count</v>
      </c>
      <c r="I765" s="10" t="s">
        <v>336</v>
      </c>
      <c r="J765" s="10" t="s">
        <v>994</v>
      </c>
      <c r="K765" s="27" t="s">
        <v>1436</v>
      </c>
    </row>
    <row r="766" spans="1:11" x14ac:dyDescent="0.35">
      <c r="A766" s="10" t="s">
        <v>1283</v>
      </c>
      <c r="B766" s="255">
        <v>7</v>
      </c>
      <c r="C766" s="10" t="s">
        <v>359</v>
      </c>
      <c r="D766" s="10">
        <v>5</v>
      </c>
      <c r="E766" s="10">
        <v>87</v>
      </c>
      <c r="F766" s="10" t="s">
        <v>692</v>
      </c>
      <c r="G766" s="10" t="s">
        <v>696</v>
      </c>
      <c r="H766" s="10" t="str" cm="1">
        <f t="array" aca="1" ref="H766" ca="1">IF(INDEX(I766:Z766,$H$1)=0,"",INDEX(I766:Z766,$H$1))</f>
        <v>Emission Factor</v>
      </c>
      <c r="I766" s="10" t="s">
        <v>145</v>
      </c>
      <c r="J766" s="10" t="s">
        <v>910</v>
      </c>
      <c r="K766" s="27" t="s">
        <v>1583</v>
      </c>
    </row>
    <row r="767" spans="1:11" x14ac:dyDescent="0.35">
      <c r="A767" s="10" t="s">
        <v>1283</v>
      </c>
      <c r="B767" s="255">
        <v>7</v>
      </c>
      <c r="C767" s="10" t="s">
        <v>359</v>
      </c>
      <c r="D767" s="10">
        <v>5</v>
      </c>
      <c r="E767" s="10">
        <v>87</v>
      </c>
      <c r="F767" s="10" t="s">
        <v>693</v>
      </c>
      <c r="G767" s="10" t="s">
        <v>696</v>
      </c>
      <c r="H767" s="10" t="str" cm="1">
        <f t="array" aca="1" ref="H767" ca="1">IF(INDEX(I767:Z767,$H$1)=0,"",INDEX(I767:Z767,$H$1))</f>
        <v>Emissions</v>
      </c>
      <c r="I767" s="10" t="s">
        <v>360</v>
      </c>
      <c r="J767" s="10" t="s">
        <v>807</v>
      </c>
      <c r="K767" s="27" t="s">
        <v>1460</v>
      </c>
    </row>
    <row r="768" spans="1:11" x14ac:dyDescent="0.35">
      <c r="A768" s="10" t="s">
        <v>1283</v>
      </c>
      <c r="B768" s="255">
        <v>7</v>
      </c>
      <c r="C768" s="10" t="s">
        <v>359</v>
      </c>
      <c r="D768" s="10">
        <v>5</v>
      </c>
      <c r="E768" s="10">
        <v>88</v>
      </c>
      <c r="F768" s="10" t="s">
        <v>692</v>
      </c>
      <c r="G768" s="10" t="s">
        <v>696</v>
      </c>
      <c r="H768" s="10" t="str" cm="1">
        <f t="array" aca="1" ref="H768" ca="1">IF(INDEX(I768:Z768,$H$1)=0,"",INDEX(I768:Z768,$H$1))</f>
        <v>(Nm3/y/compressor)</v>
      </c>
      <c r="I768" s="10" t="s">
        <v>882</v>
      </c>
      <c r="J768" s="10" t="s">
        <v>882</v>
      </c>
      <c r="K768" s="27" t="s">
        <v>1595</v>
      </c>
    </row>
    <row r="769" spans="1:11" x14ac:dyDescent="0.35">
      <c r="A769" s="10" t="s">
        <v>1283</v>
      </c>
      <c r="B769" s="255">
        <v>7</v>
      </c>
      <c r="C769" s="10" t="s">
        <v>359</v>
      </c>
      <c r="D769" s="10">
        <v>5</v>
      </c>
      <c r="E769" s="10">
        <v>88</v>
      </c>
      <c r="F769" s="10" t="s">
        <v>693</v>
      </c>
      <c r="G769" s="10" t="s">
        <v>696</v>
      </c>
      <c r="H769" s="10" t="str" cm="1">
        <f t="array" aca="1" ref="H769" ca="1">IF(INDEX(I769:Z769,$H$1)=0,"",INDEX(I769:Z769,$H$1))</f>
        <v>(Nm3/y)</v>
      </c>
      <c r="I769" s="10" t="s">
        <v>883</v>
      </c>
      <c r="J769" s="10" t="s">
        <v>883</v>
      </c>
      <c r="K769" s="27" t="s">
        <v>1596</v>
      </c>
    </row>
    <row r="770" spans="1:11" x14ac:dyDescent="0.35">
      <c r="A770" s="10" t="s">
        <v>1283</v>
      </c>
      <c r="B770" s="255">
        <v>7</v>
      </c>
      <c r="C770" s="10" t="s">
        <v>359</v>
      </c>
      <c r="D770" s="10">
        <v>5</v>
      </c>
      <c r="E770" s="10">
        <v>93</v>
      </c>
      <c r="F770" s="10" t="s">
        <v>692</v>
      </c>
      <c r="G770" s="10" t="s">
        <v>695</v>
      </c>
      <c r="H770" s="10" t="str" cm="1">
        <f t="array" aca="1" ref="H770" ca="1">IF(INDEX(I770:Z770,$H$1)=0,"",INDEX(I770:Z770,$H$1))</f>
        <v>Total:</v>
      </c>
      <c r="I770" s="10" t="s">
        <v>376</v>
      </c>
      <c r="J770" s="10" t="s">
        <v>804</v>
      </c>
      <c r="K770" s="27" t="s">
        <v>376</v>
      </c>
    </row>
    <row r="771" spans="1:11" x14ac:dyDescent="0.35">
      <c r="A771" s="10" t="s">
        <v>1283</v>
      </c>
      <c r="B771" s="255">
        <v>7</v>
      </c>
      <c r="C771" s="10" t="s">
        <v>359</v>
      </c>
      <c r="D771" s="10">
        <v>5</v>
      </c>
      <c r="E771" s="10">
        <v>93</v>
      </c>
      <c r="F771" s="10" t="s">
        <v>694</v>
      </c>
      <c r="G771" s="10" t="s">
        <v>767</v>
      </c>
      <c r="H771" s="10" t="str" cm="1">
        <f t="array" aca="1" ref="H771" ca="1">IF(INDEX(I771:Z771,$H$1)=0,"",INDEX(I771:Z771,$H$1))</f>
        <v>Nm3/y</v>
      </c>
      <c r="I771" s="10" t="s">
        <v>880</v>
      </c>
      <c r="J771" s="10" t="s">
        <v>880</v>
      </c>
      <c r="K771" s="27" t="s">
        <v>1597</v>
      </c>
    </row>
    <row r="772" spans="1:11" x14ac:dyDescent="0.35">
      <c r="A772" s="10" t="s">
        <v>1283</v>
      </c>
      <c r="B772" s="255">
        <v>7</v>
      </c>
      <c r="C772" s="10" t="s">
        <v>359</v>
      </c>
      <c r="D772" s="10">
        <v>5</v>
      </c>
      <c r="E772" s="10">
        <v>94</v>
      </c>
      <c r="F772" s="10" t="s">
        <v>694</v>
      </c>
      <c r="G772" s="10" t="s">
        <v>767</v>
      </c>
      <c r="H772" s="10" t="str" cm="1">
        <f t="array" aca="1" ref="H772" ca="1">IF(INDEX(I772:Z772,$H$1)=0,"",INDEX(I772:Z772,$H$1))</f>
        <v>Nm3 CH4/d</v>
      </c>
      <c r="I772" s="10" t="s">
        <v>872</v>
      </c>
      <c r="J772" s="10" t="s">
        <v>872</v>
      </c>
      <c r="K772" s="27" t="s">
        <v>872</v>
      </c>
    </row>
    <row r="773" spans="1:11" x14ac:dyDescent="0.35">
      <c r="A773" s="10" t="s">
        <v>1283</v>
      </c>
      <c r="B773" s="255">
        <v>7</v>
      </c>
      <c r="C773" s="10" t="s">
        <v>359</v>
      </c>
      <c r="D773" s="10">
        <v>5</v>
      </c>
      <c r="E773" s="10">
        <v>95</v>
      </c>
      <c r="F773" s="10" t="s">
        <v>694</v>
      </c>
      <c r="G773" s="10" t="s">
        <v>767</v>
      </c>
      <c r="H773" s="10" t="str" cm="1">
        <f t="array" aca="1" ref="H773" ca="1">IF(INDEX(I773:Z773,$H$1)=0,"",INDEX(I773:Z773,$H$1))</f>
        <v>Nm3 CH4/y</v>
      </c>
      <c r="I773" s="10" t="s">
        <v>870</v>
      </c>
      <c r="J773" s="10" t="s">
        <v>870</v>
      </c>
      <c r="K773" s="27" t="s">
        <v>1566</v>
      </c>
    </row>
    <row r="774" spans="1:11" x14ac:dyDescent="0.35">
      <c r="A774" s="10" t="s">
        <v>1283</v>
      </c>
      <c r="B774" s="255">
        <v>7</v>
      </c>
      <c r="C774" s="10" t="s">
        <v>359</v>
      </c>
      <c r="D774" s="10">
        <v>5</v>
      </c>
      <c r="E774" s="10">
        <v>96</v>
      </c>
      <c r="F774" s="10" t="s">
        <v>694</v>
      </c>
      <c r="G774" s="10" t="s">
        <v>767</v>
      </c>
      <c r="H774" s="10" t="str" cm="1">
        <f t="array" aca="1" ref="H774" ca="1">IF(INDEX(I774:Z774,$H$1)=0,"",INDEX(I774:Z774,$H$1))</f>
        <v>tonnes CH4/y</v>
      </c>
      <c r="I774" s="10" t="s">
        <v>314</v>
      </c>
      <c r="J774" s="10" t="s">
        <v>1072</v>
      </c>
      <c r="K774" s="27" t="s">
        <v>1568</v>
      </c>
    </row>
    <row r="775" spans="1:11" x14ac:dyDescent="0.35">
      <c r="A775" s="10" t="s">
        <v>1283</v>
      </c>
      <c r="B775" s="255">
        <v>7</v>
      </c>
      <c r="C775" s="10" t="s">
        <v>377</v>
      </c>
      <c r="D775" s="10">
        <v>6</v>
      </c>
      <c r="E775" s="10">
        <v>98</v>
      </c>
      <c r="F775" s="10" t="s">
        <v>690</v>
      </c>
      <c r="G775" s="10" t="s">
        <v>688</v>
      </c>
      <c r="H775" s="10" t="str" cm="1">
        <f t="array" aca="1" ref="H775" ca="1">IF(INDEX(I775:Z775,$H$1)=0,"",INDEX(I775:Z775,$H$1))</f>
        <v>Inventory of Dehydrators:</v>
      </c>
      <c r="I775" s="10" t="s">
        <v>377</v>
      </c>
      <c r="J775" s="10" t="s">
        <v>1253</v>
      </c>
      <c r="K775" s="27" t="s">
        <v>1598</v>
      </c>
    </row>
    <row r="776" spans="1:11" x14ac:dyDescent="0.35">
      <c r="A776" s="10" t="s">
        <v>1283</v>
      </c>
      <c r="B776" s="255">
        <v>7</v>
      </c>
      <c r="C776" s="10" t="s">
        <v>377</v>
      </c>
      <c r="D776" s="10">
        <v>6</v>
      </c>
      <c r="E776" s="10">
        <v>99</v>
      </c>
      <c r="F776" s="10" t="s">
        <v>690</v>
      </c>
      <c r="G776" s="10" t="s">
        <v>696</v>
      </c>
      <c r="H776" s="10" t="str" cm="1">
        <f t="array" aca="1" ref="H776" ca="1">IF(INDEX(I776:Z776,$H$1)=0,"",INDEX(I776:Z776,$H$1))</f>
        <v>Type</v>
      </c>
      <c r="I776" s="10" t="s">
        <v>2</v>
      </c>
      <c r="J776" s="10" t="s">
        <v>724</v>
      </c>
      <c r="K776" s="27" t="s">
        <v>1415</v>
      </c>
    </row>
    <row r="777" spans="1:11" x14ac:dyDescent="0.35">
      <c r="A777" s="10" t="s">
        <v>1283</v>
      </c>
      <c r="B777" s="255">
        <v>7</v>
      </c>
      <c r="C777" s="10" t="s">
        <v>377</v>
      </c>
      <c r="D777" s="10">
        <v>6</v>
      </c>
      <c r="E777" s="10">
        <v>99</v>
      </c>
      <c r="F777" s="10" t="s">
        <v>38</v>
      </c>
      <c r="G777" s="10" t="s">
        <v>696</v>
      </c>
      <c r="H777" s="10" t="str" cm="1">
        <f t="array" aca="1" ref="H777" ca="1">IF(INDEX(I777:Z777,$H$1)=0,"",INDEX(I777:Z777,$H$1))</f>
        <v>Count</v>
      </c>
      <c r="I777" s="10" t="s">
        <v>336</v>
      </c>
      <c r="J777" s="10" t="s">
        <v>994</v>
      </c>
      <c r="K777" s="27" t="s">
        <v>1436</v>
      </c>
    </row>
    <row r="778" spans="1:11" x14ac:dyDescent="0.35">
      <c r="A778" s="10" t="s">
        <v>1283</v>
      </c>
      <c r="B778" s="255">
        <v>7</v>
      </c>
      <c r="C778" s="10" t="s">
        <v>377</v>
      </c>
      <c r="D778" s="10">
        <v>6</v>
      </c>
      <c r="E778" s="10">
        <v>99</v>
      </c>
      <c r="F778" s="10" t="s">
        <v>692</v>
      </c>
      <c r="G778" s="10" t="s">
        <v>696</v>
      </c>
      <c r="H778" s="10" t="str" cm="1">
        <f t="array" aca="1" ref="H778" ca="1">IF(INDEX(I778:Z778,$H$1)=0,"",INDEX(I778:Z778,$H$1))</f>
        <v>Emission Factor</v>
      </c>
      <c r="I778" s="10" t="s">
        <v>145</v>
      </c>
      <c r="J778" s="10" t="s">
        <v>910</v>
      </c>
      <c r="K778" s="27" t="s">
        <v>1583</v>
      </c>
    </row>
    <row r="779" spans="1:11" x14ac:dyDescent="0.35">
      <c r="A779" s="10" t="s">
        <v>1283</v>
      </c>
      <c r="B779" s="255">
        <v>7</v>
      </c>
      <c r="C779" s="10" t="s">
        <v>377</v>
      </c>
      <c r="D779" s="10">
        <v>6</v>
      </c>
      <c r="E779" s="10">
        <v>99</v>
      </c>
      <c r="F779" s="10" t="s">
        <v>693</v>
      </c>
      <c r="G779" s="10" t="s">
        <v>696</v>
      </c>
      <c r="H779" s="10" t="str" cm="1">
        <f t="array" aca="1" ref="H779" ca="1">IF(INDEX(I779:Z779,$H$1)=0,"",INDEX(I779:Z779,$H$1))</f>
        <v>Activity</v>
      </c>
      <c r="I779" s="10" t="s">
        <v>368</v>
      </c>
      <c r="J779" s="10" t="s">
        <v>949</v>
      </c>
      <c r="K779" s="27" t="s">
        <v>1599</v>
      </c>
    </row>
    <row r="780" spans="1:11" x14ac:dyDescent="0.35">
      <c r="A780" s="10" t="s">
        <v>1283</v>
      </c>
      <c r="B780" s="255">
        <v>7</v>
      </c>
      <c r="C780" s="10" t="s">
        <v>377</v>
      </c>
      <c r="D780" s="10">
        <v>6</v>
      </c>
      <c r="E780" s="10">
        <v>99</v>
      </c>
      <c r="F780" s="10" t="s">
        <v>694</v>
      </c>
      <c r="G780" s="10" t="s">
        <v>696</v>
      </c>
      <c r="H780" s="10" t="str" cm="1">
        <f t="array" aca="1" ref="H780" ca="1">IF(INDEX(I780:Z780,$H$1)=0,"",INDEX(I780:Z780,$H$1))</f>
        <v>CH4 Content</v>
      </c>
      <c r="I780" s="10" t="s">
        <v>45</v>
      </c>
      <c r="J780" s="10" t="s">
        <v>805</v>
      </c>
      <c r="K780" s="27" t="s">
        <v>1502</v>
      </c>
    </row>
    <row r="781" spans="1:11" x14ac:dyDescent="0.35">
      <c r="A781" s="10" t="s">
        <v>1283</v>
      </c>
      <c r="B781" s="255">
        <v>7</v>
      </c>
      <c r="C781" s="10" t="s">
        <v>377</v>
      </c>
      <c r="D781" s="10">
        <v>6</v>
      </c>
      <c r="E781" s="10">
        <v>99</v>
      </c>
      <c r="F781" s="10" t="s">
        <v>711</v>
      </c>
      <c r="G781" s="10" t="s">
        <v>696</v>
      </c>
      <c r="H781" s="10" t="str" cm="1">
        <f t="array" aca="1" ref="H781" ca="1">IF(INDEX(I781:Z781,$H$1)=0,"",INDEX(I781:Z781,$H$1))</f>
        <v>Emissions</v>
      </c>
      <c r="I781" s="10" t="s">
        <v>360</v>
      </c>
      <c r="J781" s="10" t="s">
        <v>807</v>
      </c>
      <c r="K781" s="27" t="s">
        <v>1460</v>
      </c>
    </row>
    <row r="782" spans="1:11" ht="16.5" x14ac:dyDescent="0.35">
      <c r="A782" s="10" t="s">
        <v>1283</v>
      </c>
      <c r="B782" s="255">
        <v>7</v>
      </c>
      <c r="C782" s="10" t="s">
        <v>377</v>
      </c>
      <c r="D782" s="10">
        <v>6</v>
      </c>
      <c r="E782" s="10">
        <v>100</v>
      </c>
      <c r="F782" s="10" t="s">
        <v>692</v>
      </c>
      <c r="G782" s="10" t="s">
        <v>696</v>
      </c>
      <c r="H782" s="10" t="str" cm="1">
        <f t="array" aca="1" ref="H782" ca="1">IF(INDEX(I782:Z782,$H$1)=0,"",INDEX(I782:Z782,$H$1))</f>
        <v>Nm3 CH4/E+06 Nm3 gas processed</v>
      </c>
      <c r="I782" s="10" t="s">
        <v>3370</v>
      </c>
      <c r="J782" s="10" t="s">
        <v>1288</v>
      </c>
      <c r="K782" s="27" t="s">
        <v>1600</v>
      </c>
    </row>
    <row r="783" spans="1:11" ht="16.5" x14ac:dyDescent="0.35">
      <c r="A783" s="10" t="s">
        <v>1283</v>
      </c>
      <c r="B783" s="255">
        <v>7</v>
      </c>
      <c r="C783" s="10" t="s">
        <v>377</v>
      </c>
      <c r="D783" s="10">
        <v>6</v>
      </c>
      <c r="E783" s="10">
        <v>100</v>
      </c>
      <c r="F783" s="10" t="s">
        <v>694</v>
      </c>
      <c r="G783" s="10" t="s">
        <v>696</v>
      </c>
      <c r="H783" s="10" t="str" cm="1">
        <f t="array" aca="1" ref="H783" ca="1">IF(INDEX(I783:Z783,$H$1)=0,"",INDEX(I783:Z783,$H$1))</f>
        <v>(E+06 m3 gas processed/d)</v>
      </c>
      <c r="I783" s="10" t="s">
        <v>3371</v>
      </c>
      <c r="J783" s="10" t="s">
        <v>1198</v>
      </c>
      <c r="K783" s="27" t="s">
        <v>1601</v>
      </c>
    </row>
    <row r="784" spans="1:11" x14ac:dyDescent="0.35">
      <c r="A784" s="10" t="s">
        <v>1283</v>
      </c>
      <c r="B784" s="255">
        <v>7</v>
      </c>
      <c r="C784" s="10" t="s">
        <v>377</v>
      </c>
      <c r="D784" s="10">
        <v>6</v>
      </c>
      <c r="E784" s="10">
        <v>100</v>
      </c>
      <c r="F784" s="10" t="s">
        <v>694</v>
      </c>
      <c r="G784" s="10" t="s">
        <v>696</v>
      </c>
      <c r="H784" s="10" t="str" cm="1">
        <f t="array" aca="1" ref="H784" ca="1">IF(INDEX(I784:Z784,$H$1)=0,"",INDEX(I784:Z784,$H$1))</f>
        <v>(mol%)</v>
      </c>
      <c r="I784" s="10" t="s">
        <v>626</v>
      </c>
      <c r="J784" s="10" t="s">
        <v>626</v>
      </c>
      <c r="K784" s="27" t="s">
        <v>626</v>
      </c>
    </row>
    <row r="785" spans="1:11" x14ac:dyDescent="0.35">
      <c r="A785" s="10" t="s">
        <v>1283</v>
      </c>
      <c r="B785" s="255">
        <v>7</v>
      </c>
      <c r="C785" s="10" t="s">
        <v>377</v>
      </c>
      <c r="D785" s="10">
        <v>6</v>
      </c>
      <c r="E785" s="10">
        <v>100</v>
      </c>
      <c r="F785" s="10" t="s">
        <v>694</v>
      </c>
      <c r="G785" s="10" t="s">
        <v>696</v>
      </c>
      <c r="H785" s="10" t="str" cm="1">
        <f t="array" aca="1" ref="H785" ca="1">IF(INDEX(I785:Z785,$H$1)=0,"",INDEX(I785:Z785,$H$1))</f>
        <v>(Nm3/d)</v>
      </c>
      <c r="I785" s="10" t="s">
        <v>2664</v>
      </c>
      <c r="J785" s="10" t="s">
        <v>2664</v>
      </c>
      <c r="K785" s="27" t="s">
        <v>2664</v>
      </c>
    </row>
    <row r="786" spans="1:11" x14ac:dyDescent="0.35">
      <c r="A786" s="10" t="s">
        <v>1283</v>
      </c>
      <c r="B786" s="255">
        <v>7</v>
      </c>
      <c r="C786" s="10" t="s">
        <v>377</v>
      </c>
      <c r="D786" s="10">
        <v>6</v>
      </c>
      <c r="E786" s="10">
        <v>100</v>
      </c>
      <c r="F786" s="10" t="s">
        <v>711</v>
      </c>
      <c r="G786" s="10" t="s">
        <v>696</v>
      </c>
      <c r="H786" s="10" t="str" cm="1">
        <f t="array" aca="1" ref="H786" ca="1">IF(INDEX(I786:Z786,$H$1)=0,"",INDEX(I786:Z786,$H$1))</f>
        <v>(Nm3 CH4/d)</v>
      </c>
      <c r="I786" s="10" t="s">
        <v>874</v>
      </c>
      <c r="J786" s="10" t="s">
        <v>874</v>
      </c>
      <c r="K786" s="27" t="s">
        <v>874</v>
      </c>
    </row>
    <row r="787" spans="1:11" x14ac:dyDescent="0.35">
      <c r="A787" s="10" t="s">
        <v>1283</v>
      </c>
      <c r="B787" s="255">
        <v>7</v>
      </c>
      <c r="C787" s="10" t="s">
        <v>377</v>
      </c>
      <c r="D787" s="10">
        <v>6</v>
      </c>
      <c r="E787" s="10">
        <v>103</v>
      </c>
      <c r="F787" s="10" t="s">
        <v>694</v>
      </c>
      <c r="G787" s="10" t="s">
        <v>695</v>
      </c>
      <c r="H787" s="10" t="str" cm="1">
        <f t="array" aca="1" ref="H787" ca="1">IF(INDEX(I787:Z787,$H$1)=0,"",INDEX(I787:Z787,$H$1))</f>
        <v>Total:</v>
      </c>
      <c r="I787" s="10" t="s">
        <v>376</v>
      </c>
      <c r="J787" s="10" t="s">
        <v>804</v>
      </c>
      <c r="K787" s="27" t="s">
        <v>376</v>
      </c>
    </row>
    <row r="788" spans="1:11" x14ac:dyDescent="0.35">
      <c r="A788" s="10" t="s">
        <v>1283</v>
      </c>
      <c r="B788" s="255">
        <v>7</v>
      </c>
      <c r="C788" s="10" t="s">
        <v>377</v>
      </c>
      <c r="D788" s="10">
        <v>6</v>
      </c>
      <c r="E788" s="10">
        <v>103</v>
      </c>
      <c r="F788" s="10" t="s">
        <v>591</v>
      </c>
      <c r="G788" s="10" t="s">
        <v>767</v>
      </c>
      <c r="H788" s="10" t="str" cm="1">
        <f t="array" aca="1" ref="H788" ca="1">IF(INDEX(I788:Z788,$H$1)=0,"",INDEX(I788:Z788,$H$1))</f>
        <v>Nm3 CH4/d</v>
      </c>
      <c r="I788" s="10" t="s">
        <v>872</v>
      </c>
      <c r="J788" s="10" t="s">
        <v>872</v>
      </c>
      <c r="K788" s="27" t="s">
        <v>872</v>
      </c>
    </row>
    <row r="789" spans="1:11" x14ac:dyDescent="0.35">
      <c r="A789" s="10" t="s">
        <v>1283</v>
      </c>
      <c r="B789" s="255">
        <v>7</v>
      </c>
      <c r="C789" s="10" t="s">
        <v>377</v>
      </c>
      <c r="D789" s="10">
        <v>6</v>
      </c>
      <c r="E789" s="10">
        <v>104</v>
      </c>
      <c r="F789" s="10" t="s">
        <v>591</v>
      </c>
      <c r="G789" s="10" t="s">
        <v>767</v>
      </c>
      <c r="H789" s="10" t="str" cm="1">
        <f t="array" aca="1" ref="H789" ca="1">IF(INDEX(I789:Z789,$H$1)=0,"",INDEX(I789:Z789,$H$1))</f>
        <v>Nm3 CH4/y</v>
      </c>
      <c r="I789" s="10" t="s">
        <v>870</v>
      </c>
      <c r="J789" s="10" t="s">
        <v>870</v>
      </c>
      <c r="K789" s="27" t="s">
        <v>1566</v>
      </c>
    </row>
    <row r="790" spans="1:11" x14ac:dyDescent="0.35">
      <c r="A790" s="10" t="s">
        <v>1283</v>
      </c>
      <c r="B790" s="255">
        <v>7</v>
      </c>
      <c r="C790" s="10" t="s">
        <v>377</v>
      </c>
      <c r="D790" s="10">
        <v>6</v>
      </c>
      <c r="E790" s="10">
        <v>105</v>
      </c>
      <c r="F790" s="10" t="s">
        <v>591</v>
      </c>
      <c r="G790" s="10" t="s">
        <v>767</v>
      </c>
      <c r="H790" s="10" t="str" cm="1">
        <f t="array" aca="1" ref="H790" ca="1">IF(INDEX(I790:Z790,$H$1)=0,"",INDEX(I790:Z790,$H$1))</f>
        <v>tonnes CH4/y</v>
      </c>
      <c r="I790" s="10" t="s">
        <v>314</v>
      </c>
      <c r="J790" s="10" t="s">
        <v>1072</v>
      </c>
      <c r="K790" s="27" t="s">
        <v>1568</v>
      </c>
    </row>
    <row r="791" spans="1:11" x14ac:dyDescent="0.35">
      <c r="A791" s="10" t="s">
        <v>1283</v>
      </c>
      <c r="B791" s="255">
        <v>7</v>
      </c>
      <c r="C791" s="10" t="s">
        <v>377</v>
      </c>
      <c r="D791" s="10">
        <v>6</v>
      </c>
      <c r="E791" s="10">
        <f>ROW('Calculations - Fugitives'!B$134)</f>
        <v>134</v>
      </c>
      <c r="F791" s="10" t="s">
        <v>690</v>
      </c>
      <c r="G791" s="10" t="s">
        <v>695</v>
      </c>
      <c r="H791" s="10" t="str" cm="1">
        <f t="array" aca="1" ref="H791" ca="1">IF(INDEX(I791:Z791,$H$1)=0,"",INDEX(I791:Z791,$H$1))</f>
        <v>Dehydration: Glycol (With Gas-assisted Pump)</v>
      </c>
      <c r="I791" s="17" t="s">
        <v>3372</v>
      </c>
      <c r="J791" s="10" t="s">
        <v>1005</v>
      </c>
      <c r="K791" s="27" t="s">
        <v>1602</v>
      </c>
    </row>
    <row r="792" spans="1:11" x14ac:dyDescent="0.35">
      <c r="A792" s="10" t="s">
        <v>1283</v>
      </c>
      <c r="B792" s="255">
        <v>7</v>
      </c>
      <c r="C792" s="10" t="s">
        <v>377</v>
      </c>
      <c r="D792" s="10">
        <v>6</v>
      </c>
      <c r="E792" s="10">
        <f>ROW('Calculations - Fugitives'!B$135)</f>
        <v>135</v>
      </c>
      <c r="F792" s="10" t="s">
        <v>690</v>
      </c>
      <c r="G792" s="10" t="s">
        <v>695</v>
      </c>
      <c r="H792" s="10" t="str" cm="1">
        <f t="array" aca="1" ref="H792" ca="1">IF(INDEX(I792:Z792,$H$1)=0,"",INDEX(I792:Z792,$H$1))</f>
        <v>Dehydration: Glycol (Without Gas-assisted Pump)</v>
      </c>
      <c r="I792" s="17" t="s">
        <v>3373</v>
      </c>
      <c r="J792" s="10" t="s">
        <v>1006</v>
      </c>
      <c r="K792" s="27" t="s">
        <v>1603</v>
      </c>
    </row>
    <row r="793" spans="1:11" x14ac:dyDescent="0.35">
      <c r="A793" s="10" t="s">
        <v>1283</v>
      </c>
      <c r="B793" s="255">
        <v>7</v>
      </c>
      <c r="C793" s="10" t="s">
        <v>361</v>
      </c>
      <c r="D793" s="10">
        <v>7</v>
      </c>
      <c r="E793" s="10">
        <v>108</v>
      </c>
      <c r="F793" s="10" t="s">
        <v>690</v>
      </c>
      <c r="G793" s="10" t="s">
        <v>688</v>
      </c>
      <c r="H793" s="10" t="str" cm="1">
        <f t="array" aca="1" ref="H793" ca="1">IF(INDEX(I793:Z793,$H$1)=0,"",INDEX(I793:Z793,$H$1))</f>
        <v>Inventory of Gas Sweetening Units:</v>
      </c>
      <c r="I793" s="10" t="s">
        <v>361</v>
      </c>
      <c r="J793" s="10" t="s">
        <v>1254</v>
      </c>
      <c r="K793" s="27" t="s">
        <v>1604</v>
      </c>
    </row>
    <row r="794" spans="1:11" x14ac:dyDescent="0.35">
      <c r="A794" s="10" t="s">
        <v>1283</v>
      </c>
      <c r="B794" s="255">
        <v>7</v>
      </c>
      <c r="C794" s="10" t="s">
        <v>361</v>
      </c>
      <c r="D794" s="10">
        <v>7</v>
      </c>
      <c r="E794" s="10">
        <v>109</v>
      </c>
      <c r="F794" s="10" t="s">
        <v>690</v>
      </c>
      <c r="G794" s="10" t="s">
        <v>696</v>
      </c>
      <c r="H794" s="10" t="str" cm="1">
        <f t="array" aca="1" ref="H794" ca="1">IF(INDEX(I794:Z794,$H$1)=0,"",INDEX(I794:Z794,$H$1))</f>
        <v>Type</v>
      </c>
      <c r="I794" s="10" t="s">
        <v>2</v>
      </c>
      <c r="J794" s="10" t="s">
        <v>724</v>
      </c>
      <c r="K794" s="27" t="s">
        <v>1415</v>
      </c>
    </row>
    <row r="795" spans="1:11" x14ac:dyDescent="0.35">
      <c r="A795" s="10" t="s">
        <v>1283</v>
      </c>
      <c r="B795" s="255">
        <v>7</v>
      </c>
      <c r="C795" s="10" t="s">
        <v>361</v>
      </c>
      <c r="D795" s="10">
        <v>7</v>
      </c>
      <c r="E795" s="10">
        <v>109</v>
      </c>
      <c r="F795" s="10" t="s">
        <v>38</v>
      </c>
      <c r="G795" s="10" t="s">
        <v>696</v>
      </c>
      <c r="H795" s="10" t="str" cm="1">
        <f t="array" aca="1" ref="H795" ca="1">IF(INDEX(I795:Z795,$H$1)=0,"",INDEX(I795:Z795,$H$1))</f>
        <v>Count</v>
      </c>
      <c r="I795" s="10" t="s">
        <v>336</v>
      </c>
      <c r="J795" s="10" t="s">
        <v>994</v>
      </c>
      <c r="K795" s="27" t="s">
        <v>1436</v>
      </c>
    </row>
    <row r="796" spans="1:11" x14ac:dyDescent="0.35">
      <c r="A796" s="10" t="s">
        <v>1283</v>
      </c>
      <c r="B796" s="255">
        <v>7</v>
      </c>
      <c r="C796" s="10" t="s">
        <v>361</v>
      </c>
      <c r="D796" s="10">
        <v>7</v>
      </c>
      <c r="E796" s="10">
        <v>109</v>
      </c>
      <c r="F796" s="10" t="s">
        <v>692</v>
      </c>
      <c r="G796" s="10" t="s">
        <v>696</v>
      </c>
      <c r="H796" s="10" t="str" cm="1">
        <f t="array" aca="1" ref="H796" ca="1">IF(INDEX(I796:Z796,$H$1)=0,"",INDEX(I796:Z796,$H$1))</f>
        <v>Emission Factor</v>
      </c>
      <c r="I796" s="10" t="s">
        <v>145</v>
      </c>
      <c r="J796" s="10" t="s">
        <v>910</v>
      </c>
      <c r="K796" s="27" t="s">
        <v>1583</v>
      </c>
    </row>
    <row r="797" spans="1:11" x14ac:dyDescent="0.35">
      <c r="A797" s="10" t="s">
        <v>1283</v>
      </c>
      <c r="B797" s="255">
        <v>7</v>
      </c>
      <c r="C797" s="10" t="s">
        <v>361</v>
      </c>
      <c r="D797" s="10">
        <v>7</v>
      </c>
      <c r="E797" s="10">
        <v>109</v>
      </c>
      <c r="F797" s="10" t="s">
        <v>693</v>
      </c>
      <c r="G797" s="10" t="s">
        <v>696</v>
      </c>
      <c r="H797" s="10" t="str" cm="1">
        <f t="array" aca="1" ref="H797" ca="1">IF(INDEX(I797:Z797,$H$1)=0,"",INDEX(I797:Z797,$H$1))</f>
        <v>Activity</v>
      </c>
      <c r="I797" s="10" t="s">
        <v>368</v>
      </c>
      <c r="J797" s="10" t="s">
        <v>949</v>
      </c>
      <c r="K797" s="27" t="s">
        <v>1599</v>
      </c>
    </row>
    <row r="798" spans="1:11" x14ac:dyDescent="0.35">
      <c r="A798" s="10" t="s">
        <v>1283</v>
      </c>
      <c r="B798" s="255">
        <v>7</v>
      </c>
      <c r="C798" s="10" t="s">
        <v>361</v>
      </c>
      <c r="D798" s="10">
        <v>7</v>
      </c>
      <c r="E798" s="10">
        <v>109</v>
      </c>
      <c r="F798" s="10" t="s">
        <v>694</v>
      </c>
      <c r="G798" s="10" t="s">
        <v>696</v>
      </c>
      <c r="H798" s="10" t="str" cm="1">
        <f t="array" aca="1" ref="H798" ca="1">IF(INDEX(I798:Z798,$H$1)=0,"",INDEX(I798:Z798,$H$1))</f>
        <v>Emissions</v>
      </c>
      <c r="I798" s="10" t="s">
        <v>360</v>
      </c>
      <c r="J798" s="10" t="s">
        <v>807</v>
      </c>
      <c r="K798" s="27" t="s">
        <v>1460</v>
      </c>
    </row>
    <row r="799" spans="1:11" ht="16.5" x14ac:dyDescent="0.35">
      <c r="A799" s="10" t="s">
        <v>1283</v>
      </c>
      <c r="B799" s="255">
        <v>7</v>
      </c>
      <c r="C799" s="10" t="s">
        <v>361</v>
      </c>
      <c r="D799" s="10">
        <v>7</v>
      </c>
      <c r="E799" s="10">
        <v>110</v>
      </c>
      <c r="F799" s="10" t="s">
        <v>692</v>
      </c>
      <c r="G799" s="10" t="s">
        <v>696</v>
      </c>
      <c r="H799" s="10" t="str" cm="1">
        <f t="array" aca="1" ref="H799" ca="1">IF(INDEX(I799:Z799,$H$1)=0,"",INDEX(I799:Z799,$H$1))</f>
        <v>Nm3 CH4/106 Nm3 gas processed</v>
      </c>
      <c r="I799" s="10" t="s">
        <v>881</v>
      </c>
      <c r="J799" s="10" t="s">
        <v>1288</v>
      </c>
      <c r="K799" s="27" t="s">
        <v>1600</v>
      </c>
    </row>
    <row r="800" spans="1:11" x14ac:dyDescent="0.35">
      <c r="A800" s="10" t="s">
        <v>1283</v>
      </c>
      <c r="B800" s="255">
        <v>7</v>
      </c>
      <c r="C800" s="10" t="s">
        <v>361</v>
      </c>
      <c r="D800" s="10">
        <v>7</v>
      </c>
      <c r="E800" s="10">
        <v>110</v>
      </c>
      <c r="F800" s="10" t="s">
        <v>692</v>
      </c>
      <c r="G800" s="10" t="s">
        <v>696</v>
      </c>
      <c r="H800" s="10" t="str" cm="1">
        <f t="array" aca="1" ref="H800" ca="1">IF(INDEX(I800:Z800,$H$1)=0,"",INDEX(I800:Z800,$H$1))</f>
        <v>(E+06 Nm3 gas processed/d)</v>
      </c>
      <c r="I800" s="10" t="s">
        <v>3374</v>
      </c>
      <c r="J800" s="10" t="s">
        <v>2665</v>
      </c>
      <c r="K800" s="27" t="s">
        <v>2665</v>
      </c>
    </row>
    <row r="801" spans="1:11" ht="16.5" x14ac:dyDescent="0.35">
      <c r="A801" s="10" t="s">
        <v>1283</v>
      </c>
      <c r="B801" s="255">
        <v>7</v>
      </c>
      <c r="C801" s="10" t="s">
        <v>361</v>
      </c>
      <c r="D801" s="10">
        <v>7</v>
      </c>
      <c r="E801" s="10">
        <v>110</v>
      </c>
      <c r="F801" s="10" t="s">
        <v>693</v>
      </c>
      <c r="G801" s="10" t="s">
        <v>696</v>
      </c>
      <c r="H801" s="10" t="str" cm="1">
        <f t="array" aca="1" ref="H801" ca="1">IF(INDEX(I801:Z801,$H$1)=0,"",INDEX(I801:Z801,$H$1))</f>
        <v>(E+06 Nm3 gas processed/y)</v>
      </c>
      <c r="I801" s="10" t="s">
        <v>3375</v>
      </c>
      <c r="J801" s="10" t="s">
        <v>1200</v>
      </c>
      <c r="K801" s="27" t="s">
        <v>1605</v>
      </c>
    </row>
    <row r="802" spans="1:11" x14ac:dyDescent="0.35">
      <c r="A802" s="10" t="s">
        <v>1283</v>
      </c>
      <c r="B802" s="255">
        <v>7</v>
      </c>
      <c r="C802" s="10" t="s">
        <v>361</v>
      </c>
      <c r="D802" s="10">
        <v>7</v>
      </c>
      <c r="E802" s="10">
        <v>110</v>
      </c>
      <c r="F802" s="10" t="s">
        <v>694</v>
      </c>
      <c r="G802" s="10" t="s">
        <v>696</v>
      </c>
      <c r="H802" s="10" t="str" cm="1">
        <f t="array" aca="1" ref="H802" ca="1">IF(INDEX(I802:Z802,$H$1)=0,"",INDEX(I802:Z802,$H$1))</f>
        <v>(Nm3 CH4/y)</v>
      </c>
      <c r="I802" s="10" t="s">
        <v>884</v>
      </c>
      <c r="J802" s="10" t="s">
        <v>884</v>
      </c>
      <c r="K802" s="27" t="s">
        <v>1606</v>
      </c>
    </row>
    <row r="803" spans="1:11" x14ac:dyDescent="0.35">
      <c r="A803" s="10" t="s">
        <v>1283</v>
      </c>
      <c r="B803" s="255">
        <v>7</v>
      </c>
      <c r="C803" s="10" t="s">
        <v>361</v>
      </c>
      <c r="D803" s="10">
        <v>7</v>
      </c>
      <c r="E803" s="10">
        <v>110</v>
      </c>
      <c r="F803" s="10" t="s">
        <v>711</v>
      </c>
      <c r="G803" s="10" t="s">
        <v>696</v>
      </c>
      <c r="H803" s="10" t="str" cm="1">
        <f t="array" aca="1" ref="H803" ca="1">IF(INDEX(I803:Z803,$H$1)=0,"",INDEX(I803:Z803,$H$1))</f>
        <v>(tonnes CH4/y)</v>
      </c>
      <c r="I803" s="10" t="s">
        <v>885</v>
      </c>
      <c r="J803" s="10" t="s">
        <v>1073</v>
      </c>
      <c r="K803" s="27" t="s">
        <v>1607</v>
      </c>
    </row>
    <row r="804" spans="1:11" x14ac:dyDescent="0.35">
      <c r="A804" s="10" t="s">
        <v>1283</v>
      </c>
      <c r="B804" s="255">
        <v>7</v>
      </c>
      <c r="C804" s="10" t="s">
        <v>361</v>
      </c>
      <c r="D804" s="10">
        <v>7</v>
      </c>
      <c r="E804" s="10">
        <v>110</v>
      </c>
      <c r="F804" s="10" t="s">
        <v>711</v>
      </c>
      <c r="G804" s="10" t="s">
        <v>696</v>
      </c>
      <c r="H804" s="10" t="str" cm="1">
        <f t="array" aca="1" ref="H804" ca="1">IF(INDEX(I804:Z804,$H$1)=0,"",INDEX(I804:Z804,$H$1))</f>
        <v>(Nm3 CO2/y)</v>
      </c>
      <c r="I804" s="10" t="s">
        <v>2666</v>
      </c>
      <c r="J804" s="10" t="s">
        <v>2666</v>
      </c>
      <c r="K804" s="10" t="s">
        <v>2666</v>
      </c>
    </row>
    <row r="805" spans="1:11" x14ac:dyDescent="0.35">
      <c r="A805" s="10" t="s">
        <v>1283</v>
      </c>
      <c r="B805" s="255">
        <v>7</v>
      </c>
      <c r="C805" s="10" t="s">
        <v>361</v>
      </c>
      <c r="D805" s="10">
        <v>7</v>
      </c>
      <c r="E805" s="10">
        <v>110</v>
      </c>
      <c r="F805" s="10" t="s">
        <v>711</v>
      </c>
      <c r="G805" s="10" t="s">
        <v>696</v>
      </c>
      <c r="H805" s="10" t="str" cm="1">
        <f t="array" aca="1" ref="H805" ca="1">IF(INDEX(I805:Z805,$H$1)=0,"",INDEX(I805:Z805,$H$1))</f>
        <v>(Nm3 CO2/d)</v>
      </c>
      <c r="I805" s="10" t="s">
        <v>2603</v>
      </c>
      <c r="J805" s="10" t="s">
        <v>2603</v>
      </c>
      <c r="K805" s="10" t="s">
        <v>2603</v>
      </c>
    </row>
    <row r="806" spans="1:11" x14ac:dyDescent="0.35">
      <c r="A806" s="10" t="s">
        <v>1283</v>
      </c>
      <c r="B806" s="255">
        <v>7</v>
      </c>
      <c r="C806" s="10" t="s">
        <v>361</v>
      </c>
      <c r="D806" s="10">
        <v>7</v>
      </c>
      <c r="E806" s="10">
        <v>110</v>
      </c>
      <c r="F806" s="10" t="s">
        <v>711</v>
      </c>
      <c r="G806" s="10" t="s">
        <v>696</v>
      </c>
      <c r="H806" s="10" t="str" cm="1">
        <f t="array" aca="1" ref="H806" ca="1">IF(INDEX(I806:Z806,$H$1)=0,"",INDEX(I806:Z806,$H$1))</f>
        <v>(tonnes CO2/y)</v>
      </c>
      <c r="I806" s="10" t="s">
        <v>2604</v>
      </c>
      <c r="J806" s="10" t="s">
        <v>2604</v>
      </c>
      <c r="K806" s="10" t="s">
        <v>2604</v>
      </c>
    </row>
    <row r="807" spans="1:11" x14ac:dyDescent="0.35">
      <c r="A807" s="10" t="s">
        <v>1283</v>
      </c>
      <c r="B807" s="255">
        <v>7</v>
      </c>
      <c r="C807" s="10" t="s">
        <v>361</v>
      </c>
      <c r="D807" s="10">
        <v>7</v>
      </c>
      <c r="E807" s="10">
        <v>110</v>
      </c>
      <c r="F807" s="10" t="s">
        <v>711</v>
      </c>
      <c r="G807" s="10" t="s">
        <v>696</v>
      </c>
      <c r="H807" s="10" t="str" cm="1">
        <f t="array" aca="1" ref="H807" ca="1">IF(INDEX(I807:Z807,$H$1)=0,"",INDEX(I807:Z807,$H$1))</f>
        <v>(Nm3 NMVOC/y)</v>
      </c>
      <c r="I807" s="10" t="s">
        <v>2667</v>
      </c>
      <c r="J807" s="10" t="s">
        <v>2667</v>
      </c>
      <c r="K807" s="10" t="s">
        <v>2667</v>
      </c>
    </row>
    <row r="808" spans="1:11" x14ac:dyDescent="0.35">
      <c r="A808" s="10" t="s">
        <v>1283</v>
      </c>
      <c r="B808" s="255">
        <v>7</v>
      </c>
      <c r="C808" s="10" t="s">
        <v>361</v>
      </c>
      <c r="D808" s="10">
        <v>7</v>
      </c>
      <c r="E808" s="10">
        <v>110</v>
      </c>
      <c r="F808" s="10" t="s">
        <v>711</v>
      </c>
      <c r="G808" s="10" t="s">
        <v>696</v>
      </c>
      <c r="H808" s="10" t="str" cm="1">
        <f t="array" aca="1" ref="H808" ca="1">IF(INDEX(I808:Z808,$H$1)=0,"",INDEX(I808:Z808,$H$1))</f>
        <v>(Nm3 NMVOC/d)</v>
      </c>
      <c r="I808" s="10" t="s">
        <v>2605</v>
      </c>
      <c r="J808" s="10" t="s">
        <v>2605</v>
      </c>
      <c r="K808" s="10" t="s">
        <v>2605</v>
      </c>
    </row>
    <row r="809" spans="1:11" x14ac:dyDescent="0.35">
      <c r="A809" s="10" t="s">
        <v>1283</v>
      </c>
      <c r="B809" s="255">
        <v>7</v>
      </c>
      <c r="C809" s="10" t="s">
        <v>361</v>
      </c>
      <c r="D809" s="10">
        <v>7</v>
      </c>
      <c r="E809" s="10">
        <v>110</v>
      </c>
      <c r="F809" s="10" t="s">
        <v>711</v>
      </c>
      <c r="G809" s="10" t="s">
        <v>696</v>
      </c>
      <c r="H809" s="10" t="str" cm="1">
        <f t="array" aca="1" ref="H809" ca="1">IF(INDEX(I809:Z809,$H$1)=0,"",INDEX(I809:Z809,$H$1))</f>
        <v>(tonnes NMVOC/y)</v>
      </c>
      <c r="I809" s="10" t="s">
        <v>2606</v>
      </c>
      <c r="J809" s="10" t="s">
        <v>2606</v>
      </c>
      <c r="K809" s="10" t="s">
        <v>2606</v>
      </c>
    </row>
    <row r="810" spans="1:11" x14ac:dyDescent="0.35">
      <c r="A810" s="10" t="s">
        <v>1283</v>
      </c>
      <c r="B810" s="255">
        <v>7</v>
      </c>
      <c r="C810" s="10" t="s">
        <v>361</v>
      </c>
      <c r="D810" s="10">
        <v>7</v>
      </c>
      <c r="E810" s="10">
        <v>111</v>
      </c>
      <c r="F810" s="10" t="s">
        <v>690</v>
      </c>
      <c r="G810" s="10" t="s">
        <v>695</v>
      </c>
      <c r="H810" s="10" t="str" cm="1">
        <f t="array" aca="1" ref="H810" ca="1">IF(INDEX(I810:Z810,$H$1)=0,"",INDEX(I810:Z810,$H$1))</f>
        <v>Sweetening (Chemsweet)</v>
      </c>
      <c r="I810" s="17" t="s">
        <v>246</v>
      </c>
      <c r="J810" s="17" t="s">
        <v>1011</v>
      </c>
      <c r="K810" s="27" t="s">
        <v>1608</v>
      </c>
    </row>
    <row r="811" spans="1:11" x14ac:dyDescent="0.35">
      <c r="A811" s="10" t="s">
        <v>1283</v>
      </c>
      <c r="B811" s="255">
        <v>7</v>
      </c>
      <c r="C811" s="10" t="s">
        <v>361</v>
      </c>
      <c r="D811" s="10">
        <v>7</v>
      </c>
      <c r="E811" s="10">
        <v>112</v>
      </c>
      <c r="F811" s="10" t="s">
        <v>690</v>
      </c>
      <c r="G811" s="10" t="s">
        <v>695</v>
      </c>
      <c r="H811" s="10" t="str" cm="1">
        <f t="array" aca="1" ref="H811" ca="1">IF(INDEX(I811:Z811,$H$1)=0,"",INDEX(I811:Z811,$H$1))</f>
        <v>Sweetening (DEA – Diethanolamine)</v>
      </c>
      <c r="I811" s="17" t="s">
        <v>187</v>
      </c>
      <c r="J811" s="17" t="s">
        <v>1012</v>
      </c>
      <c r="K811" s="27" t="s">
        <v>1609</v>
      </c>
    </row>
    <row r="812" spans="1:11" x14ac:dyDescent="0.35">
      <c r="A812" s="10" t="s">
        <v>1283</v>
      </c>
      <c r="B812" s="255">
        <v>7</v>
      </c>
      <c r="C812" s="10" t="s">
        <v>361</v>
      </c>
      <c r="D812" s="10">
        <v>7</v>
      </c>
      <c r="E812" s="10">
        <v>113</v>
      </c>
      <c r="F812" s="10" t="s">
        <v>690</v>
      </c>
      <c r="G812" s="10" t="s">
        <v>695</v>
      </c>
      <c r="H812" s="10" t="str" cm="1">
        <f t="array" aca="1" ref="H812" ca="1">IF(INDEX(I812:Z812,$H$1)=0,"",INDEX(I812:Z812,$H$1))</f>
        <v>Sweetening (DGA – Diglycolamine)</v>
      </c>
      <c r="I812" s="17" t="s">
        <v>188</v>
      </c>
      <c r="J812" s="17" t="s">
        <v>1013</v>
      </c>
      <c r="K812" s="27" t="s">
        <v>1610</v>
      </c>
    </row>
    <row r="813" spans="1:11" x14ac:dyDescent="0.35">
      <c r="A813" s="10" t="s">
        <v>1283</v>
      </c>
      <c r="B813" s="255">
        <v>7</v>
      </c>
      <c r="C813" s="10" t="s">
        <v>361</v>
      </c>
      <c r="D813" s="10">
        <v>7</v>
      </c>
      <c r="E813" s="10">
        <v>114</v>
      </c>
      <c r="F813" s="10" t="s">
        <v>690</v>
      </c>
      <c r="G813" s="10" t="s">
        <v>695</v>
      </c>
      <c r="H813" s="10" t="str" cm="1">
        <f t="array" aca="1" ref="H813" ca="1">IF(INDEX(I813:Z813,$H$1)=0,"",INDEX(I813:Z813,$H$1))</f>
        <v>Sweetening (Generic)</v>
      </c>
      <c r="I813" s="17" t="s">
        <v>190</v>
      </c>
      <c r="J813" s="17" t="s">
        <v>1014</v>
      </c>
      <c r="K813" s="27" t="s">
        <v>1611</v>
      </c>
    </row>
    <row r="814" spans="1:11" x14ac:dyDescent="0.35">
      <c r="A814" s="10" t="s">
        <v>1283</v>
      </c>
      <c r="B814" s="255">
        <v>7</v>
      </c>
      <c r="C814" s="10" t="s">
        <v>361</v>
      </c>
      <c r="D814" s="10">
        <v>7</v>
      </c>
      <c r="E814" s="10">
        <v>115</v>
      </c>
      <c r="F814" s="10" t="s">
        <v>690</v>
      </c>
      <c r="G814" s="10" t="s">
        <v>695</v>
      </c>
      <c r="H814" s="10" t="str" cm="1">
        <f t="array" aca="1" ref="H814" ca="1">IF(INDEX(I814:Z814,$H$1)=0,"",INDEX(I814:Z814,$H$1))</f>
        <v>Sweetening (Iron Sponge)</v>
      </c>
      <c r="I814" s="17" t="s">
        <v>189</v>
      </c>
      <c r="J814" s="17" t="s">
        <v>1015</v>
      </c>
      <c r="K814" s="27" t="s">
        <v>1612</v>
      </c>
    </row>
    <row r="815" spans="1:11" x14ac:dyDescent="0.35">
      <c r="A815" s="10" t="s">
        <v>1283</v>
      </c>
      <c r="B815" s="255">
        <v>7</v>
      </c>
      <c r="C815" s="10" t="s">
        <v>361</v>
      </c>
      <c r="D815" s="10">
        <v>7</v>
      </c>
      <c r="E815" s="10">
        <v>116</v>
      </c>
      <c r="F815" s="10" t="s">
        <v>690</v>
      </c>
      <c r="G815" s="10" t="s">
        <v>695</v>
      </c>
      <c r="H815" s="10" t="str" cm="1">
        <f t="array" aca="1" ref="H815" ca="1">IF(INDEX(I815:Z815,$H$1)=0,"",INDEX(I815:Z815,$H$1))</f>
        <v>Sweetening (LoCat)</v>
      </c>
      <c r="I815" s="17" t="s">
        <v>197</v>
      </c>
      <c r="J815" s="17" t="s">
        <v>1016</v>
      </c>
      <c r="K815" s="27" t="s">
        <v>1613</v>
      </c>
    </row>
    <row r="816" spans="1:11" x14ac:dyDescent="0.35">
      <c r="A816" s="10" t="s">
        <v>1283</v>
      </c>
      <c r="B816" s="255">
        <v>7</v>
      </c>
      <c r="C816" s="10" t="s">
        <v>361</v>
      </c>
      <c r="D816" s="10">
        <v>7</v>
      </c>
      <c r="E816" s="10">
        <v>117</v>
      </c>
      <c r="F816" s="10" t="s">
        <v>690</v>
      </c>
      <c r="G816" s="10" t="s">
        <v>695</v>
      </c>
      <c r="H816" s="10" t="str" cm="1">
        <f t="array" aca="1" ref="H816" ca="1">IF(INDEX(I816:Z816,$H$1)=0,"",INDEX(I816:Z816,$H$1))</f>
        <v>Sweetening (MDEA –  Monodiethanolamine)</v>
      </c>
      <c r="I816" s="17" t="s">
        <v>196</v>
      </c>
      <c r="J816" s="17" t="s">
        <v>1017</v>
      </c>
      <c r="K816" s="27" t="s">
        <v>1614</v>
      </c>
    </row>
    <row r="817" spans="1:11" x14ac:dyDescent="0.35">
      <c r="A817" s="10" t="s">
        <v>1283</v>
      </c>
      <c r="B817" s="255">
        <v>7</v>
      </c>
      <c r="C817" s="10" t="s">
        <v>361</v>
      </c>
      <c r="D817" s="10">
        <v>7</v>
      </c>
      <c r="E817" s="10">
        <v>118</v>
      </c>
      <c r="F817" s="10" t="s">
        <v>690</v>
      </c>
      <c r="G817" s="10" t="s">
        <v>695</v>
      </c>
      <c r="H817" s="10" t="str" cm="1">
        <f t="array" aca="1" ref="H817" ca="1">IF(INDEX(I817:Z817,$H$1)=0,"",INDEX(I817:Z817,$H$1))</f>
        <v>Sweetening (MEA – Monoethanolamine)</v>
      </c>
      <c r="I817" s="17" t="s">
        <v>195</v>
      </c>
      <c r="J817" s="17" t="s">
        <v>1018</v>
      </c>
      <c r="K817" s="27" t="s">
        <v>1615</v>
      </c>
    </row>
    <row r="818" spans="1:11" x14ac:dyDescent="0.35">
      <c r="A818" s="10" t="s">
        <v>1283</v>
      </c>
      <c r="B818" s="255">
        <v>7</v>
      </c>
      <c r="C818" s="10" t="s">
        <v>361</v>
      </c>
      <c r="D818" s="10">
        <v>7</v>
      </c>
      <c r="E818" s="10">
        <v>119</v>
      </c>
      <c r="F818" s="10" t="s">
        <v>690</v>
      </c>
      <c r="G818" s="10" t="s">
        <v>695</v>
      </c>
      <c r="H818" s="10" t="str" cm="1">
        <f t="array" aca="1" ref="H818" ca="1">IF(INDEX(I818:Z818,$H$1)=0,"",INDEX(I818:Z818,$H$1))</f>
        <v>Sweetening (Physical Solvent)</v>
      </c>
      <c r="I818" s="17" t="s">
        <v>194</v>
      </c>
      <c r="J818" s="17" t="s">
        <v>1019</v>
      </c>
      <c r="K818" s="27" t="s">
        <v>1616</v>
      </c>
    </row>
    <row r="819" spans="1:11" x14ac:dyDescent="0.35">
      <c r="A819" s="10" t="s">
        <v>1283</v>
      </c>
      <c r="B819" s="255">
        <v>7</v>
      </c>
      <c r="C819" s="10" t="s">
        <v>361</v>
      </c>
      <c r="D819" s="10">
        <v>7</v>
      </c>
      <c r="E819" s="10">
        <v>120</v>
      </c>
      <c r="F819" s="10" t="s">
        <v>690</v>
      </c>
      <c r="G819" s="10" t="s">
        <v>695</v>
      </c>
      <c r="H819" s="10" t="str" cm="1">
        <f t="array" aca="1" ref="H819" ca="1">IF(INDEX(I819:Z819,$H$1)=0,"",INDEX(I819:Z819,$H$1))</f>
        <v>Sweetening (Selexol)</v>
      </c>
      <c r="I819" s="17" t="s">
        <v>193</v>
      </c>
      <c r="J819" s="17" t="s">
        <v>1020</v>
      </c>
      <c r="K819" s="27" t="s">
        <v>1617</v>
      </c>
    </row>
    <row r="820" spans="1:11" x14ac:dyDescent="0.35">
      <c r="A820" s="10" t="s">
        <v>1283</v>
      </c>
      <c r="B820" s="255">
        <v>7</v>
      </c>
      <c r="C820" s="10" t="s">
        <v>361</v>
      </c>
      <c r="D820" s="10">
        <v>7</v>
      </c>
      <c r="E820" s="10">
        <v>121</v>
      </c>
      <c r="F820" s="10" t="s">
        <v>690</v>
      </c>
      <c r="G820" s="10" t="s">
        <v>695</v>
      </c>
      <c r="H820" s="10" t="str" cm="1">
        <f t="array" aca="1" ref="H820" ca="1">IF(INDEX(I820:Z820,$H$1)=0,"",INDEX(I820:Z820,$H$1))</f>
        <v>Sweetening (Sulfacheck)</v>
      </c>
      <c r="I820" s="17" t="s">
        <v>192</v>
      </c>
      <c r="J820" s="17" t="s">
        <v>1021</v>
      </c>
      <c r="K820" s="27" t="s">
        <v>1618</v>
      </c>
    </row>
    <row r="821" spans="1:11" x14ac:dyDescent="0.35">
      <c r="A821" s="10" t="s">
        <v>1283</v>
      </c>
      <c r="B821" s="255">
        <v>7</v>
      </c>
      <c r="C821" s="10" t="s">
        <v>361</v>
      </c>
      <c r="D821" s="10">
        <v>7</v>
      </c>
      <c r="E821" s="10">
        <v>122</v>
      </c>
      <c r="F821" s="10" t="s">
        <v>690</v>
      </c>
      <c r="G821" s="10" t="s">
        <v>695</v>
      </c>
      <c r="H821" s="10" t="str" cm="1">
        <f t="array" aca="1" ref="H821" ca="1">IF(INDEX(I821:Z821,$H$1)=0,"",INDEX(I821:Z821,$H$1))</f>
        <v>Sweetening (Sulfinol)</v>
      </c>
      <c r="I821" s="17" t="s">
        <v>191</v>
      </c>
      <c r="J821" s="17" t="s">
        <v>1022</v>
      </c>
      <c r="K821" s="27" t="s">
        <v>1619</v>
      </c>
    </row>
    <row r="822" spans="1:11" x14ac:dyDescent="0.35">
      <c r="A822" s="10" t="s">
        <v>1283</v>
      </c>
      <c r="B822" s="255">
        <v>7</v>
      </c>
      <c r="C822" s="10" t="s">
        <v>361</v>
      </c>
      <c r="D822" s="10">
        <v>7</v>
      </c>
      <c r="E822" s="10">
        <v>123</v>
      </c>
      <c r="F822" s="10" t="s">
        <v>690</v>
      </c>
      <c r="G822" s="10" t="s">
        <v>695</v>
      </c>
      <c r="H822" s="10" t="str" cm="1">
        <f t="array" aca="1" ref="H822" ca="1">IF(INDEX(I822:Z822,$H$1)=0,"",INDEX(I822:Z822,$H$1))</f>
        <v>Total:</v>
      </c>
      <c r="I822" s="10" t="s">
        <v>376</v>
      </c>
      <c r="J822" s="10" t="s">
        <v>804</v>
      </c>
      <c r="K822" s="27" t="s">
        <v>376</v>
      </c>
    </row>
    <row r="823" spans="1:11" x14ac:dyDescent="0.35">
      <c r="A823" s="10" t="s">
        <v>1283</v>
      </c>
      <c r="B823" s="255">
        <v>7</v>
      </c>
      <c r="C823" s="10" t="s">
        <v>361</v>
      </c>
      <c r="D823" s="10">
        <v>7</v>
      </c>
      <c r="E823" s="10">
        <v>125</v>
      </c>
      <c r="F823" s="10" t="s">
        <v>38</v>
      </c>
      <c r="G823" s="10" t="s">
        <v>695</v>
      </c>
      <c r="H823" s="10" t="str" cm="1">
        <f t="array" aca="1" ref="H823" ca="1">IF(INDEX(I823:Z823,$H$1)=0,"",INDEX(I823:Z823,$H$1))</f>
        <v>Conversion Factor</v>
      </c>
      <c r="I823" s="10" t="s">
        <v>15</v>
      </c>
      <c r="J823" s="10" t="s">
        <v>1220</v>
      </c>
      <c r="K823" s="27" t="s">
        <v>1620</v>
      </c>
    </row>
    <row r="824" spans="1:11" x14ac:dyDescent="0.35">
      <c r="A824" s="10" t="s">
        <v>1283</v>
      </c>
      <c r="B824" s="255">
        <v>7</v>
      </c>
      <c r="C824" s="10" t="s">
        <v>362</v>
      </c>
      <c r="D824" s="10">
        <v>8</v>
      </c>
      <c r="E824" s="10">
        <v>128</v>
      </c>
      <c r="F824" s="10" t="s">
        <v>690</v>
      </c>
      <c r="G824" s="10" t="s">
        <v>688</v>
      </c>
      <c r="H824" s="10" t="str" cm="1">
        <f t="array" aca="1" ref="H824" ca="1">IF(INDEX(I824:Z824,$H$1)=0,"",INDEX(I824:Z824,$H$1))</f>
        <v>Storage Losses</v>
      </c>
      <c r="I824" s="10" t="s">
        <v>2052</v>
      </c>
      <c r="J824" s="10" t="s">
        <v>3149</v>
      </c>
      <c r="K824" s="27" t="s">
        <v>2053</v>
      </c>
    </row>
    <row r="825" spans="1:11" x14ac:dyDescent="0.35">
      <c r="A825" s="10" t="s">
        <v>1283</v>
      </c>
      <c r="B825" s="255">
        <v>7</v>
      </c>
      <c r="C825" s="10" t="s">
        <v>362</v>
      </c>
      <c r="D825" s="10">
        <v>8</v>
      </c>
      <c r="E825" s="10">
        <v>129</v>
      </c>
      <c r="F825" s="10" t="s">
        <v>690</v>
      </c>
      <c r="G825" s="10" t="s">
        <v>696</v>
      </c>
      <c r="H825" s="10" t="str" cm="1">
        <f t="array" aca="1" ref="H825" ca="1">IF(INDEX(I825:Z825,$H$1)=0,"",INDEX(I825:Z825,$H$1))</f>
        <v>Type</v>
      </c>
      <c r="I825" s="10" t="s">
        <v>2</v>
      </c>
      <c r="J825" s="10" t="s">
        <v>724</v>
      </c>
      <c r="K825" s="27" t="s">
        <v>1415</v>
      </c>
    </row>
    <row r="826" spans="1:11" x14ac:dyDescent="0.35">
      <c r="A826" s="10" t="s">
        <v>1283</v>
      </c>
      <c r="B826" s="255">
        <v>7</v>
      </c>
      <c r="C826" s="10" t="s">
        <v>362</v>
      </c>
      <c r="D826" s="10">
        <v>8</v>
      </c>
      <c r="E826" s="10">
        <v>129</v>
      </c>
      <c r="F826" s="10" t="s">
        <v>690</v>
      </c>
      <c r="G826" s="10" t="s">
        <v>696</v>
      </c>
      <c r="H826" s="10" t="str" cm="1">
        <f t="array" aca="1" ref="H826" ca="1">IF(INDEX(I826:Z826,$H$1)=0,"",INDEX(I826:Z826,$H$1))</f>
        <v>Flashing Losses (Oil Production Tanks)</v>
      </c>
      <c r="I826" s="10" t="s">
        <v>3104</v>
      </c>
      <c r="J826" s="10" t="s">
        <v>3104</v>
      </c>
      <c r="K826" s="10" t="s">
        <v>3104</v>
      </c>
    </row>
    <row r="827" spans="1:11" x14ac:dyDescent="0.35">
      <c r="A827" s="10" t="s">
        <v>1283</v>
      </c>
      <c r="B827" s="255">
        <v>7</v>
      </c>
      <c r="C827" s="10" t="s">
        <v>362</v>
      </c>
      <c r="D827" s="10">
        <v>8</v>
      </c>
      <c r="E827" s="10">
        <v>129</v>
      </c>
      <c r="F827" s="10" t="s">
        <v>690</v>
      </c>
      <c r="G827" s="10" t="s">
        <v>696</v>
      </c>
      <c r="H827" s="10" t="str" cm="1">
        <f t="array" aca="1" ref="H827" ca="1">IF(INDEX(I827:Z827,$H$1)=0,"",INDEX(I827:Z827,$H$1))</f>
        <v>Flashing Losses (Produced Water Tanks)</v>
      </c>
      <c r="I827" s="10" t="s">
        <v>3105</v>
      </c>
      <c r="J827" s="10" t="s">
        <v>3105</v>
      </c>
      <c r="K827" s="10" t="s">
        <v>3105</v>
      </c>
    </row>
    <row r="828" spans="1:11" x14ac:dyDescent="0.35">
      <c r="A828" s="10" t="s">
        <v>1283</v>
      </c>
      <c r="B828" s="255">
        <v>7</v>
      </c>
      <c r="C828" s="10" t="s">
        <v>362</v>
      </c>
      <c r="D828" s="10">
        <v>8</v>
      </c>
      <c r="E828" s="10">
        <v>129</v>
      </c>
      <c r="F828" s="10" t="s">
        <v>690</v>
      </c>
      <c r="G828" s="10" t="s">
        <v>696</v>
      </c>
      <c r="H828" s="10" t="str" cm="1">
        <f t="array" aca="1" ref="H828" ca="1">IF(INDEX(I828:Z828,$H$1)=0,"",INDEX(I828:Z828,$H$1))</f>
        <v>Non-Flashing Losses from Storage Tanks (Measured)</v>
      </c>
      <c r="I828" s="10" t="s">
        <v>3106</v>
      </c>
      <c r="J828" s="10" t="s">
        <v>3106</v>
      </c>
      <c r="K828" s="10" t="s">
        <v>3106</v>
      </c>
    </row>
    <row r="829" spans="1:11" x14ac:dyDescent="0.35">
      <c r="A829" s="10" t="s">
        <v>1283</v>
      </c>
      <c r="B829" s="255">
        <v>7</v>
      </c>
      <c r="C829" s="10" t="s">
        <v>362</v>
      </c>
      <c r="D829" s="10">
        <v>8</v>
      </c>
      <c r="E829" s="10">
        <v>129</v>
      </c>
      <c r="F829" s="10" t="s">
        <v>38</v>
      </c>
      <c r="G829" s="10" t="s">
        <v>696</v>
      </c>
      <c r="H829" s="10" t="str" cm="1">
        <f t="array" aca="1" ref="H829" ca="1">IF(INDEX(I829:Z829,$H$1)=0,"",INDEX(I829:Z829,$H$1))</f>
        <v>Count</v>
      </c>
      <c r="I829" s="10" t="s">
        <v>336</v>
      </c>
      <c r="J829" s="10" t="s">
        <v>994</v>
      </c>
      <c r="K829" s="27" t="s">
        <v>1436</v>
      </c>
    </row>
    <row r="830" spans="1:11" x14ac:dyDescent="0.35">
      <c r="A830" s="10" t="s">
        <v>1283</v>
      </c>
      <c r="B830" s="255">
        <v>7</v>
      </c>
      <c r="C830" s="10" t="s">
        <v>362</v>
      </c>
      <c r="D830" s="10">
        <v>8</v>
      </c>
      <c r="E830" s="10">
        <v>129</v>
      </c>
      <c r="F830" s="10" t="s">
        <v>692</v>
      </c>
      <c r="G830" s="10" t="s">
        <v>696</v>
      </c>
      <c r="H830" s="10" t="str" cm="1">
        <f t="array" aca="1" ref="H830" ca="1">IF(INDEX(I830:Z830,$H$1)=0,"",INDEX(I830:Z830,$H$1))</f>
        <v>Emission Factor</v>
      </c>
      <c r="I830" s="10" t="s">
        <v>145</v>
      </c>
      <c r="J830" s="10" t="s">
        <v>910</v>
      </c>
      <c r="K830" s="27" t="s">
        <v>1583</v>
      </c>
    </row>
    <row r="831" spans="1:11" x14ac:dyDescent="0.35">
      <c r="A831" s="10" t="s">
        <v>1283</v>
      </c>
      <c r="B831" s="255">
        <v>7</v>
      </c>
      <c r="C831" s="10" t="s">
        <v>362</v>
      </c>
      <c r="D831" s="10">
        <v>8</v>
      </c>
      <c r="E831" s="10">
        <v>129</v>
      </c>
      <c r="F831" s="10" t="s">
        <v>693</v>
      </c>
      <c r="G831" s="10" t="s">
        <v>696</v>
      </c>
      <c r="H831" s="10" t="str" cm="1">
        <f t="array" aca="1" ref="H831" ca="1">IF(INDEX(I831:Z831,$H$1)=0,"",INDEX(I831:Z831,$H$1))</f>
        <v>Activity</v>
      </c>
      <c r="I831" s="10" t="s">
        <v>368</v>
      </c>
      <c r="J831" s="10" t="s">
        <v>949</v>
      </c>
      <c r="K831" s="27" t="s">
        <v>1599</v>
      </c>
    </row>
    <row r="832" spans="1:11" x14ac:dyDescent="0.35">
      <c r="A832" s="10" t="s">
        <v>1283</v>
      </c>
      <c r="B832" s="255">
        <v>7</v>
      </c>
      <c r="C832" s="10" t="s">
        <v>362</v>
      </c>
      <c r="D832" s="10">
        <v>8</v>
      </c>
      <c r="E832" s="10">
        <v>129</v>
      </c>
      <c r="F832" s="10" t="s">
        <v>694</v>
      </c>
      <c r="G832" s="10" t="s">
        <v>696</v>
      </c>
      <c r="H832" s="10" t="str" cm="1">
        <f t="array" aca="1" ref="H832" ca="1">IF(INDEX(I832:Z832,$H$1)=0,"",INDEX(I832:Z832,$H$1))</f>
        <v>Emissions</v>
      </c>
      <c r="I832" s="10" t="s">
        <v>360</v>
      </c>
      <c r="J832" s="10" t="s">
        <v>807</v>
      </c>
      <c r="K832" s="27" t="s">
        <v>1460</v>
      </c>
    </row>
    <row r="833" spans="1:11" x14ac:dyDescent="0.35">
      <c r="A833" s="10" t="s">
        <v>1283</v>
      </c>
      <c r="B833" s="255">
        <v>7</v>
      </c>
      <c r="C833" s="10" t="s">
        <v>362</v>
      </c>
      <c r="D833" s="10">
        <v>8</v>
      </c>
      <c r="E833" s="10">
        <v>130</v>
      </c>
      <c r="F833" s="10" t="s">
        <v>692</v>
      </c>
      <c r="G833" s="10" t="s">
        <v>696</v>
      </c>
      <c r="H833" s="10" t="str" cm="1">
        <f t="array" aca="1" ref="H833" ca="1">IF(INDEX(I833:Z833,$H$1)=0,"",INDEX(I833:Z833,$H$1))</f>
        <v>(Nm3 CH4/m3 Hydrocarbon Liquid)</v>
      </c>
      <c r="I833" s="10" t="s">
        <v>1083</v>
      </c>
      <c r="J833" s="10" t="s">
        <v>1083</v>
      </c>
      <c r="K833" s="27" t="s">
        <v>1621</v>
      </c>
    </row>
    <row r="834" spans="1:11" x14ac:dyDescent="0.35">
      <c r="A834" s="10" t="s">
        <v>1283</v>
      </c>
      <c r="B834" s="255">
        <v>7</v>
      </c>
      <c r="C834" s="10" t="s">
        <v>362</v>
      </c>
      <c r="D834" s="10">
        <v>8</v>
      </c>
      <c r="E834" s="10">
        <v>130</v>
      </c>
      <c r="F834" s="10" t="s">
        <v>693</v>
      </c>
      <c r="G834" s="10" t="s">
        <v>696</v>
      </c>
      <c r="H834" s="10" t="str" cm="1">
        <f t="array" aca="1" ref="H834" ca="1">IF(INDEX(I834:Z834,$H$1)=0,"",INDEX(I834:Z834,$H$1))</f>
        <v>(m3/d)</v>
      </c>
      <c r="I834" s="10" t="s">
        <v>1100</v>
      </c>
      <c r="J834" s="10" t="s">
        <v>1100</v>
      </c>
      <c r="K834" s="27" t="s">
        <v>1100</v>
      </c>
    </row>
    <row r="835" spans="1:11" x14ac:dyDescent="0.35">
      <c r="A835" s="10" t="s">
        <v>1283</v>
      </c>
      <c r="B835" s="255">
        <v>7</v>
      </c>
      <c r="C835" s="10" t="s">
        <v>362</v>
      </c>
      <c r="D835" s="10">
        <v>8</v>
      </c>
      <c r="E835" s="10">
        <v>130</v>
      </c>
      <c r="F835" s="10" t="s">
        <v>694</v>
      </c>
      <c r="G835" s="10" t="s">
        <v>696</v>
      </c>
      <c r="H835" s="10" t="str" cm="1">
        <f t="array" aca="1" ref="H835" ca="1">IF(INDEX(I835:Z835,$H$1)=0,"",INDEX(I835:Z835,$H$1))</f>
        <v>(Nm3 CH4/d)</v>
      </c>
      <c r="I835" s="10" t="s">
        <v>874</v>
      </c>
      <c r="J835" s="10" t="s">
        <v>874</v>
      </c>
      <c r="K835" s="27" t="s">
        <v>874</v>
      </c>
    </row>
    <row r="836" spans="1:11" x14ac:dyDescent="0.35">
      <c r="A836" s="10" t="s">
        <v>1283</v>
      </c>
      <c r="B836" s="255">
        <v>7</v>
      </c>
      <c r="C836" s="10" t="s">
        <v>362</v>
      </c>
      <c r="D836" s="10">
        <v>8</v>
      </c>
      <c r="E836" s="10">
        <v>130</v>
      </c>
      <c r="F836" s="10" t="s">
        <v>711</v>
      </c>
      <c r="G836" s="10" t="s">
        <v>696</v>
      </c>
      <c r="H836" s="10" t="str" cm="1">
        <f t="array" aca="1" ref="H836" ca="1">IF(INDEX(I836:Z836,$H$1)=0,"",INDEX(I836:Z836,$H$1))</f>
        <v>(tonnes CH4/y)</v>
      </c>
      <c r="I836" s="10" t="s">
        <v>885</v>
      </c>
      <c r="J836" s="10" t="s">
        <v>1073</v>
      </c>
      <c r="K836" s="27" t="s">
        <v>1607</v>
      </c>
    </row>
    <row r="837" spans="1:11" x14ac:dyDescent="0.35">
      <c r="A837" s="10" t="s">
        <v>1283</v>
      </c>
      <c r="B837" s="255">
        <v>7</v>
      </c>
      <c r="C837" s="10" t="s">
        <v>362</v>
      </c>
      <c r="D837" s="10">
        <v>8</v>
      </c>
      <c r="E837" s="10">
        <v>135</v>
      </c>
      <c r="F837" s="10" t="s">
        <v>693</v>
      </c>
      <c r="G837" s="10" t="s">
        <v>695</v>
      </c>
      <c r="H837" s="10" t="str" cm="1">
        <f t="array" aca="1" ref="H837" ca="1">IF(INDEX(I837:Z837,$H$1)=0,"",INDEX(I837:Z837,$H$1))</f>
        <v>Total:</v>
      </c>
      <c r="I837" s="10" t="s">
        <v>376</v>
      </c>
      <c r="J837" s="10" t="s">
        <v>804</v>
      </c>
      <c r="K837" s="27" t="s">
        <v>376</v>
      </c>
    </row>
    <row r="838" spans="1:11" x14ac:dyDescent="0.35">
      <c r="A838" s="10" t="s">
        <v>1283</v>
      </c>
      <c r="B838" s="255">
        <v>7</v>
      </c>
      <c r="C838" s="10" t="s">
        <v>362</v>
      </c>
      <c r="D838" s="10">
        <v>8</v>
      </c>
      <c r="E838" s="10">
        <f>ROW('Calculations - Fugitives'!B$165)</f>
        <v>165</v>
      </c>
      <c r="F838" s="10" t="s">
        <v>690</v>
      </c>
      <c r="G838" s="10" t="s">
        <v>695</v>
      </c>
      <c r="H838" s="10" t="str" cm="1">
        <f t="array" aca="1" ref="H838" ca="1">IF(INDEX(I838:Z838,$H$1)=0,"",INDEX(I838:Z838,$H$1))</f>
        <v>Storage Tank (Produced Oil, Without Vapor Control)</v>
      </c>
      <c r="I838" s="10" t="s">
        <v>3376</v>
      </c>
      <c r="J838" s="10" t="s">
        <v>1008</v>
      </c>
      <c r="K838" s="27" t="s">
        <v>1622</v>
      </c>
    </row>
    <row r="839" spans="1:11" x14ac:dyDescent="0.35">
      <c r="A839" s="10" t="s">
        <v>1283</v>
      </c>
      <c r="B839" s="255">
        <v>7</v>
      </c>
      <c r="C839" s="10" t="s">
        <v>362</v>
      </c>
      <c r="D839" s="10">
        <v>8</v>
      </c>
      <c r="E839" s="10">
        <f>ROW('Calculations - Fugitives'!B$166)</f>
        <v>166</v>
      </c>
      <c r="F839" s="10" t="s">
        <v>690</v>
      </c>
      <c r="G839" s="10" t="s">
        <v>695</v>
      </c>
      <c r="H839" s="10" t="str" cm="1">
        <f t="array" aca="1" ref="H839" ca="1">IF(INDEX(I839:Z839,$H$1)=0,"",INDEX(I839:Z839,$H$1))</f>
        <v>Storage Tank (Produced Oil, With Vapor Control)</v>
      </c>
      <c r="I839" s="10" t="s">
        <v>3377</v>
      </c>
      <c r="J839" s="10" t="s">
        <v>1007</v>
      </c>
      <c r="K839" s="27" t="s">
        <v>1623</v>
      </c>
    </row>
    <row r="840" spans="1:11" x14ac:dyDescent="0.35">
      <c r="A840" s="10" t="s">
        <v>1283</v>
      </c>
      <c r="B840" s="255">
        <v>7</v>
      </c>
      <c r="C840" s="10" t="s">
        <v>362</v>
      </c>
      <c r="D840" s="10">
        <v>8</v>
      </c>
      <c r="E840" s="10" t="e">
        <f>ROW('Calculations - Fugitives'!#REF!)</f>
        <v>#REF!</v>
      </c>
      <c r="F840" s="10" t="s">
        <v>690</v>
      </c>
      <c r="G840" s="10" t="s">
        <v>695</v>
      </c>
      <c r="H840" s="10" t="str" cm="1">
        <f t="array" aca="1" ref="H840" ca="1">IF(INDEX(I840:Z840,$H$1)=0,"",INDEX(I840:Z840,$H$1))</f>
        <v>Storage Tank (Produced Water, Without Vapor Control)</v>
      </c>
      <c r="I840" s="10" t="s">
        <v>3378</v>
      </c>
      <c r="J840" s="10" t="s">
        <v>1010</v>
      </c>
      <c r="K840" s="27" t="s">
        <v>1624</v>
      </c>
    </row>
    <row r="841" spans="1:11" x14ac:dyDescent="0.35">
      <c r="A841" s="10" t="s">
        <v>1283</v>
      </c>
      <c r="B841" s="255">
        <v>7</v>
      </c>
      <c r="C841" s="10" t="s">
        <v>362</v>
      </c>
      <c r="D841" s="10">
        <v>8</v>
      </c>
      <c r="E841" s="10" t="e">
        <f>ROW('Calculations - Fugitives'!#REF!)</f>
        <v>#REF!</v>
      </c>
      <c r="F841" s="10" t="s">
        <v>690</v>
      </c>
      <c r="G841" s="10" t="s">
        <v>695</v>
      </c>
      <c r="H841" s="10" t="str" cm="1">
        <f t="array" aca="1" ref="H841" ca="1">IF(INDEX(I841:Z841,$H$1)=0,"",INDEX(I841:Z841,$H$1))</f>
        <v>Storage Tank (Produced Water, With Vapor Control)</v>
      </c>
      <c r="I841" s="10" t="s">
        <v>3379</v>
      </c>
      <c r="J841" s="10" t="s">
        <v>1009</v>
      </c>
      <c r="K841" s="27" t="s">
        <v>1625</v>
      </c>
    </row>
    <row r="842" spans="1:11" x14ac:dyDescent="0.35">
      <c r="A842" s="10" t="s">
        <v>1283</v>
      </c>
      <c r="B842" s="255">
        <v>7</v>
      </c>
      <c r="C842" s="10" t="s">
        <v>362</v>
      </c>
      <c r="D842" s="10">
        <v>8</v>
      </c>
      <c r="E842" s="10">
        <v>136</v>
      </c>
      <c r="F842" s="10" t="s">
        <v>38</v>
      </c>
      <c r="G842" s="10" t="s">
        <v>767</v>
      </c>
      <c r="H842" s="10" t="str" cm="1">
        <f t="array" aca="1" ref="H842" ca="1">IF(INDEX(I842:Z842,$H$1)=0,"",INDEX(I842:Z842,$H$1))</f>
        <v>Conversion Factor</v>
      </c>
      <c r="I842" s="10" t="s">
        <v>15</v>
      </c>
      <c r="J842" s="10" t="s">
        <v>1220</v>
      </c>
      <c r="K842" s="27" t="s">
        <v>1620</v>
      </c>
    </row>
    <row r="843" spans="1:11" x14ac:dyDescent="0.35">
      <c r="A843" s="10" t="s">
        <v>1283</v>
      </c>
      <c r="B843" s="255">
        <v>7</v>
      </c>
      <c r="C843" s="10" t="s">
        <v>367</v>
      </c>
      <c r="D843" s="10">
        <v>9</v>
      </c>
      <c r="E843" s="10">
        <v>139</v>
      </c>
      <c r="F843" s="10" t="s">
        <v>690</v>
      </c>
      <c r="G843" s="10" t="s">
        <v>688</v>
      </c>
      <c r="H843" s="10" t="str" cm="1">
        <f t="array" aca="1" ref="H843" ca="1">IF(INDEX(I843:Z843,$H$1)=0,"",INDEX(I843:Z843,$H$1))</f>
        <v>Inventory of Mishaps:</v>
      </c>
      <c r="I843" s="10" t="s">
        <v>367</v>
      </c>
      <c r="J843" s="10" t="s">
        <v>1255</v>
      </c>
      <c r="K843" s="27" t="s">
        <v>1626</v>
      </c>
    </row>
    <row r="844" spans="1:11" x14ac:dyDescent="0.35">
      <c r="A844" s="10" t="s">
        <v>1283</v>
      </c>
      <c r="B844" s="255">
        <v>7</v>
      </c>
      <c r="C844" s="10" t="s">
        <v>367</v>
      </c>
      <c r="D844" s="10">
        <v>9</v>
      </c>
      <c r="E844" s="10">
        <v>141</v>
      </c>
      <c r="F844" s="10" t="s">
        <v>690</v>
      </c>
      <c r="G844" s="10" t="s">
        <v>696</v>
      </c>
      <c r="H844" s="10" t="str" cm="1">
        <f t="array" aca="1" ref="H844" ca="1">IF(INDEX(I844:Z844,$H$1)=0,"",INDEX(I844:Z844,$H$1))</f>
        <v>Emission Factor</v>
      </c>
      <c r="I844" s="10" t="s">
        <v>145</v>
      </c>
      <c r="J844" s="10" t="s">
        <v>910</v>
      </c>
      <c r="K844" s="27" t="s">
        <v>1627</v>
      </c>
    </row>
    <row r="845" spans="1:11" x14ac:dyDescent="0.35">
      <c r="A845" s="10" t="s">
        <v>1283</v>
      </c>
      <c r="B845" s="255">
        <v>7</v>
      </c>
      <c r="C845" s="10" t="s">
        <v>367</v>
      </c>
      <c r="D845" s="10">
        <v>9</v>
      </c>
      <c r="E845" s="10">
        <v>141</v>
      </c>
      <c r="F845" s="10" t="s">
        <v>38</v>
      </c>
      <c r="G845" s="10" t="s">
        <v>696</v>
      </c>
      <c r="H845" s="10" t="str" cm="1">
        <f t="array" aca="1" ref="H845" ca="1">IF(INDEX(I845:Z845,$H$1)=0,"",INDEX(I845:Z845,$H$1))</f>
        <v>Activity</v>
      </c>
      <c r="I845" s="10" t="s">
        <v>368</v>
      </c>
      <c r="J845" s="10" t="s">
        <v>949</v>
      </c>
      <c r="K845" s="27" t="s">
        <v>1599</v>
      </c>
    </row>
    <row r="846" spans="1:11" x14ac:dyDescent="0.35">
      <c r="A846" s="10" t="s">
        <v>1283</v>
      </c>
      <c r="B846" s="255">
        <v>7</v>
      </c>
      <c r="C846" s="10" t="s">
        <v>367</v>
      </c>
      <c r="D846" s="10">
        <v>9</v>
      </c>
      <c r="E846" s="10">
        <v>141</v>
      </c>
      <c r="F846" s="10" t="s">
        <v>692</v>
      </c>
      <c r="G846" s="10" t="s">
        <v>696</v>
      </c>
      <c r="H846" s="10" t="str" cm="1">
        <f t="array" aca="1" ref="H846" ca="1">IF(INDEX(I846:Z846,$H$1)=0,"",INDEX(I846:Z846,$H$1))</f>
        <v>Emissions</v>
      </c>
      <c r="I846" s="10" t="s">
        <v>360</v>
      </c>
      <c r="J846" s="10" t="s">
        <v>807</v>
      </c>
      <c r="K846" s="27" t="s">
        <v>1460</v>
      </c>
    </row>
    <row r="847" spans="1:11" ht="16.5" x14ac:dyDescent="0.35">
      <c r="A847" s="10" t="s">
        <v>1283</v>
      </c>
      <c r="B847" s="255">
        <v>7</v>
      </c>
      <c r="C847" s="10" t="s">
        <v>367</v>
      </c>
      <c r="D847" s="10">
        <v>9</v>
      </c>
      <c r="E847" s="10">
        <v>142</v>
      </c>
      <c r="F847" s="10" t="s">
        <v>690</v>
      </c>
      <c r="G847" s="10" t="s">
        <v>696</v>
      </c>
      <c r="H847" s="10" t="str" cm="1">
        <f t="array" aca="1" ref="H847" ca="1">IF(INDEX(I847:Z847,$H$1)=0,"",INDEX(I847:Z847,$H$1))</f>
        <v>(Nm3/E+06 Nm3 gas processed)</v>
      </c>
      <c r="I847" s="10" t="s">
        <v>3380</v>
      </c>
      <c r="J847" s="10" t="s">
        <v>1085</v>
      </c>
      <c r="K847" s="27" t="s">
        <v>1628</v>
      </c>
    </row>
    <row r="848" spans="1:11" ht="16.5" x14ac:dyDescent="0.35">
      <c r="A848" s="10" t="s">
        <v>1283</v>
      </c>
      <c r="B848" s="255">
        <v>7</v>
      </c>
      <c r="C848" s="10" t="s">
        <v>367</v>
      </c>
      <c r="D848" s="10">
        <v>9</v>
      </c>
      <c r="E848" s="10">
        <v>142</v>
      </c>
      <c r="F848" s="10" t="s">
        <v>38</v>
      </c>
      <c r="G848" s="10" t="s">
        <v>696</v>
      </c>
      <c r="H848" s="10" t="str" cm="1">
        <f t="array" aca="1" ref="H848" ca="1">IF(INDEX(I848:Z848,$H$1)=0,"",INDEX(I848:Z848,$H$1))</f>
        <v>(E+06 Nm3 gas processed/d)</v>
      </c>
      <c r="I848" s="10" t="s">
        <v>3374</v>
      </c>
      <c r="J848" s="10" t="s">
        <v>1199</v>
      </c>
      <c r="K848" s="27" t="s">
        <v>1629</v>
      </c>
    </row>
    <row r="849" spans="1:11" x14ac:dyDescent="0.35">
      <c r="A849" s="10" t="s">
        <v>1283</v>
      </c>
      <c r="B849" s="255">
        <v>7</v>
      </c>
      <c r="C849" s="10" t="s">
        <v>367</v>
      </c>
      <c r="D849" s="10">
        <v>9</v>
      </c>
      <c r="E849" s="10">
        <v>142</v>
      </c>
      <c r="F849" s="10" t="s">
        <v>692</v>
      </c>
      <c r="G849" s="10" t="s">
        <v>696</v>
      </c>
      <c r="H849" s="10" t="str" cm="1">
        <f t="array" aca="1" ref="H849" ca="1">IF(INDEX(I849:Z849,$H$1)=0,"",INDEX(I849:Z849,$H$1))</f>
        <v>(Nm3 CH4/d)</v>
      </c>
      <c r="I849" s="10" t="s">
        <v>874</v>
      </c>
      <c r="J849" s="10" t="s">
        <v>874</v>
      </c>
      <c r="K849" s="27" t="s">
        <v>874</v>
      </c>
    </row>
    <row r="850" spans="1:11" x14ac:dyDescent="0.35">
      <c r="A850" s="10" t="s">
        <v>1283</v>
      </c>
      <c r="B850" s="255">
        <v>7</v>
      </c>
      <c r="C850" s="10" t="s">
        <v>367</v>
      </c>
      <c r="D850" s="10">
        <v>9</v>
      </c>
      <c r="E850" s="10">
        <v>144</v>
      </c>
      <c r="F850" s="10" t="s">
        <v>38</v>
      </c>
      <c r="G850" s="10" t="s">
        <v>695</v>
      </c>
      <c r="H850" s="10" t="str" cm="1">
        <f t="array" aca="1" ref="H850" ca="1">IF(INDEX(I850:Z850,$H$1)=0,"",INDEX(I850:Z850,$H$1))</f>
        <v>Total</v>
      </c>
      <c r="I850" s="10" t="s">
        <v>257</v>
      </c>
      <c r="J850" s="10" t="s">
        <v>804</v>
      </c>
      <c r="K850" s="27" t="s">
        <v>257</v>
      </c>
    </row>
    <row r="851" spans="1:11" x14ac:dyDescent="0.35">
      <c r="A851" s="10" t="s">
        <v>1283</v>
      </c>
      <c r="B851" s="255">
        <v>7</v>
      </c>
      <c r="C851" s="10" t="s">
        <v>367</v>
      </c>
      <c r="D851" s="10">
        <v>9</v>
      </c>
      <c r="E851" s="10">
        <v>144</v>
      </c>
      <c r="F851" s="10" t="s">
        <v>693</v>
      </c>
      <c r="G851" s="10" t="s">
        <v>767</v>
      </c>
      <c r="H851" s="10" t="str" cm="1">
        <f t="array" aca="1" ref="H851" ca="1">IF(INDEX(I851:Z851,$H$1)=0,"",INDEX(I851:Z851,$H$1))</f>
        <v>Nm3 CH4/h</v>
      </c>
      <c r="I851" s="10" t="s">
        <v>869</v>
      </c>
      <c r="J851" s="10" t="s">
        <v>869</v>
      </c>
      <c r="K851" s="27" t="s">
        <v>869</v>
      </c>
    </row>
    <row r="852" spans="1:11" x14ac:dyDescent="0.35">
      <c r="A852" s="10" t="s">
        <v>1283</v>
      </c>
      <c r="B852" s="255">
        <v>7</v>
      </c>
      <c r="C852" s="10" t="s">
        <v>367</v>
      </c>
      <c r="D852" s="10">
        <v>9</v>
      </c>
      <c r="E852" s="10">
        <v>144</v>
      </c>
      <c r="F852" s="10" t="s">
        <v>693</v>
      </c>
      <c r="G852" s="10" t="s">
        <v>767</v>
      </c>
      <c r="H852" s="10" t="str" cm="1">
        <f t="array" aca="1" ref="H852" ca="1">IF(INDEX(I852:Z852,$H$1)=0,"",INDEX(I852:Z852,$H$1))</f>
        <v>Nm3 CH4/d</v>
      </c>
      <c r="I852" s="10" t="s">
        <v>872</v>
      </c>
      <c r="J852" s="10" t="s">
        <v>872</v>
      </c>
      <c r="K852" s="27" t="s">
        <v>872</v>
      </c>
    </row>
    <row r="853" spans="1:11" x14ac:dyDescent="0.35">
      <c r="A853" s="10" t="s">
        <v>1283</v>
      </c>
      <c r="B853" s="255">
        <v>7</v>
      </c>
      <c r="C853" s="10" t="s">
        <v>367</v>
      </c>
      <c r="D853" s="10">
        <v>9</v>
      </c>
      <c r="E853" s="10">
        <v>145</v>
      </c>
      <c r="F853" s="10" t="s">
        <v>693</v>
      </c>
      <c r="G853" s="10" t="s">
        <v>767</v>
      </c>
      <c r="H853" s="10" t="str" cm="1">
        <f t="array" aca="1" ref="H853" ca="1">IF(INDEX(I853:Z853,$H$1)=0,"",INDEX(I853:Z853,$H$1))</f>
        <v>Nm3 CH4/y</v>
      </c>
      <c r="I853" s="10" t="s">
        <v>870</v>
      </c>
      <c r="J853" s="10" t="s">
        <v>870</v>
      </c>
      <c r="K853" s="27" t="s">
        <v>1566</v>
      </c>
    </row>
    <row r="854" spans="1:11" x14ac:dyDescent="0.35">
      <c r="A854" s="10" t="s">
        <v>1283</v>
      </c>
      <c r="B854" s="255">
        <v>7</v>
      </c>
      <c r="C854" s="10" t="s">
        <v>367</v>
      </c>
      <c r="D854" s="10">
        <v>9</v>
      </c>
      <c r="E854" s="10">
        <v>146</v>
      </c>
      <c r="F854" s="10" t="s">
        <v>693</v>
      </c>
      <c r="G854" s="10" t="s">
        <v>767</v>
      </c>
      <c r="H854" s="10" t="str" cm="1">
        <f t="array" aca="1" ref="H854" ca="1">IF(INDEX(I854:Z854,$H$1)=0,"",INDEX(I854:Z854,$H$1))</f>
        <v>tonnes CH4/y</v>
      </c>
      <c r="I854" s="10" t="s">
        <v>314</v>
      </c>
      <c r="J854" s="10" t="s">
        <v>1072</v>
      </c>
      <c r="K854" s="27" t="s">
        <v>1568</v>
      </c>
    </row>
    <row r="855" spans="1:11" x14ac:dyDescent="0.35">
      <c r="A855" s="10" t="s">
        <v>1283</v>
      </c>
      <c r="B855" s="255">
        <v>7</v>
      </c>
      <c r="C855" s="10" t="s">
        <v>370</v>
      </c>
      <c r="D855" s="10">
        <v>10</v>
      </c>
      <c r="E855" s="10">
        <v>149</v>
      </c>
      <c r="F855" s="10" t="s">
        <v>690</v>
      </c>
      <c r="G855" s="10" t="s">
        <v>688</v>
      </c>
      <c r="H855" s="10" t="str" cm="1">
        <f t="array" aca="1" ref="H855" ca="1">IF(INDEX(I855:Z855,$H$1)=0,"",INDEX(I855:Z855,$H$1))</f>
        <v>Inventory of Wells:</v>
      </c>
      <c r="I855" s="10" t="s">
        <v>370</v>
      </c>
      <c r="J855" s="10" t="s">
        <v>1258</v>
      </c>
      <c r="K855" s="27" t="s">
        <v>1630</v>
      </c>
    </row>
    <row r="856" spans="1:11" x14ac:dyDescent="0.35">
      <c r="A856" s="10" t="s">
        <v>1283</v>
      </c>
      <c r="B856" s="255">
        <v>7</v>
      </c>
      <c r="C856" s="10" t="s">
        <v>370</v>
      </c>
      <c r="D856" s="10">
        <v>10</v>
      </c>
      <c r="E856" s="10">
        <v>151</v>
      </c>
      <c r="F856" s="10" t="s">
        <v>690</v>
      </c>
      <c r="G856" s="10" t="s">
        <v>696</v>
      </c>
      <c r="H856" s="10" t="str" cm="1">
        <f t="array" aca="1" ref="H856" ca="1">IF(INDEX(I856:Z856,$H$1)=0,"",INDEX(I856:Z856,$H$1))</f>
        <v>Type</v>
      </c>
      <c r="I856" s="10" t="s">
        <v>2</v>
      </c>
      <c r="J856" s="10" t="s">
        <v>724</v>
      </c>
      <c r="K856" s="27" t="s">
        <v>1415</v>
      </c>
    </row>
    <row r="857" spans="1:11" x14ac:dyDescent="0.35">
      <c r="A857" s="10" t="s">
        <v>1283</v>
      </c>
      <c r="B857" s="255">
        <v>7</v>
      </c>
      <c r="C857" s="10" t="s">
        <v>370</v>
      </c>
      <c r="D857" s="10">
        <v>10</v>
      </c>
      <c r="E857" s="10">
        <v>151</v>
      </c>
      <c r="F857" s="10" t="s">
        <v>38</v>
      </c>
      <c r="G857" s="10" t="s">
        <v>696</v>
      </c>
      <c r="H857" s="10" t="str" cm="1">
        <f t="array" aca="1" ref="H857" ca="1">IF(INDEX(I857:Z857,$H$1)=0,"",INDEX(I857:Z857,$H$1))</f>
        <v>Count</v>
      </c>
      <c r="I857" s="10" t="s">
        <v>336</v>
      </c>
      <c r="J857" s="10" t="s">
        <v>994</v>
      </c>
      <c r="K857" s="27" t="s">
        <v>1436</v>
      </c>
    </row>
    <row r="858" spans="1:11" x14ac:dyDescent="0.35">
      <c r="A858" s="10" t="s">
        <v>1283</v>
      </c>
      <c r="B858" s="255">
        <v>7</v>
      </c>
      <c r="C858" s="10" t="s">
        <v>370</v>
      </c>
      <c r="D858" s="10">
        <v>10</v>
      </c>
      <c r="E858" s="10">
        <v>151</v>
      </c>
      <c r="F858" s="10" t="s">
        <v>692</v>
      </c>
      <c r="G858" s="10" t="s">
        <v>696</v>
      </c>
      <c r="H858" s="10" t="str" cm="1">
        <f t="array" aca="1" ref="H858" ca="1">IF(INDEX(I858:Z858,$H$1)=0,"",INDEX(I858:Z858,$H$1))</f>
        <v>Emission Factor</v>
      </c>
      <c r="I858" s="10" t="s">
        <v>145</v>
      </c>
      <c r="J858" s="10" t="s">
        <v>910</v>
      </c>
      <c r="K858" s="27" t="s">
        <v>1583</v>
      </c>
    </row>
    <row r="859" spans="1:11" x14ac:dyDescent="0.35">
      <c r="A859" s="10" t="s">
        <v>1283</v>
      </c>
      <c r="B859" s="255">
        <v>7</v>
      </c>
      <c r="C859" s="10" t="s">
        <v>370</v>
      </c>
      <c r="D859" s="10">
        <v>10</v>
      </c>
      <c r="E859" s="10">
        <v>151</v>
      </c>
      <c r="F859" s="10" t="s">
        <v>693</v>
      </c>
      <c r="G859" s="10" t="s">
        <v>696</v>
      </c>
      <c r="H859" s="10" t="str" cm="1">
        <f t="array" aca="1" ref="H859" ca="1">IF(INDEX(I859:Z859,$H$1)=0,"",INDEX(I859:Z859,$H$1))</f>
        <v>Emissions</v>
      </c>
      <c r="I859" s="10" t="s">
        <v>360</v>
      </c>
      <c r="J859" s="10" t="s">
        <v>807</v>
      </c>
      <c r="K859" s="27" t="s">
        <v>1460</v>
      </c>
    </row>
    <row r="860" spans="1:11" x14ac:dyDescent="0.35">
      <c r="A860" s="10" t="s">
        <v>1283</v>
      </c>
      <c r="B860" s="255">
        <v>7</v>
      </c>
      <c r="C860" s="10" t="s">
        <v>370</v>
      </c>
      <c r="D860" s="10">
        <v>10</v>
      </c>
      <c r="E860" s="10">
        <v>152</v>
      </c>
      <c r="F860" s="10" t="s">
        <v>692</v>
      </c>
      <c r="G860" s="10" t="s">
        <v>696</v>
      </c>
      <c r="H860" s="10" t="str" cm="1">
        <f t="array" aca="1" ref="H860" ca="1">IF(INDEX(I860:Z860,$H$1)=0,"",INDEX(I860:Z860,$H$1))</f>
        <v>Casing Vent</v>
      </c>
      <c r="I860" s="10" t="s">
        <v>371</v>
      </c>
      <c r="J860" s="10" t="s">
        <v>1208</v>
      </c>
      <c r="K860" s="27" t="s">
        <v>1631</v>
      </c>
    </row>
    <row r="861" spans="1:11" x14ac:dyDescent="0.35">
      <c r="A861" s="10" t="s">
        <v>1283</v>
      </c>
      <c r="B861" s="255">
        <v>7</v>
      </c>
      <c r="C861" s="10" t="s">
        <v>370</v>
      </c>
      <c r="D861" s="10">
        <v>10</v>
      </c>
      <c r="E861" s="10">
        <v>152</v>
      </c>
      <c r="F861" s="10" t="s">
        <v>693</v>
      </c>
      <c r="G861" s="10" t="s">
        <v>696</v>
      </c>
      <c r="H861" s="10" t="str" cm="1">
        <f t="array" aca="1" ref="H861" ca="1">IF(INDEX(I861:Z861,$H$1)=0,"",INDEX(I861:Z861,$H$1))</f>
        <v>(Nm3/d/well)</v>
      </c>
      <c r="I861" s="10" t="s">
        <v>1088</v>
      </c>
      <c r="J861" s="10" t="s">
        <v>1088</v>
      </c>
      <c r="K861" s="10" t="s">
        <v>1088</v>
      </c>
    </row>
    <row r="862" spans="1:11" x14ac:dyDescent="0.35">
      <c r="A862" s="10" t="s">
        <v>1283</v>
      </c>
      <c r="B862" s="255">
        <v>7</v>
      </c>
      <c r="C862" s="10" t="s">
        <v>370</v>
      </c>
      <c r="D862" s="10">
        <v>10</v>
      </c>
      <c r="E862" s="10">
        <v>152</v>
      </c>
      <c r="F862" s="10" t="s">
        <v>693</v>
      </c>
      <c r="G862" s="10" t="s">
        <v>696</v>
      </c>
      <c r="H862" s="10" t="str" cm="1">
        <f t="array" aca="1" ref="H862" ca="1">IF(INDEX(I862:Z862,$H$1)=0,"",INDEX(I862:Z862,$H$1))</f>
        <v>(Nm3 CH4/d)</v>
      </c>
      <c r="I862" s="10" t="s">
        <v>874</v>
      </c>
      <c r="J862" s="10" t="s">
        <v>874</v>
      </c>
      <c r="K862" s="27" t="s">
        <v>874</v>
      </c>
    </row>
    <row r="863" spans="1:11" x14ac:dyDescent="0.35">
      <c r="A863" s="10" t="s">
        <v>1283</v>
      </c>
      <c r="B863" s="255">
        <v>7</v>
      </c>
      <c r="C863" s="10" t="s">
        <v>370</v>
      </c>
      <c r="D863" s="10">
        <v>10</v>
      </c>
      <c r="E863" s="10">
        <v>152</v>
      </c>
      <c r="F863" s="10" t="s">
        <v>694</v>
      </c>
      <c r="G863" s="10" t="s">
        <v>696</v>
      </c>
      <c r="H863" s="10" t="str" cm="1">
        <f t="array" aca="1" ref="H863" ca="1">IF(INDEX(I863:Z863,$H$1)=0,"",INDEX(I863:Z863,$H$1))</f>
        <v>(tonnes CH4/y)</v>
      </c>
      <c r="I863" s="10" t="s">
        <v>885</v>
      </c>
      <c r="J863" s="10" t="s">
        <v>1073</v>
      </c>
      <c r="K863" s="27" t="s">
        <v>1607</v>
      </c>
    </row>
    <row r="864" spans="1:11" x14ac:dyDescent="0.35">
      <c r="A864" s="10" t="s">
        <v>1283</v>
      </c>
      <c r="B864" s="255">
        <v>7</v>
      </c>
      <c r="C864" s="10" t="s">
        <v>370</v>
      </c>
      <c r="D864" s="10">
        <v>10</v>
      </c>
      <c r="E864" s="10">
        <v>153</v>
      </c>
      <c r="F864" s="10" t="s">
        <v>690</v>
      </c>
      <c r="G864" s="10" t="s">
        <v>695</v>
      </c>
      <c r="H864" s="10" t="str" cm="1">
        <f t="array" aca="1" ref="H864" ca="1">IF(INDEX(I864:Z864,$H$1)=0,"",INDEX(I864:Z864,$H$1))</f>
        <v>Well: Conventional Oil</v>
      </c>
      <c r="I864" s="18" t="s">
        <v>2427</v>
      </c>
      <c r="J864" s="18" t="s">
        <v>1023</v>
      </c>
      <c r="K864" s="27" t="s">
        <v>1632</v>
      </c>
    </row>
    <row r="865" spans="1:11" x14ac:dyDescent="0.35">
      <c r="A865" s="10" t="s">
        <v>1283</v>
      </c>
      <c r="B865" s="255">
        <v>7</v>
      </c>
      <c r="C865" s="10" t="s">
        <v>370</v>
      </c>
      <c r="D865" s="10">
        <v>10</v>
      </c>
      <c r="E865" s="10">
        <v>154</v>
      </c>
      <c r="F865" s="10" t="s">
        <v>690</v>
      </c>
      <c r="G865" s="10" t="s">
        <v>695</v>
      </c>
      <c r="H865" s="10" t="str" cm="1">
        <f t="array" aca="1" ref="H865" ca="1">IF(INDEX(I865:Z865,$H$1)=0,"",INDEX(I865:Z865,$H$1))</f>
        <v>Well: Gas</v>
      </c>
      <c r="I865" s="17" t="s">
        <v>2428</v>
      </c>
      <c r="J865" s="17" t="s">
        <v>1024</v>
      </c>
      <c r="K865" s="27" t="s">
        <v>1633</v>
      </c>
    </row>
    <row r="866" spans="1:11" x14ac:dyDescent="0.35">
      <c r="A866" s="10" t="s">
        <v>1283</v>
      </c>
      <c r="B866" s="255">
        <v>7</v>
      </c>
      <c r="C866" s="10" t="s">
        <v>370</v>
      </c>
      <c r="D866" s="10">
        <v>10</v>
      </c>
      <c r="E866" s="10">
        <v>155</v>
      </c>
      <c r="F866" s="10" t="s">
        <v>690</v>
      </c>
      <c r="G866" s="10" t="s">
        <v>695</v>
      </c>
      <c r="H866" s="10" t="str" cm="1">
        <f t="array" aca="1" ref="H866" ca="1">IF(INDEX(I866:Z866,$H$1)=0,"",INDEX(I866:Z866,$H$1))</f>
        <v>Well: Heavy Oil</v>
      </c>
      <c r="I866" s="17" t="s">
        <v>2429</v>
      </c>
      <c r="J866" s="17" t="s">
        <v>1025</v>
      </c>
      <c r="K866" s="27" t="s">
        <v>1634</v>
      </c>
    </row>
    <row r="867" spans="1:11" x14ac:dyDescent="0.35">
      <c r="A867" s="10" t="s">
        <v>1283</v>
      </c>
      <c r="B867" s="255">
        <v>7</v>
      </c>
      <c r="C867" s="10" t="s">
        <v>370</v>
      </c>
      <c r="D867" s="10">
        <v>10</v>
      </c>
      <c r="E867" s="10">
        <v>155</v>
      </c>
      <c r="F867" s="10" t="s">
        <v>690</v>
      </c>
      <c r="G867" s="10" t="s">
        <v>695</v>
      </c>
      <c r="H867" s="10" t="str" cm="1">
        <f t="array" aca="1" ref="H867" ca="1">IF(INDEX(I867:Z867,$H$1)=0,"",INDEX(I867:Z867,$H$1))</f>
        <v>Other Contributions (Measured)</v>
      </c>
      <c r="I867" s="17" t="s">
        <v>3108</v>
      </c>
      <c r="J867" s="17" t="s">
        <v>3150</v>
      </c>
      <c r="K867" s="27" t="s">
        <v>3151</v>
      </c>
    </row>
    <row r="868" spans="1:11" x14ac:dyDescent="0.35">
      <c r="A868" s="10" t="s">
        <v>1283</v>
      </c>
      <c r="B868" s="255">
        <v>7</v>
      </c>
      <c r="C868" s="10" t="s">
        <v>370</v>
      </c>
      <c r="D868" s="10">
        <v>10</v>
      </c>
      <c r="E868" s="10">
        <v>155</v>
      </c>
      <c r="F868" s="10" t="s">
        <v>690</v>
      </c>
      <c r="G868" s="10" t="s">
        <v>695</v>
      </c>
      <c r="H868" s="10" t="str" cm="1">
        <f t="array" aca="1" ref="H868" ca="1">IF(INDEX(I868:Z868,$H$1)=0,"",INDEX(I868:Z868,$H$1))</f>
        <v>Source</v>
      </c>
      <c r="I868" s="17" t="s">
        <v>4</v>
      </c>
      <c r="J868" s="17"/>
      <c r="K868" s="27"/>
    </row>
    <row r="869" spans="1:11" x14ac:dyDescent="0.35">
      <c r="A869" s="10" t="s">
        <v>1283</v>
      </c>
      <c r="B869" s="255">
        <v>7</v>
      </c>
      <c r="C869" s="10" t="s">
        <v>679</v>
      </c>
      <c r="D869" s="10">
        <v>11</v>
      </c>
      <c r="E869" s="10">
        <v>158</v>
      </c>
      <c r="F869" s="10" t="s">
        <v>690</v>
      </c>
      <c r="G869" s="10" t="s">
        <v>688</v>
      </c>
      <c r="H869" s="10" t="str" cm="1">
        <f t="array" aca="1" ref="H869" ca="1">IF(INDEX(I869:Z869,$H$1)=0,"",INDEX(I869:Z869,$H$1))</f>
        <v>Facility-Level Venting Events</v>
      </c>
      <c r="I869" s="10" t="s">
        <v>679</v>
      </c>
      <c r="J869" s="10" t="s">
        <v>1231</v>
      </c>
      <c r="K869" s="27" t="s">
        <v>1635</v>
      </c>
    </row>
    <row r="870" spans="1:11" x14ac:dyDescent="0.35">
      <c r="A870" s="10" t="s">
        <v>1283</v>
      </c>
      <c r="B870" s="255">
        <v>7</v>
      </c>
      <c r="C870" s="10" t="s">
        <v>679</v>
      </c>
      <c r="D870" s="10">
        <v>11</v>
      </c>
      <c r="E870" s="10">
        <v>160</v>
      </c>
      <c r="F870" s="10" t="s">
        <v>690</v>
      </c>
      <c r="G870" s="10" t="s">
        <v>767</v>
      </c>
      <c r="H870" s="10" t="str" cm="1">
        <f t="array" aca="1" ref="H870" ca="1">IF(INDEX(I870:Z870,$H$1)=0,"",INDEX(I870:Z870,$H$1))</f>
        <v>Not currently determined.</v>
      </c>
      <c r="I870" s="10" t="s">
        <v>681</v>
      </c>
      <c r="J870" s="10" t="s">
        <v>1267</v>
      </c>
      <c r="K870" s="27" t="s">
        <v>1636</v>
      </c>
    </row>
    <row r="871" spans="1:11" x14ac:dyDescent="0.35">
      <c r="A871" s="10" t="s">
        <v>1283</v>
      </c>
      <c r="B871" s="255">
        <v>7</v>
      </c>
      <c r="C871" s="10" t="s">
        <v>680</v>
      </c>
      <c r="D871" s="10">
        <v>12</v>
      </c>
      <c r="E871" s="10">
        <v>164</v>
      </c>
      <c r="F871" s="10"/>
      <c r="G871" s="10" t="s">
        <v>688</v>
      </c>
      <c r="H871" s="10" t="str" cm="1">
        <f t="array" aca="1" ref="H871" ca="1">IF(INDEX(I871:Z871,$H$1)=0,"",INDEX(I871:Z871,$H$1))</f>
        <v>Pipeline Related Venting Events</v>
      </c>
      <c r="I871" s="10" t="s">
        <v>680</v>
      </c>
      <c r="J871" s="10" t="s">
        <v>1272</v>
      </c>
      <c r="K871" s="27" t="s">
        <v>1637</v>
      </c>
    </row>
    <row r="872" spans="1:11" x14ac:dyDescent="0.35">
      <c r="A872" s="10" t="s">
        <v>1283</v>
      </c>
      <c r="B872" s="255">
        <v>7</v>
      </c>
      <c r="C872" s="10" t="s">
        <v>680</v>
      </c>
      <c r="D872" s="10">
        <v>12</v>
      </c>
      <c r="E872" s="10">
        <v>166</v>
      </c>
      <c r="F872" s="10"/>
      <c r="G872" s="10" t="s">
        <v>767</v>
      </c>
      <c r="H872" s="10" t="str" cm="1">
        <f t="array" aca="1" ref="H872" ca="1">IF(INDEX(I872:Z872,$H$1)=0,"",INDEX(I872:Z872,$H$1))</f>
        <v>Not currently determined.</v>
      </c>
      <c r="I872" s="10" t="s">
        <v>681</v>
      </c>
      <c r="J872" s="10" t="s">
        <v>1267</v>
      </c>
      <c r="K872" s="27" t="s">
        <v>1636</v>
      </c>
    </row>
    <row r="873" spans="1:11" x14ac:dyDescent="0.35">
      <c r="A873" s="10" t="s">
        <v>1284</v>
      </c>
      <c r="B873" s="255">
        <v>8</v>
      </c>
      <c r="C873" s="10" t="s">
        <v>130</v>
      </c>
      <c r="D873" s="10">
        <v>1</v>
      </c>
      <c r="E873" s="10">
        <v>1</v>
      </c>
      <c r="F873" s="10" t="s">
        <v>690</v>
      </c>
      <c r="G873" s="10" t="s">
        <v>666</v>
      </c>
      <c r="H873" s="10" t="str" cm="1">
        <f t="array" aca="1" ref="H873" ca="1">IF(INDEX(I873:Z873,$H$1)=0,"",INDEX(I873:Z873,$H$1))</f>
        <v>EPA UOG Emission Factors (US EPA, 1995: EPA-453/R-95-017)</v>
      </c>
      <c r="I873" s="10" t="s">
        <v>130</v>
      </c>
      <c r="J873" s="10" t="s">
        <v>898</v>
      </c>
      <c r="K873" s="27" t="s">
        <v>1638</v>
      </c>
    </row>
    <row r="874" spans="1:11" x14ac:dyDescent="0.35">
      <c r="A874" s="10" t="s">
        <v>1284</v>
      </c>
      <c r="B874" s="255">
        <v>8</v>
      </c>
      <c r="C874" s="10" t="s">
        <v>131</v>
      </c>
      <c r="D874" s="10">
        <v>1</v>
      </c>
      <c r="E874" s="10">
        <v>4</v>
      </c>
      <c r="F874" s="10" t="s">
        <v>687</v>
      </c>
      <c r="G874" s="10" t="s">
        <v>666</v>
      </c>
      <c r="H874" s="10" t="str" cm="1">
        <f t="array" aca="1" ref="H874" ca="1">IF(INDEX(I874:Z874,$H$1)=0,"",INDEX(I874:Z874,$H$1))</f>
        <v>Gas</v>
      </c>
      <c r="I874" s="10" t="s">
        <v>154</v>
      </c>
      <c r="J874" s="10" t="s">
        <v>864</v>
      </c>
      <c r="K874" s="27" t="s">
        <v>154</v>
      </c>
    </row>
    <row r="875" spans="1:11" x14ac:dyDescent="0.35">
      <c r="A875" s="10" t="s">
        <v>1284</v>
      </c>
      <c r="B875" s="255">
        <v>8</v>
      </c>
      <c r="C875" s="10" t="s">
        <v>131</v>
      </c>
      <c r="D875" s="10">
        <v>1</v>
      </c>
      <c r="E875" s="10">
        <v>5</v>
      </c>
      <c r="F875" s="10" t="s">
        <v>687</v>
      </c>
      <c r="G875" s="10" t="s">
        <v>666</v>
      </c>
      <c r="H875" s="10" t="str" cm="1">
        <f t="array" aca="1" ref="H875" ca="1">IF(INDEX(I875:Z875,$H$1)=0,"",INDEX(I875:Z875,$H$1))</f>
        <v>All</v>
      </c>
      <c r="I875" s="10" t="s">
        <v>49</v>
      </c>
      <c r="J875" s="10" t="s">
        <v>867</v>
      </c>
      <c r="K875" s="27" t="s">
        <v>1557</v>
      </c>
    </row>
    <row r="876" spans="1:11" x14ac:dyDescent="0.35">
      <c r="A876" s="10" t="s">
        <v>1284</v>
      </c>
      <c r="B876" s="255">
        <v>8</v>
      </c>
      <c r="C876" s="10" t="s">
        <v>131</v>
      </c>
      <c r="D876" s="10">
        <v>2</v>
      </c>
      <c r="E876" s="10">
        <v>2</v>
      </c>
      <c r="F876" s="10" t="s">
        <v>690</v>
      </c>
      <c r="G876" s="10" t="s">
        <v>688</v>
      </c>
      <c r="H876" s="10" t="str" cm="1">
        <f t="array" aca="1" ref="H876" ca="1">IF(INDEX(I876:Z876,$H$1)=0,"",INDEX(I876:Z876,$H$1))</f>
        <v>EPA UOG Emission Factor Base Case</v>
      </c>
      <c r="I876" s="10" t="s">
        <v>131</v>
      </c>
      <c r="J876" s="10" t="s">
        <v>1227</v>
      </c>
      <c r="K876" s="27" t="s">
        <v>1639</v>
      </c>
    </row>
    <row r="877" spans="1:11" x14ac:dyDescent="0.35">
      <c r="A877" s="10" t="s">
        <v>1284</v>
      </c>
      <c r="B877" s="255">
        <v>8</v>
      </c>
      <c r="C877" s="10" t="s">
        <v>131</v>
      </c>
      <c r="D877" s="10">
        <v>2</v>
      </c>
      <c r="E877" s="10">
        <v>3</v>
      </c>
      <c r="F877" s="10" t="s">
        <v>690</v>
      </c>
      <c r="G877" s="10" t="s">
        <v>696</v>
      </c>
      <c r="H877" s="10" t="str" cm="1">
        <f t="array" aca="1" ref="H877" ca="1">IF(INDEX(I877:Z877,$H$1)=0,"",INDEX(I877:Z877,$H$1))</f>
        <v>Equipment Component Type</v>
      </c>
      <c r="I877" s="10" t="s">
        <v>172</v>
      </c>
      <c r="J877" s="10" t="s">
        <v>1229</v>
      </c>
      <c r="K877" s="27" t="s">
        <v>1516</v>
      </c>
    </row>
    <row r="878" spans="1:11" x14ac:dyDescent="0.35">
      <c r="A878" s="10" t="s">
        <v>1284</v>
      </c>
      <c r="B878" s="255">
        <v>8</v>
      </c>
      <c r="C878" s="10" t="s">
        <v>131</v>
      </c>
      <c r="D878" s="10">
        <v>2</v>
      </c>
      <c r="E878" s="10">
        <v>3</v>
      </c>
      <c r="F878" s="10" t="s">
        <v>38</v>
      </c>
      <c r="G878" s="10" t="s">
        <v>696</v>
      </c>
      <c r="H878" s="10" t="str" cm="1">
        <f t="array" aca="1" ref="H878" ca="1">IF(INDEX(I878:Z878,$H$1)=0,"",INDEX(I878:Z878,$H$1))</f>
        <v>Service</v>
      </c>
      <c r="I878" s="10" t="s">
        <v>133</v>
      </c>
      <c r="J878" s="10" t="s">
        <v>832</v>
      </c>
      <c r="K878" s="27" t="s">
        <v>1517</v>
      </c>
    </row>
    <row r="879" spans="1:11" x14ac:dyDescent="0.35">
      <c r="A879" s="10" t="s">
        <v>1284</v>
      </c>
      <c r="B879" s="255">
        <v>8</v>
      </c>
      <c r="C879" s="10" t="s">
        <v>131</v>
      </c>
      <c r="D879" s="10">
        <v>2</v>
      </c>
      <c r="E879" s="10">
        <v>3</v>
      </c>
      <c r="F879" s="10" t="s">
        <v>692</v>
      </c>
      <c r="G879" s="10" t="s">
        <v>696</v>
      </c>
      <c r="H879" s="10" t="str" cm="1">
        <f t="array" aca="1" ref="H879" ca="1">IF(INDEX(I879:Z879,$H$1)=0,"",INDEX(I879:Z879,$H$1))</f>
        <v>US EPA UOG Emission Factors</v>
      </c>
      <c r="I879" s="10" t="s">
        <v>134</v>
      </c>
      <c r="J879" s="10" t="s">
        <v>899</v>
      </c>
      <c r="K879" s="27" t="s">
        <v>1640</v>
      </c>
    </row>
    <row r="880" spans="1:11" x14ac:dyDescent="0.35">
      <c r="A880" s="10" t="s">
        <v>1284</v>
      </c>
      <c r="B880" s="255">
        <v>8</v>
      </c>
      <c r="C880" s="10" t="s">
        <v>131</v>
      </c>
      <c r="D880" s="10">
        <v>2</v>
      </c>
      <c r="E880" s="10">
        <v>3</v>
      </c>
      <c r="F880" s="10" t="s">
        <v>591</v>
      </c>
      <c r="G880" s="10" t="s">
        <v>696</v>
      </c>
      <c r="H880" s="10" t="str" cm="1">
        <f t="array" aca="1" ref="H880" ca="1">IF(INDEX(I880:Z880,$H$1)=0,"",INDEX(I880:Z880,$H$1))</f>
        <v>Developed Average Emission Factor</v>
      </c>
      <c r="I880" s="10" t="s">
        <v>271</v>
      </c>
      <c r="J880" s="10" t="s">
        <v>1223</v>
      </c>
      <c r="K880" s="27" t="s">
        <v>1641</v>
      </c>
    </row>
    <row r="881" spans="1:11" x14ac:dyDescent="0.35">
      <c r="A881" s="10" t="s">
        <v>1284</v>
      </c>
      <c r="B881" s="255">
        <v>8</v>
      </c>
      <c r="C881" s="10" t="s">
        <v>131</v>
      </c>
      <c r="D881" s="10">
        <v>2</v>
      </c>
      <c r="E881" s="10">
        <v>4</v>
      </c>
      <c r="F881" s="10" t="s">
        <v>692</v>
      </c>
      <c r="G881" s="10" t="s">
        <v>696</v>
      </c>
      <c r="H881" s="10" t="str" cm="1">
        <f t="array" aca="1" ref="H881" ca="1">IF(INDEX(I881:Z881,$H$1)=0,"",INDEX(I881:Z881,$H$1))</f>
        <v>Implied Leak</v>
      </c>
      <c r="I881" s="10" t="s">
        <v>167</v>
      </c>
      <c r="J881" s="10" t="s">
        <v>900</v>
      </c>
      <c r="K881" s="27" t="s">
        <v>1642</v>
      </c>
    </row>
    <row r="882" spans="1:11" x14ac:dyDescent="0.35">
      <c r="A882" s="10" t="s">
        <v>1284</v>
      </c>
      <c r="B882" s="255">
        <v>8</v>
      </c>
      <c r="C882" s="10" t="s">
        <v>131</v>
      </c>
      <c r="D882" s="10">
        <v>2</v>
      </c>
      <c r="E882" s="10">
        <v>4</v>
      </c>
      <c r="F882" s="10" t="s">
        <v>693</v>
      </c>
      <c r="G882" s="10" t="s">
        <v>696</v>
      </c>
      <c r="H882" s="10" t="str" cm="1">
        <f t="array" aca="1" ref="H882" ca="1">IF(INDEX(I882:Z882,$H$1)=0,"",INDEX(I882:Z882,$H$1))</f>
        <v>Average</v>
      </c>
      <c r="I882" s="10" t="s">
        <v>135</v>
      </c>
      <c r="J882" s="10" t="s">
        <v>901</v>
      </c>
      <c r="K882" s="27" t="s">
        <v>1643</v>
      </c>
    </row>
    <row r="883" spans="1:11" x14ac:dyDescent="0.35">
      <c r="A883" s="10" t="s">
        <v>1284</v>
      </c>
      <c r="B883" s="255">
        <v>8</v>
      </c>
      <c r="C883" s="10" t="s">
        <v>131</v>
      </c>
      <c r="D883" s="10">
        <v>2</v>
      </c>
      <c r="E883" s="10">
        <v>4</v>
      </c>
      <c r="F883" s="10" t="s">
        <v>694</v>
      </c>
      <c r="G883" s="10" t="s">
        <v>696</v>
      </c>
      <c r="H883" s="10" t="str" cm="1">
        <f t="array" aca="1" ref="H883" ca="1">IF(INDEX(I883:Z883,$H$1)=0,"",INDEX(I883:Z883,$H$1))</f>
        <v>Leak</v>
      </c>
      <c r="I883" s="10" t="s">
        <v>136</v>
      </c>
      <c r="J883" s="10" t="s">
        <v>1259</v>
      </c>
      <c r="K883" s="27" t="s">
        <v>1644</v>
      </c>
    </row>
    <row r="884" spans="1:11" x14ac:dyDescent="0.35">
      <c r="A884" s="10" t="s">
        <v>1284</v>
      </c>
      <c r="B884" s="255">
        <v>8</v>
      </c>
      <c r="C884" s="10" t="s">
        <v>131</v>
      </c>
      <c r="D884" s="10">
        <v>2</v>
      </c>
      <c r="E884" s="10">
        <v>4</v>
      </c>
      <c r="F884" s="10" t="s">
        <v>711</v>
      </c>
      <c r="G884" s="10" t="s">
        <v>696</v>
      </c>
      <c r="H884" s="10" t="str" cm="1">
        <f t="array" aca="1" ref="H884" ca="1">IF(INDEX(I884:Z884,$H$1)=0,"",INDEX(I884:Z884,$H$1))</f>
        <v>No-Leak</v>
      </c>
      <c r="I884" s="10" t="s">
        <v>137</v>
      </c>
      <c r="J884" s="10" t="s">
        <v>902</v>
      </c>
      <c r="K884" s="27" t="s">
        <v>1645</v>
      </c>
    </row>
    <row r="885" spans="1:11" x14ac:dyDescent="0.35">
      <c r="A885" s="10" t="s">
        <v>1284</v>
      </c>
      <c r="B885" s="255">
        <v>8</v>
      </c>
      <c r="C885" s="10" t="s">
        <v>131</v>
      </c>
      <c r="D885" s="10">
        <v>2</v>
      </c>
      <c r="E885" s="10">
        <v>4</v>
      </c>
      <c r="F885" s="10" t="s">
        <v>591</v>
      </c>
      <c r="G885" s="10" t="s">
        <v>696</v>
      </c>
      <c r="H885" s="10" t="str" cm="1">
        <f t="array" aca="1" ref="H885" ca="1">IF(INDEX(I885:Z885,$H$1)=0,"",INDEX(I885:Z885,$H$1))</f>
        <v xml:space="preserve">Leak </v>
      </c>
      <c r="I885" s="10" t="s">
        <v>138</v>
      </c>
      <c r="J885" s="10" t="s">
        <v>1259</v>
      </c>
      <c r="K885" s="27" t="s">
        <v>1644</v>
      </c>
    </row>
    <row r="886" spans="1:11" x14ac:dyDescent="0.35">
      <c r="A886" s="10" t="s">
        <v>1284</v>
      </c>
      <c r="B886" s="255">
        <v>8</v>
      </c>
      <c r="C886" s="10" t="s">
        <v>131</v>
      </c>
      <c r="D886" s="10">
        <v>2</v>
      </c>
      <c r="E886" s="10">
        <v>4</v>
      </c>
      <c r="F886" s="10" t="s">
        <v>712</v>
      </c>
      <c r="G886" s="10" t="s">
        <v>696</v>
      </c>
      <c r="H886" s="10" t="str" cm="1">
        <f t="array" aca="1" ref="H886" ca="1">IF(INDEX(I886:Z886,$H$1)=0,"",INDEX(I886:Z886,$H$1))</f>
        <v>Uncontrolled</v>
      </c>
      <c r="I886" s="10" t="s">
        <v>139</v>
      </c>
      <c r="J886" s="10" t="s">
        <v>903</v>
      </c>
      <c r="K886" s="27" t="s">
        <v>1646</v>
      </c>
    </row>
    <row r="887" spans="1:11" x14ac:dyDescent="0.35">
      <c r="A887" s="10" t="s">
        <v>1284</v>
      </c>
      <c r="B887" s="255">
        <v>8</v>
      </c>
      <c r="C887" s="10" t="s">
        <v>131</v>
      </c>
      <c r="D887" s="10">
        <v>2</v>
      </c>
      <c r="E887" s="10">
        <v>4</v>
      </c>
      <c r="F887" s="10" t="s">
        <v>713</v>
      </c>
      <c r="G887" s="10" t="s">
        <v>696</v>
      </c>
      <c r="H887" s="10" t="str" cm="1">
        <f t="array" aca="1" ref="H887" ca="1">IF(INDEX(I887:Z887,$H$1)=0,"",INDEX(I887:Z887,$H$1))</f>
        <v>Control</v>
      </c>
      <c r="I887" s="10" t="s">
        <v>140</v>
      </c>
      <c r="J887" s="10" t="s">
        <v>904</v>
      </c>
      <c r="K887" s="27" t="s">
        <v>140</v>
      </c>
    </row>
    <row r="888" spans="1:11" x14ac:dyDescent="0.35">
      <c r="A888" s="10" t="s">
        <v>1284</v>
      </c>
      <c r="B888" s="255">
        <v>8</v>
      </c>
      <c r="C888" s="10" t="s">
        <v>131</v>
      </c>
      <c r="D888" s="10">
        <v>2</v>
      </c>
      <c r="E888" s="10">
        <v>4</v>
      </c>
      <c r="F888" s="10" t="s">
        <v>772</v>
      </c>
      <c r="G888" s="10" t="s">
        <v>696</v>
      </c>
      <c r="H888" s="10" t="str" cm="1">
        <f t="array" aca="1" ref="H888" ca="1">IF(INDEX(I888:Z888,$H$1)=0,"",INDEX(I888:Z888,$H$1))</f>
        <v>Controlled</v>
      </c>
      <c r="I888" s="10" t="s">
        <v>141</v>
      </c>
      <c r="J888" s="10" t="s">
        <v>905</v>
      </c>
      <c r="K888" s="27" t="s">
        <v>1647</v>
      </c>
    </row>
    <row r="889" spans="1:11" x14ac:dyDescent="0.35">
      <c r="A889" s="10" t="s">
        <v>1284</v>
      </c>
      <c r="B889" s="255">
        <v>8</v>
      </c>
      <c r="C889" s="10" t="s">
        <v>131</v>
      </c>
      <c r="D889" s="10">
        <v>2</v>
      </c>
      <c r="E889" s="10">
        <v>4</v>
      </c>
      <c r="F889" s="10" t="s">
        <v>772</v>
      </c>
      <c r="G889" s="10" t="s">
        <v>696</v>
      </c>
      <c r="H889" s="10" t="str" cm="1">
        <f t="array" aca="1" ref="H889" ca="1">IF(INDEX(I889:Z889,$H$1)=0,"",INDEX(I889:Z889,$H$1))</f>
        <v>Applied Leak</v>
      </c>
      <c r="I889" s="10" t="s">
        <v>2328</v>
      </c>
      <c r="J889" s="10" t="s">
        <v>2366</v>
      </c>
      <c r="K889" s="27" t="s">
        <v>2367</v>
      </c>
    </row>
    <row r="890" spans="1:11" x14ac:dyDescent="0.35">
      <c r="A890" s="10" t="s">
        <v>1284</v>
      </c>
      <c r="B890" s="255">
        <v>8</v>
      </c>
      <c r="C890" s="10" t="s">
        <v>131</v>
      </c>
      <c r="D890" s="10">
        <v>2</v>
      </c>
      <c r="E890" s="10">
        <v>4</v>
      </c>
      <c r="F890" s="10" t="s">
        <v>772</v>
      </c>
      <c r="G890" s="10" t="s">
        <v>696</v>
      </c>
      <c r="H890" s="10" t="str" cm="1">
        <f t="array" aca="1" ref="H890" ca="1">IF(INDEX(I890:Z890,$H$1)=0,"",INDEX(I890:Z890,$H$1))</f>
        <v>Actual Leak</v>
      </c>
      <c r="I890" s="10" t="s">
        <v>2327</v>
      </c>
      <c r="J890" s="10" t="s">
        <v>2368</v>
      </c>
      <c r="K890" s="27" t="s">
        <v>2369</v>
      </c>
    </row>
    <row r="891" spans="1:11" x14ac:dyDescent="0.35">
      <c r="A891" s="10" t="s">
        <v>1284</v>
      </c>
      <c r="B891" s="255">
        <v>8</v>
      </c>
      <c r="C891" s="10" t="s">
        <v>131</v>
      </c>
      <c r="D891" s="10">
        <v>2</v>
      </c>
      <c r="E891" s="10">
        <v>4</v>
      </c>
      <c r="F891" s="10" t="s">
        <v>594</v>
      </c>
      <c r="G891" s="10" t="s">
        <v>696</v>
      </c>
      <c r="H891" s="10" t="str" cm="1">
        <f t="array" aca="1" ref="H891" ca="1">IF(INDEX(I891:Z891,$H$1)=0,"",INDEX(I891:Z891,$H$1))</f>
        <v xml:space="preserve">Specified Leak </v>
      </c>
      <c r="I891" s="10" t="s">
        <v>142</v>
      </c>
      <c r="J891" s="10" t="s">
        <v>906</v>
      </c>
      <c r="K891" s="27" t="s">
        <v>1648</v>
      </c>
    </row>
    <row r="892" spans="1:11" x14ac:dyDescent="0.35">
      <c r="A892" s="10" t="s">
        <v>1284</v>
      </c>
      <c r="B892" s="255">
        <v>8</v>
      </c>
      <c r="C892" s="10" t="s">
        <v>131</v>
      </c>
      <c r="D892" s="10">
        <v>2</v>
      </c>
      <c r="E892" s="10">
        <v>4</v>
      </c>
      <c r="F892" s="10" t="s">
        <v>775</v>
      </c>
      <c r="G892" s="10" t="s">
        <v>696</v>
      </c>
      <c r="H892" s="10" t="str" cm="1">
        <f t="array" aca="1" ref="H892" ca="1">IF(INDEX(I892:Z892,$H$1)=0,"",INDEX(I892:Z892,$H$1))</f>
        <v xml:space="preserve">Equipment Modification </v>
      </c>
      <c r="I892" s="10" t="s">
        <v>171</v>
      </c>
      <c r="J892" s="10" t="s">
        <v>907</v>
      </c>
      <c r="K892" s="27" t="s">
        <v>1649</v>
      </c>
    </row>
    <row r="893" spans="1:11" x14ac:dyDescent="0.35">
      <c r="A893" s="10" t="s">
        <v>1284</v>
      </c>
      <c r="B893" s="255">
        <v>8</v>
      </c>
      <c r="C893" s="10" t="s">
        <v>131</v>
      </c>
      <c r="D893" s="10">
        <v>2</v>
      </c>
      <c r="E893" s="10">
        <v>5</v>
      </c>
      <c r="F893" s="10" t="s">
        <v>692</v>
      </c>
      <c r="G893" s="10" t="s">
        <v>696</v>
      </c>
      <c r="H893" s="10" t="str" cm="1">
        <f t="array" aca="1" ref="H893" ca="1">IF(INDEX(I893:Z893,$H$1)=0,"",INDEX(I893:Z893,$H$1))</f>
        <v>Frequency</v>
      </c>
      <c r="I893" s="10" t="s">
        <v>143</v>
      </c>
      <c r="J893" s="10" t="s">
        <v>908</v>
      </c>
      <c r="K893" s="27" t="s">
        <v>1650</v>
      </c>
    </row>
    <row r="894" spans="1:11" x14ac:dyDescent="0.35">
      <c r="A894" s="10" t="s">
        <v>1284</v>
      </c>
      <c r="B894" s="255">
        <v>8</v>
      </c>
      <c r="C894" s="10" t="s">
        <v>131</v>
      </c>
      <c r="D894" s="10">
        <v>2</v>
      </c>
      <c r="E894" s="10">
        <v>5</v>
      </c>
      <c r="F894" s="10" t="s">
        <v>693</v>
      </c>
      <c r="G894" s="10" t="s">
        <v>696</v>
      </c>
      <c r="H894" s="10" t="str" cm="1">
        <f t="array" aca="1" ref="H894" ca="1">IF(INDEX(I894:Z894,$H$1)=0,"",INDEX(I894:Z894,$H$1))</f>
        <v>(kg/h/source)</v>
      </c>
      <c r="I894" s="10" t="s">
        <v>144</v>
      </c>
      <c r="J894" s="10" t="s">
        <v>909</v>
      </c>
      <c r="K894" s="27" t="s">
        <v>1651</v>
      </c>
    </row>
    <row r="895" spans="1:11" x14ac:dyDescent="0.35">
      <c r="A895" s="10" t="s">
        <v>1284</v>
      </c>
      <c r="B895" s="255">
        <v>8</v>
      </c>
      <c r="C895" s="10" t="s">
        <v>131</v>
      </c>
      <c r="D895" s="10">
        <v>2</v>
      </c>
      <c r="E895" s="10">
        <v>5</v>
      </c>
      <c r="F895" s="10" t="s">
        <v>694</v>
      </c>
      <c r="G895" s="10" t="s">
        <v>696</v>
      </c>
      <c r="H895" s="10" t="str" cm="1">
        <f t="array" aca="1" ref="H895" ca="1">IF(INDEX(I895:Z895,$H$1)=0,"",INDEX(I895:Z895,$H$1))</f>
        <v>(kg/h/source)</v>
      </c>
      <c r="I895" s="10" t="s">
        <v>144</v>
      </c>
      <c r="J895" s="10" t="s">
        <v>909</v>
      </c>
      <c r="K895" s="27" t="s">
        <v>1651</v>
      </c>
    </row>
    <row r="896" spans="1:11" x14ac:dyDescent="0.35">
      <c r="A896" s="10" t="s">
        <v>1284</v>
      </c>
      <c r="B896" s="255">
        <v>8</v>
      </c>
      <c r="C896" s="10" t="s">
        <v>131</v>
      </c>
      <c r="D896" s="10">
        <v>2</v>
      </c>
      <c r="E896" s="10">
        <v>5</v>
      </c>
      <c r="F896" s="10" t="s">
        <v>711</v>
      </c>
      <c r="G896" s="10" t="s">
        <v>696</v>
      </c>
      <c r="H896" s="10" t="str" cm="1">
        <f t="array" aca="1" ref="H896" ca="1">IF(INDEX(I896:Z896,$H$1)=0,"",INDEX(I896:Z896,$H$1))</f>
        <v>(kg/h/source)</v>
      </c>
      <c r="I896" s="10" t="s">
        <v>144</v>
      </c>
      <c r="J896" s="10" t="s">
        <v>909</v>
      </c>
      <c r="K896" s="27" t="s">
        <v>1651</v>
      </c>
    </row>
    <row r="897" spans="1:11" x14ac:dyDescent="0.35">
      <c r="A897" s="10" t="s">
        <v>1284</v>
      </c>
      <c r="B897" s="255">
        <v>8</v>
      </c>
      <c r="C897" s="10" t="s">
        <v>131</v>
      </c>
      <c r="D897" s="10">
        <v>2</v>
      </c>
      <c r="E897" s="10">
        <v>5</v>
      </c>
      <c r="F897" s="10" t="s">
        <v>591</v>
      </c>
      <c r="G897" s="10" t="s">
        <v>696</v>
      </c>
      <c r="H897" s="10" t="str" cm="1">
        <f t="array" aca="1" ref="H897" ca="1">IF(INDEX(I897:Z897,$H$1)=0,"",INDEX(I897:Z897,$H$1))</f>
        <v>Frequency</v>
      </c>
      <c r="I897" s="10" t="s">
        <v>143</v>
      </c>
      <c r="J897" s="10" t="s">
        <v>908</v>
      </c>
      <c r="K897" s="27" t="s">
        <v>1650</v>
      </c>
    </row>
    <row r="898" spans="1:11" x14ac:dyDescent="0.35">
      <c r="A898" s="10" t="s">
        <v>1284</v>
      </c>
      <c r="B898" s="255">
        <v>8</v>
      </c>
      <c r="C898" s="10" t="s">
        <v>131</v>
      </c>
      <c r="D898" s="10">
        <v>2</v>
      </c>
      <c r="E898" s="10">
        <v>5</v>
      </c>
      <c r="F898" s="10" t="s">
        <v>712</v>
      </c>
      <c r="G898" s="10" t="s">
        <v>696</v>
      </c>
      <c r="H898" s="10" t="str" cm="1">
        <f t="array" aca="1" ref="H898" ca="1">IF(INDEX(I898:Z898,$H$1)=0,"",INDEX(I898:Z898,$H$1))</f>
        <v>Emission Factor</v>
      </c>
      <c r="I898" s="10" t="s">
        <v>145</v>
      </c>
      <c r="J898" s="10" t="s">
        <v>910</v>
      </c>
      <c r="K898" s="27" t="s">
        <v>1583</v>
      </c>
    </row>
    <row r="899" spans="1:11" x14ac:dyDescent="0.35">
      <c r="A899" s="10" t="s">
        <v>1284</v>
      </c>
      <c r="B899" s="255">
        <v>8</v>
      </c>
      <c r="C899" s="10" t="s">
        <v>131</v>
      </c>
      <c r="D899" s="10">
        <v>2</v>
      </c>
      <c r="E899" s="10">
        <v>5</v>
      </c>
      <c r="F899" s="10" t="s">
        <v>713</v>
      </c>
      <c r="G899" s="10" t="s">
        <v>696</v>
      </c>
      <c r="H899" s="10" t="str" cm="1">
        <f t="array" aca="1" ref="H899" ca="1">IF(INDEX(I899:Z899,$H$1)=0,"",INDEX(I899:Z899,$H$1))</f>
        <v>Adjustment</v>
      </c>
      <c r="I899" s="10" t="s">
        <v>334</v>
      </c>
      <c r="J899" s="10" t="s">
        <v>911</v>
      </c>
      <c r="K899" s="27" t="s">
        <v>1652</v>
      </c>
    </row>
    <row r="900" spans="1:11" x14ac:dyDescent="0.35">
      <c r="A900" s="10" t="s">
        <v>1284</v>
      </c>
      <c r="B900" s="255">
        <v>8</v>
      </c>
      <c r="C900" s="10" t="s">
        <v>131</v>
      </c>
      <c r="D900" s="10">
        <v>2</v>
      </c>
      <c r="E900" s="10">
        <v>5</v>
      </c>
      <c r="F900" s="10" t="s">
        <v>772</v>
      </c>
      <c r="G900" s="10" t="s">
        <v>696</v>
      </c>
      <c r="H900" s="10" t="str" cm="1">
        <f t="array" aca="1" ref="H900" ca="1">IF(INDEX(I900:Z900,$H$1)=0,"",INDEX(I900:Z900,$H$1))</f>
        <v>Emission Factor</v>
      </c>
      <c r="I900" s="10" t="s">
        <v>145</v>
      </c>
      <c r="J900" s="10" t="s">
        <v>910</v>
      </c>
      <c r="K900" s="27" t="s">
        <v>1583</v>
      </c>
    </row>
    <row r="901" spans="1:11" x14ac:dyDescent="0.35">
      <c r="A901" s="10" t="s">
        <v>1284</v>
      </c>
      <c r="B901" s="255">
        <v>8</v>
      </c>
      <c r="C901" s="10" t="s">
        <v>131</v>
      </c>
      <c r="D901" s="10">
        <v>2</v>
      </c>
      <c r="E901" s="10">
        <v>5</v>
      </c>
      <c r="F901" s="10" t="s">
        <v>594</v>
      </c>
      <c r="G901" s="10" t="s">
        <v>696</v>
      </c>
      <c r="H901" s="10" t="str" cm="1">
        <f t="array" aca="1" ref="H901" ca="1">IF(INDEX(I901:Z901,$H$1)=0,"",INDEX(I901:Z901,$H$1))</f>
        <v>Frequency</v>
      </c>
      <c r="I901" s="10" t="s">
        <v>143</v>
      </c>
      <c r="J901" s="10" t="s">
        <v>908</v>
      </c>
      <c r="K901" s="27" t="s">
        <v>1650</v>
      </c>
    </row>
    <row r="902" spans="1:11" x14ac:dyDescent="0.35">
      <c r="A902" s="10" t="s">
        <v>1284</v>
      </c>
      <c r="B902" s="255">
        <v>8</v>
      </c>
      <c r="C902" s="10" t="s">
        <v>131</v>
      </c>
      <c r="D902" s="10">
        <v>2</v>
      </c>
      <c r="E902" s="10">
        <v>5</v>
      </c>
      <c r="F902" s="10" t="s">
        <v>775</v>
      </c>
      <c r="G902" s="10" t="s">
        <v>696</v>
      </c>
      <c r="H902" s="10" t="str" cm="1">
        <f t="array" aca="1" ref="H902" ca="1">IF(INDEX(I902:Z902,$H$1)=0,"",INDEX(I902:Z902,$H$1))</f>
        <v>Modification</v>
      </c>
      <c r="I902" s="10" t="s">
        <v>168</v>
      </c>
      <c r="J902" s="10" t="s">
        <v>912</v>
      </c>
      <c r="K902" s="27" t="s">
        <v>1653</v>
      </c>
    </row>
    <row r="903" spans="1:11" x14ac:dyDescent="0.35">
      <c r="A903" s="10" t="s">
        <v>1284</v>
      </c>
      <c r="B903" s="255">
        <v>8</v>
      </c>
      <c r="C903" s="10" t="s">
        <v>131</v>
      </c>
      <c r="D903" s="10">
        <v>2</v>
      </c>
      <c r="E903" s="10">
        <v>5</v>
      </c>
      <c r="F903" s="10" t="s">
        <v>777</v>
      </c>
      <c r="G903" s="10" t="s">
        <v>696</v>
      </c>
      <c r="H903" s="10" t="str" cm="1">
        <f t="array" aca="1" ref="H903" ca="1">IF(INDEX(I903:Z903,$H$1)=0,"",INDEX(I903:Z903,$H$1))</f>
        <v xml:space="preserve">Percent of </v>
      </c>
      <c r="I903" s="10" t="s">
        <v>169</v>
      </c>
      <c r="J903" s="10" t="s">
        <v>913</v>
      </c>
      <c r="K903" s="27" t="s">
        <v>1654</v>
      </c>
    </row>
    <row r="904" spans="1:11" x14ac:dyDescent="0.35">
      <c r="A904" s="10" t="s">
        <v>1284</v>
      </c>
      <c r="B904" s="255">
        <v>8</v>
      </c>
      <c r="C904" s="10" t="s">
        <v>131</v>
      </c>
      <c r="D904" s="10">
        <v>2</v>
      </c>
      <c r="E904" s="10">
        <v>5</v>
      </c>
      <c r="F904" s="10" t="s">
        <v>718</v>
      </c>
      <c r="G904" s="10" t="s">
        <v>696</v>
      </c>
      <c r="H904" s="10" t="str" cm="1">
        <f t="array" aca="1" ref="H904" ca="1">IF(INDEX(I904:Z904,$H$1)=0,"",INDEX(I904:Z904,$H$1))</f>
        <v>Control Factor</v>
      </c>
      <c r="I904" s="10" t="s">
        <v>170</v>
      </c>
      <c r="J904" s="10" t="s">
        <v>914</v>
      </c>
      <c r="K904" s="27" t="s">
        <v>1655</v>
      </c>
    </row>
    <row r="905" spans="1:11" x14ac:dyDescent="0.35">
      <c r="A905" s="10" t="s">
        <v>1284</v>
      </c>
      <c r="B905" s="255">
        <v>8</v>
      </c>
      <c r="C905" s="10" t="s">
        <v>131</v>
      </c>
      <c r="D905" s="10">
        <v>2</v>
      </c>
      <c r="E905" s="10">
        <v>6</v>
      </c>
      <c r="F905" s="10" t="s">
        <v>692</v>
      </c>
      <c r="G905" s="10" t="s">
        <v>696</v>
      </c>
      <c r="H905" s="10" t="str" cm="1">
        <f t="array" aca="1" ref="H905" ca="1">IF(INDEX(I905:Z905,$H$1)=0,"",INDEX(I905:Z905,$H$1))</f>
        <v>(%)</v>
      </c>
      <c r="I905" s="10" t="s">
        <v>146</v>
      </c>
      <c r="J905" s="10" t="s">
        <v>146</v>
      </c>
      <c r="K905" s="27" t="s">
        <v>146</v>
      </c>
    </row>
    <row r="906" spans="1:11" x14ac:dyDescent="0.35">
      <c r="A906" s="10" t="s">
        <v>1284</v>
      </c>
      <c r="B906" s="255">
        <v>8</v>
      </c>
      <c r="C906" s="10" t="s">
        <v>131</v>
      </c>
      <c r="D906" s="10">
        <v>2</v>
      </c>
      <c r="E906" s="10">
        <v>6</v>
      </c>
      <c r="F906" s="10" t="s">
        <v>591</v>
      </c>
      <c r="G906" s="10" t="s">
        <v>696</v>
      </c>
      <c r="H906" s="10" t="str" cm="1">
        <f t="array" aca="1" ref="H906" ca="1">IF(INDEX(I906:Z906,$H$1)=0,"",INDEX(I906:Z906,$H$1))</f>
        <v>(%)</v>
      </c>
      <c r="I906" s="10" t="s">
        <v>146</v>
      </c>
      <c r="J906" s="10" t="s">
        <v>146</v>
      </c>
      <c r="K906" s="27" t="s">
        <v>146</v>
      </c>
    </row>
    <row r="907" spans="1:11" x14ac:dyDescent="0.35">
      <c r="A907" s="10" t="s">
        <v>1284</v>
      </c>
      <c r="B907" s="255">
        <v>8</v>
      </c>
      <c r="C907" s="10" t="s">
        <v>131</v>
      </c>
      <c r="D907" s="10">
        <v>2</v>
      </c>
      <c r="E907" s="10">
        <v>6</v>
      </c>
      <c r="F907" s="10" t="s">
        <v>712</v>
      </c>
      <c r="G907" s="10" t="s">
        <v>696</v>
      </c>
      <c r="H907" s="10" t="str" cm="1">
        <f t="array" aca="1" ref="H907" ca="1">IF(INDEX(I907:Z907,$H$1)=0,"",INDEX(I907:Z907,$H$1))</f>
        <v>(kg/h/source)</v>
      </c>
      <c r="I907" s="10" t="s">
        <v>144</v>
      </c>
      <c r="J907" s="10" t="s">
        <v>909</v>
      </c>
      <c r="K907" s="27" t="s">
        <v>1651</v>
      </c>
    </row>
    <row r="908" spans="1:11" x14ac:dyDescent="0.35">
      <c r="A908" s="10" t="s">
        <v>1284</v>
      </c>
      <c r="B908" s="255">
        <v>8</v>
      </c>
      <c r="C908" s="10" t="s">
        <v>131</v>
      </c>
      <c r="D908" s="10">
        <v>2</v>
      </c>
      <c r="E908" s="10">
        <v>6</v>
      </c>
      <c r="F908" s="10" t="s">
        <v>713</v>
      </c>
      <c r="G908" s="10" t="s">
        <v>696</v>
      </c>
      <c r="H908" s="10" t="str" cm="1">
        <f t="array" aca="1" ref="H908" ca="1">IF(INDEX(I908:Z908,$H$1)=0,"",INDEX(I908:Z908,$H$1))</f>
        <v>(%)</v>
      </c>
      <c r="I908" s="10" t="s">
        <v>146</v>
      </c>
      <c r="J908" s="10" t="s">
        <v>146</v>
      </c>
      <c r="K908" s="27" t="s">
        <v>146</v>
      </c>
    </row>
    <row r="909" spans="1:11" x14ac:dyDescent="0.35">
      <c r="A909" s="10" t="s">
        <v>1284</v>
      </c>
      <c r="B909" s="255">
        <v>8</v>
      </c>
      <c r="C909" s="10" t="s">
        <v>131</v>
      </c>
      <c r="D909" s="10">
        <v>2</v>
      </c>
      <c r="E909" s="10">
        <v>6</v>
      </c>
      <c r="F909" s="10" t="s">
        <v>772</v>
      </c>
      <c r="G909" s="10" t="s">
        <v>696</v>
      </c>
      <c r="H909" s="10" t="str" cm="1">
        <f t="array" aca="1" ref="H909" ca="1">IF(INDEX(I909:Z909,$H$1)=0,"",INDEX(I909:Z909,$H$1))</f>
        <v>(kg/h/source)</v>
      </c>
      <c r="I909" s="10" t="s">
        <v>144</v>
      </c>
      <c r="J909" s="10" t="s">
        <v>909</v>
      </c>
      <c r="K909" s="27" t="s">
        <v>1651</v>
      </c>
    </row>
    <row r="910" spans="1:11" x14ac:dyDescent="0.35">
      <c r="A910" s="10" t="s">
        <v>1284</v>
      </c>
      <c r="B910" s="255">
        <v>8</v>
      </c>
      <c r="C910" s="10" t="s">
        <v>131</v>
      </c>
      <c r="D910" s="10">
        <v>2</v>
      </c>
      <c r="E910" s="10">
        <v>6</v>
      </c>
      <c r="F910" s="10" t="s">
        <v>773</v>
      </c>
      <c r="G910" s="10" t="s">
        <v>696</v>
      </c>
      <c r="H910" s="10" t="str" cm="1">
        <f t="array" aca="1" ref="H910" ca="1">IF(INDEX(I910:Z910,$H$1)=0,"",INDEX(I910:Z910,$H$1))</f>
        <v>(Nm3/h/source)</v>
      </c>
      <c r="I910" s="10" t="s">
        <v>896</v>
      </c>
      <c r="J910" s="10" t="s">
        <v>915</v>
      </c>
      <c r="K910" s="27" t="s">
        <v>1656</v>
      </c>
    </row>
    <row r="911" spans="1:11" x14ac:dyDescent="0.35">
      <c r="A911" s="10" t="s">
        <v>1284</v>
      </c>
      <c r="B911" s="255">
        <v>8</v>
      </c>
      <c r="C911" s="10" t="s">
        <v>131</v>
      </c>
      <c r="D911" s="10">
        <v>2</v>
      </c>
      <c r="E911" s="10">
        <v>6</v>
      </c>
      <c r="F911" s="10" t="s">
        <v>771</v>
      </c>
      <c r="G911" s="10" t="s">
        <v>696</v>
      </c>
      <c r="H911" s="10" t="str" cm="1">
        <f t="array" aca="1" ref="H911" ca="1">IF(INDEX(I911:Z911,$H$1)=0,"",INDEX(I911:Z911,$H$1))</f>
        <v>(Nm3 CH4/h/source)</v>
      </c>
      <c r="I911" s="10" t="s">
        <v>897</v>
      </c>
      <c r="J911" s="10" t="s">
        <v>916</v>
      </c>
      <c r="K911" s="27" t="s">
        <v>1657</v>
      </c>
    </row>
    <row r="912" spans="1:11" x14ac:dyDescent="0.35">
      <c r="A912" s="10" t="s">
        <v>1284</v>
      </c>
      <c r="B912" s="255">
        <v>8</v>
      </c>
      <c r="C912" s="10" t="s">
        <v>131</v>
      </c>
      <c r="D912" s="10">
        <v>2</v>
      </c>
      <c r="E912" s="10">
        <v>6</v>
      </c>
      <c r="F912" s="10" t="s">
        <v>594</v>
      </c>
      <c r="G912" s="10" t="s">
        <v>696</v>
      </c>
      <c r="H912" s="10" t="str" cm="1">
        <f t="array" aca="1" ref="H912" ca="1">IF(INDEX(I912:Z912,$H$1)=0,"",INDEX(I912:Z912,$H$1))</f>
        <v>(%)</v>
      </c>
      <c r="I912" s="10" t="s">
        <v>146</v>
      </c>
      <c r="J912" s="10" t="s">
        <v>146</v>
      </c>
      <c r="K912" s="27" t="s">
        <v>146</v>
      </c>
    </row>
    <row r="913" spans="1:11" x14ac:dyDescent="0.35">
      <c r="A913" s="10" t="s">
        <v>1284</v>
      </c>
      <c r="B913" s="255">
        <v>8</v>
      </c>
      <c r="C913" s="10" t="s">
        <v>131</v>
      </c>
      <c r="D913" s="10">
        <v>2</v>
      </c>
      <c r="E913" s="10">
        <v>6</v>
      </c>
      <c r="F913" s="10" t="s">
        <v>777</v>
      </c>
      <c r="G913" s="10" t="s">
        <v>696</v>
      </c>
      <c r="H913" s="10" t="str" cm="1">
        <f t="array" aca="1" ref="H913" ca="1">IF(INDEX(I913:Z913,$H$1)=0,"",INDEX(I913:Z913,$H$1))</f>
        <v>Components Controlled</v>
      </c>
      <c r="I913" s="10" t="s">
        <v>183</v>
      </c>
      <c r="J913" s="10" t="s">
        <v>1210</v>
      </c>
      <c r="K913" s="27" t="s">
        <v>1658</v>
      </c>
    </row>
    <row r="914" spans="1:11" x14ac:dyDescent="0.35">
      <c r="A914" s="10" t="s">
        <v>1284</v>
      </c>
      <c r="B914" s="255">
        <v>8</v>
      </c>
      <c r="C914" s="10" t="s">
        <v>131</v>
      </c>
      <c r="D914" s="10">
        <v>2</v>
      </c>
      <c r="E914" s="10">
        <v>6</v>
      </c>
      <c r="F914" s="10" t="s">
        <v>718</v>
      </c>
      <c r="G914" s="10" t="s">
        <v>696</v>
      </c>
      <c r="H914" s="10" t="str" cm="1">
        <f t="array" aca="1" ref="H914" ca="1">IF(INDEX(I914:Z914,$H$1)=0,"",INDEX(I914:Z914,$H$1))</f>
        <v>(%)</v>
      </c>
      <c r="I914" s="10" t="s">
        <v>146</v>
      </c>
      <c r="J914" s="10" t="s">
        <v>146</v>
      </c>
      <c r="K914" s="27" t="s">
        <v>146</v>
      </c>
    </row>
    <row r="915" spans="1:11" x14ac:dyDescent="0.35">
      <c r="A915" s="10" t="s">
        <v>1284</v>
      </c>
      <c r="B915" s="255">
        <v>8</v>
      </c>
      <c r="C915" s="10" t="s">
        <v>131</v>
      </c>
      <c r="D915" s="10">
        <v>2</v>
      </c>
      <c r="E915" s="10">
        <v>7</v>
      </c>
      <c r="F915" s="10" t="s">
        <v>692</v>
      </c>
      <c r="G915" s="10" t="s">
        <v>696</v>
      </c>
      <c r="H915" s="10" t="str" cm="1">
        <f t="array" aca="1" ref="H915" ca="1">IF(INDEX(I915:Z915,$H$1)=0,"",INDEX(I915:Z915,$H$1))</f>
        <v>Calculated (use as default)</v>
      </c>
      <c r="I915" s="10" t="s">
        <v>147</v>
      </c>
      <c r="J915" s="10" t="s">
        <v>917</v>
      </c>
      <c r="K915" s="27" t="s">
        <v>1659</v>
      </c>
    </row>
    <row r="916" spans="1:11" x14ac:dyDescent="0.35">
      <c r="A916" s="10" t="s">
        <v>1284</v>
      </c>
      <c r="B916" s="255">
        <v>8</v>
      </c>
      <c r="C916" s="10" t="s">
        <v>131</v>
      </c>
      <c r="D916" s="10">
        <v>2</v>
      </c>
      <c r="E916" s="10">
        <v>7</v>
      </c>
      <c r="F916" s="10" t="s">
        <v>693</v>
      </c>
      <c r="G916" s="10" t="s">
        <v>696</v>
      </c>
      <c r="H916" s="10" t="str" cm="1">
        <f t="array" aca="1" ref="H916" ca="1">IF(INDEX(I916:Z916,$H$1)=0,"",INDEX(I916:Z916,$H$1))</f>
        <v>US EPA-453/R-95-017 Table 2-4</v>
      </c>
      <c r="I916" s="10" t="s">
        <v>148</v>
      </c>
      <c r="J916" s="10" t="s">
        <v>918</v>
      </c>
      <c r="K916" s="10" t="s">
        <v>1660</v>
      </c>
    </row>
    <row r="917" spans="1:11" x14ac:dyDescent="0.35">
      <c r="A917" s="10" t="s">
        <v>1284</v>
      </c>
      <c r="B917" s="255">
        <v>8</v>
      </c>
      <c r="C917" s="10" t="s">
        <v>131</v>
      </c>
      <c r="D917" s="10">
        <v>2</v>
      </c>
      <c r="E917" s="10">
        <v>7</v>
      </c>
      <c r="F917" s="10" t="s">
        <v>694</v>
      </c>
      <c r="G917" s="10" t="s">
        <v>696</v>
      </c>
      <c r="H917" s="10" t="str" cm="1">
        <f t="array" aca="1" ref="H917" ca="1">IF(INDEX(I917:Z917,$H$1)=0,"",INDEX(I917:Z917,$H$1))</f>
        <v>US EPA-453/R-95-017 Table 2-8</v>
      </c>
      <c r="I917" s="10" t="s">
        <v>149</v>
      </c>
      <c r="J917" s="10" t="s">
        <v>919</v>
      </c>
      <c r="K917" s="10" t="s">
        <v>1661</v>
      </c>
    </row>
    <row r="918" spans="1:11" x14ac:dyDescent="0.35">
      <c r="A918" s="10" t="s">
        <v>1284</v>
      </c>
      <c r="B918" s="255">
        <v>8</v>
      </c>
      <c r="C918" s="10" t="s">
        <v>131</v>
      </c>
      <c r="D918" s="10">
        <v>2</v>
      </c>
      <c r="E918" s="10">
        <v>7</v>
      </c>
      <c r="F918" s="10" t="s">
        <v>711</v>
      </c>
      <c r="G918" s="10" t="s">
        <v>696</v>
      </c>
      <c r="H918" s="10" t="str" cm="1">
        <f t="array" aca="1" ref="H918" ca="1">IF(INDEX(I918:Z918,$H$1)=0,"",INDEX(I918:Z918,$H$1))</f>
        <v>US EPA-453/R-95-017 Table 2-8</v>
      </c>
      <c r="I918" s="10" t="s">
        <v>149</v>
      </c>
      <c r="J918" s="10" t="s">
        <v>919</v>
      </c>
      <c r="K918" s="10" t="s">
        <v>1661</v>
      </c>
    </row>
    <row r="919" spans="1:11" x14ac:dyDescent="0.35">
      <c r="A919" s="10" t="s">
        <v>1284</v>
      </c>
      <c r="B919" s="255">
        <v>8</v>
      </c>
      <c r="C919" s="10" t="s">
        <v>131</v>
      </c>
      <c r="D919" s="10">
        <v>2</v>
      </c>
      <c r="E919" s="10">
        <v>7</v>
      </c>
      <c r="F919" s="10" t="s">
        <v>712</v>
      </c>
      <c r="G919" s="10" t="s">
        <v>696</v>
      </c>
      <c r="H919" s="10" t="str" cm="1">
        <f t="array" aca="1" ref="H919" ca="1">IF(INDEX(I919:Z919,$H$1)=0,"",INDEX(I919:Z919,$H$1))</f>
        <v>Calculated based on Leak, No-Leak factors and adjustable leak frequency</v>
      </c>
      <c r="I919" s="10" t="s">
        <v>150</v>
      </c>
      <c r="J919" s="10" t="s">
        <v>920</v>
      </c>
      <c r="K919" s="27" t="s">
        <v>1662</v>
      </c>
    </row>
    <row r="920" spans="1:11" x14ac:dyDescent="0.35">
      <c r="A920" s="10" t="s">
        <v>1284</v>
      </c>
      <c r="B920" s="255">
        <v>8</v>
      </c>
      <c r="C920" s="10" t="s">
        <v>131</v>
      </c>
      <c r="D920" s="10">
        <v>2</v>
      </c>
      <c r="E920" s="10">
        <v>7</v>
      </c>
      <c r="F920" s="10" t="s">
        <v>772</v>
      </c>
      <c r="G920" s="10" t="s">
        <v>696</v>
      </c>
      <c r="H920" s="10" t="str" cm="1">
        <f t="array" aca="1" ref="H920" ca="1">IF(INDEX(I920:Z920,$H$1)=0,"",INDEX(I920:Z920,$H$1))</f>
        <v>Calculated based on uncontrolled factors and adjustable control factor</v>
      </c>
      <c r="I920" s="10" t="s">
        <v>151</v>
      </c>
      <c r="J920" s="10" t="s">
        <v>1206</v>
      </c>
      <c r="K920" s="27" t="s">
        <v>1663</v>
      </c>
    </row>
    <row r="921" spans="1:11" x14ac:dyDescent="0.35">
      <c r="A921" s="10" t="s">
        <v>1284</v>
      </c>
      <c r="B921" s="255">
        <v>8</v>
      </c>
      <c r="C921" s="10" t="s">
        <v>131</v>
      </c>
      <c r="D921" s="10">
        <v>2</v>
      </c>
      <c r="E921" s="10">
        <v>7</v>
      </c>
      <c r="F921" s="10" t="s">
        <v>773</v>
      </c>
      <c r="G921" s="10" t="s">
        <v>696</v>
      </c>
      <c r="H921" s="10" t="str" cm="1">
        <f t="array" aca="1" ref="H921" ca="1">IF(INDEX(I921:Z921,$H$1)=0,"",INDEX(I921:Z921,$H$1))</f>
        <v>Calculated based on uncontrolled factors and adjustable control factor</v>
      </c>
      <c r="I921" s="10" t="s">
        <v>151</v>
      </c>
      <c r="J921" s="10" t="s">
        <v>1206</v>
      </c>
      <c r="K921" s="27" t="s">
        <v>1663</v>
      </c>
    </row>
    <row r="922" spans="1:11" x14ac:dyDescent="0.35">
      <c r="A922" s="10" t="s">
        <v>1284</v>
      </c>
      <c r="B922" s="255">
        <v>8</v>
      </c>
      <c r="C922" s="10" t="s">
        <v>131</v>
      </c>
      <c r="D922" s="10">
        <v>2</v>
      </c>
      <c r="E922" s="10">
        <v>7</v>
      </c>
      <c r="F922" s="10" t="s">
        <v>771</v>
      </c>
      <c r="G922" s="10" t="s">
        <v>696</v>
      </c>
      <c r="H922" s="10" t="str" cm="1">
        <f t="array" aca="1" ref="H922" ca="1">IF(INDEX(I922:Z922,$H$1)=0,"",INDEX(I922:Z922,$H$1))</f>
        <v>Calculated based on uncontrolled factors and adjustable control factor</v>
      </c>
      <c r="I922" s="10" t="s">
        <v>151</v>
      </c>
      <c r="J922" s="10" t="s">
        <v>1206</v>
      </c>
      <c r="K922" s="27" t="s">
        <v>1663</v>
      </c>
    </row>
    <row r="923" spans="1:11" x14ac:dyDescent="0.35">
      <c r="A923" s="10" t="s">
        <v>1284</v>
      </c>
      <c r="B923" s="255">
        <v>8</v>
      </c>
      <c r="C923" s="10" t="s">
        <v>131</v>
      </c>
      <c r="D923" s="10">
        <v>2</v>
      </c>
      <c r="E923" s="10">
        <v>7</v>
      </c>
      <c r="F923" s="10" t="s">
        <v>594</v>
      </c>
      <c r="G923" s="10" t="s">
        <v>696</v>
      </c>
      <c r="H923" s="10" t="str" cm="1">
        <f t="array" aca="1" ref="H923" ca="1">IF(INDEX(I923:Z923,$H$1)=0,"",INDEX(I923:Z923,$H$1))</f>
        <v>Adjustable Input (Assume to be zero if not entered)</v>
      </c>
      <c r="I923" s="10" t="s">
        <v>152</v>
      </c>
      <c r="J923" s="10" t="s">
        <v>921</v>
      </c>
      <c r="K923" s="27" t="s">
        <v>1664</v>
      </c>
    </row>
    <row r="924" spans="1:11" x14ac:dyDescent="0.35">
      <c r="A924" s="10" t="s">
        <v>1284</v>
      </c>
      <c r="B924" s="255">
        <v>8</v>
      </c>
      <c r="C924" s="10" t="s">
        <v>131</v>
      </c>
      <c r="D924" s="10">
        <v>2</v>
      </c>
      <c r="E924" s="10">
        <v>7</v>
      </c>
      <c r="F924" s="10" t="s">
        <v>775</v>
      </c>
      <c r="G924" s="10" t="s">
        <v>696</v>
      </c>
      <c r="H924" s="10" t="str" cm="1">
        <f t="array" aca="1" ref="H924" ca="1">IF(INDEX(I924:Z924,$H$1)=0,"",INDEX(I924:Z924,$H$1))</f>
        <v>Adjustable Input (Assume to be zero if not entered)</v>
      </c>
      <c r="I924" s="10" t="s">
        <v>152</v>
      </c>
      <c r="J924" s="10" t="s">
        <v>921</v>
      </c>
      <c r="K924" s="27" t="s">
        <v>1664</v>
      </c>
    </row>
    <row r="925" spans="1:11" x14ac:dyDescent="0.35">
      <c r="A925" s="10" t="s">
        <v>1284</v>
      </c>
      <c r="B925" s="255">
        <v>8</v>
      </c>
      <c r="C925" s="10" t="s">
        <v>131</v>
      </c>
      <c r="D925" s="10">
        <v>2</v>
      </c>
      <c r="E925" s="10">
        <v>7</v>
      </c>
      <c r="F925" s="10" t="s">
        <v>777</v>
      </c>
      <c r="G925" s="10" t="s">
        <v>696</v>
      </c>
      <c r="H925" s="10" t="str" cm="1">
        <f t="array" aca="1" ref="H925" ca="1">IF(INDEX(I925:Z925,$H$1)=0,"",INDEX(I925:Z925,$H$1))</f>
        <v>Adjustable Input (Assume to be zero if not entered)</v>
      </c>
      <c r="I925" s="10" t="s">
        <v>152</v>
      </c>
      <c r="J925" s="10" t="s">
        <v>921</v>
      </c>
      <c r="K925" s="27" t="s">
        <v>1664</v>
      </c>
    </row>
    <row r="926" spans="1:11" x14ac:dyDescent="0.35">
      <c r="A926" s="10" t="s">
        <v>1284</v>
      </c>
      <c r="B926" s="255">
        <v>8</v>
      </c>
      <c r="C926" s="10" t="s">
        <v>131</v>
      </c>
      <c r="D926" s="10">
        <v>2</v>
      </c>
      <c r="E926" s="10">
        <v>7</v>
      </c>
      <c r="F926" s="10" t="s">
        <v>718</v>
      </c>
      <c r="G926" s="10" t="s">
        <v>696</v>
      </c>
      <c r="H926" s="10" t="str" cm="1">
        <f t="array" aca="1" ref="H926" ca="1">IF(INDEX(I926:Z926,$H$1)=0,"",INDEX(I926:Z926,$H$1))</f>
        <v>Determined from Lookup Table</v>
      </c>
      <c r="I926" s="10" t="s">
        <v>247</v>
      </c>
      <c r="J926" s="10" t="s">
        <v>922</v>
      </c>
      <c r="K926" s="27" t="s">
        <v>1665</v>
      </c>
    </row>
    <row r="927" spans="1:11" x14ac:dyDescent="0.35">
      <c r="A927" s="10" t="s">
        <v>1284</v>
      </c>
      <c r="B927" s="255">
        <v>8</v>
      </c>
      <c r="C927" s="10" t="s">
        <v>131</v>
      </c>
      <c r="D927" s="10">
        <v>2</v>
      </c>
      <c r="E927" s="10">
        <v>7</v>
      </c>
      <c r="F927" s="10" t="s">
        <v>690</v>
      </c>
      <c r="G927" s="10" t="s">
        <v>696</v>
      </c>
      <c r="H927" s="10" t="str" cm="1">
        <f t="array" aca="1" ref="H927" ca="1">IF(INDEX(I927:Z927,$H$1)=0,"",INDEX(I927:Z927,$H$1))</f>
        <v>Calculation Method</v>
      </c>
      <c r="I927" s="10" t="s">
        <v>2252</v>
      </c>
      <c r="J927" s="10" t="s">
        <v>2254</v>
      </c>
      <c r="K927" s="27" t="s">
        <v>2253</v>
      </c>
    </row>
    <row r="928" spans="1:11" x14ac:dyDescent="0.35">
      <c r="A928" s="10" t="s">
        <v>1284</v>
      </c>
      <c r="B928" s="255">
        <v>8</v>
      </c>
      <c r="C928" s="10" t="s">
        <v>131</v>
      </c>
      <c r="D928" s="10">
        <v>2</v>
      </c>
      <c r="E928" s="10">
        <v>8</v>
      </c>
      <c r="F928" s="10" t="s">
        <v>690</v>
      </c>
      <c r="G928" s="10" t="s">
        <v>695</v>
      </c>
      <c r="H928" s="10" t="str" cm="1">
        <f t="array" aca="1" ref="H928" ca="1">IF(INDEX(I928:Z928,$H$1)=0,"",INDEX(I928:Z928,$H$1))</f>
        <v>Valves</v>
      </c>
      <c r="I928" s="17" t="s">
        <v>153</v>
      </c>
      <c r="J928" s="17" t="s">
        <v>852</v>
      </c>
      <c r="K928" s="27" t="s">
        <v>1539</v>
      </c>
    </row>
    <row r="929" spans="1:11" x14ac:dyDescent="0.35">
      <c r="A929" s="10" t="s">
        <v>1284</v>
      </c>
      <c r="B929" s="255">
        <v>8</v>
      </c>
      <c r="C929" s="10" t="s">
        <v>131</v>
      </c>
      <c r="D929" s="10">
        <v>2</v>
      </c>
      <c r="E929" s="10">
        <v>8</v>
      </c>
      <c r="F929" s="10" t="s">
        <v>38</v>
      </c>
      <c r="G929" s="10" t="s">
        <v>695</v>
      </c>
      <c r="H929" s="10" t="str" cm="1">
        <f t="array" aca="1" ref="H929" ca="1">IF(INDEX(I929:Z929,$H$1)=0,"",INDEX(I929:Z929,$H$1))</f>
        <v>Gas</v>
      </c>
      <c r="I929" s="17" t="s">
        <v>154</v>
      </c>
      <c r="J929" s="17" t="s">
        <v>864</v>
      </c>
      <c r="K929" s="27" t="s">
        <v>154</v>
      </c>
    </row>
    <row r="930" spans="1:11" x14ac:dyDescent="0.35">
      <c r="A930" s="10" t="s">
        <v>1284</v>
      </c>
      <c r="B930" s="255">
        <v>8</v>
      </c>
      <c r="C930" s="10" t="s">
        <v>131</v>
      </c>
      <c r="D930" s="10">
        <v>2</v>
      </c>
      <c r="E930" s="10">
        <v>9</v>
      </c>
      <c r="F930" s="10" t="s">
        <v>38</v>
      </c>
      <c r="G930" s="10" t="s">
        <v>695</v>
      </c>
      <c r="H930" s="10" t="str" cm="1">
        <f t="array" aca="1" ref="H930" ca="1">IF(INDEX(I930:Z930,$H$1)=0,"",INDEX(I930:Z930,$H$1))</f>
        <v>Light Liquid</v>
      </c>
      <c r="I930" s="17" t="s">
        <v>155</v>
      </c>
      <c r="J930" s="17" t="s">
        <v>865</v>
      </c>
      <c r="K930" s="27" t="s">
        <v>1540</v>
      </c>
    </row>
    <row r="931" spans="1:11" x14ac:dyDescent="0.35">
      <c r="A931" s="10" t="s">
        <v>1284</v>
      </c>
      <c r="B931" s="255">
        <v>8</v>
      </c>
      <c r="C931" s="10" t="s">
        <v>131</v>
      </c>
      <c r="D931" s="10">
        <v>2</v>
      </c>
      <c r="E931" s="10">
        <v>10</v>
      </c>
      <c r="F931" s="10" t="s">
        <v>38</v>
      </c>
      <c r="G931" s="10" t="s">
        <v>695</v>
      </c>
      <c r="H931" s="10" t="str" cm="1">
        <f t="array" aca="1" ref="H931" ca="1">IF(INDEX(I931:Z931,$H$1)=0,"",INDEX(I931:Z931,$H$1))</f>
        <v>Heavy Liquid</v>
      </c>
      <c r="I931" s="17" t="s">
        <v>156</v>
      </c>
      <c r="J931" s="17" t="s">
        <v>866</v>
      </c>
      <c r="K931" s="27" t="s">
        <v>1541</v>
      </c>
    </row>
    <row r="932" spans="1:11" x14ac:dyDescent="0.35">
      <c r="A932" s="10" t="s">
        <v>1284</v>
      </c>
      <c r="B932" s="255">
        <v>8</v>
      </c>
      <c r="C932" s="10" t="s">
        <v>131</v>
      </c>
      <c r="D932" s="10">
        <v>2</v>
      </c>
      <c r="E932" s="10">
        <v>11</v>
      </c>
      <c r="F932" s="10" t="s">
        <v>690</v>
      </c>
      <c r="G932" s="10" t="s">
        <v>695</v>
      </c>
      <c r="H932" s="10" t="str" cm="1">
        <f t="array" aca="1" ref="H932" ca="1">IF(INDEX(I932:Z932,$H$1)=0,"",INDEX(I932:Z932,$H$1))</f>
        <v>Valves (Block)</v>
      </c>
      <c r="I932" s="17" t="s">
        <v>221</v>
      </c>
      <c r="J932" s="17" t="s">
        <v>853</v>
      </c>
      <c r="K932" s="27" t="s">
        <v>1542</v>
      </c>
    </row>
    <row r="933" spans="1:11" x14ac:dyDescent="0.35">
      <c r="A933" s="10" t="s">
        <v>1284</v>
      </c>
      <c r="B933" s="255">
        <v>8</v>
      </c>
      <c r="C933" s="10" t="s">
        <v>131</v>
      </c>
      <c r="D933" s="10">
        <v>2</v>
      </c>
      <c r="E933" s="10">
        <v>11</v>
      </c>
      <c r="F933" s="10" t="s">
        <v>38</v>
      </c>
      <c r="G933" s="10" t="s">
        <v>695</v>
      </c>
      <c r="H933" s="10" t="str" cm="1">
        <f t="array" aca="1" ref="H933" ca="1">IF(INDEX(I933:Z933,$H$1)=0,"",INDEX(I933:Z933,$H$1))</f>
        <v>Gas</v>
      </c>
      <c r="I933" s="17" t="s">
        <v>154</v>
      </c>
      <c r="J933" s="17" t="s">
        <v>864</v>
      </c>
      <c r="K933" s="27" t="s">
        <v>154</v>
      </c>
    </row>
    <row r="934" spans="1:11" x14ac:dyDescent="0.35">
      <c r="A934" s="10" t="s">
        <v>1284</v>
      </c>
      <c r="B934" s="255">
        <v>8</v>
      </c>
      <c r="C934" s="10" t="s">
        <v>131</v>
      </c>
      <c r="D934" s="10">
        <v>2</v>
      </c>
      <c r="E934" s="10">
        <v>12</v>
      </c>
      <c r="F934" s="10" t="s">
        <v>690</v>
      </c>
      <c r="G934" s="10" t="s">
        <v>695</v>
      </c>
      <c r="H934" s="10" t="str" cm="1">
        <f t="array" aca="1" ref="H934" ca="1">IF(INDEX(I934:Z934,$H$1)=0,"",INDEX(I934:Z934,$H$1))</f>
        <v>Valves (Control)</v>
      </c>
      <c r="I934" s="17" t="s">
        <v>222</v>
      </c>
      <c r="J934" s="17" t="s">
        <v>854</v>
      </c>
      <c r="K934" s="27" t="s">
        <v>1543</v>
      </c>
    </row>
    <row r="935" spans="1:11" x14ac:dyDescent="0.35">
      <c r="A935" s="10" t="s">
        <v>1284</v>
      </c>
      <c r="B935" s="255">
        <v>8</v>
      </c>
      <c r="C935" s="10" t="s">
        <v>131</v>
      </c>
      <c r="D935" s="10">
        <v>2</v>
      </c>
      <c r="E935" s="10">
        <v>12</v>
      </c>
      <c r="F935" s="10" t="s">
        <v>38</v>
      </c>
      <c r="G935" s="10" t="s">
        <v>695</v>
      </c>
      <c r="H935" s="10" t="str" cm="1">
        <f t="array" aca="1" ref="H935" ca="1">IF(INDEX(I935:Z935,$H$1)=0,"",INDEX(I935:Z935,$H$1))</f>
        <v>Gas</v>
      </c>
      <c r="I935" s="17" t="s">
        <v>154</v>
      </c>
      <c r="J935" s="17" t="s">
        <v>864</v>
      </c>
      <c r="K935" s="27" t="s">
        <v>154</v>
      </c>
    </row>
    <row r="936" spans="1:11" x14ac:dyDescent="0.35">
      <c r="A936" s="10" t="s">
        <v>1284</v>
      </c>
      <c r="B936" s="255">
        <v>8</v>
      </c>
      <c r="C936" s="10" t="s">
        <v>131</v>
      </c>
      <c r="D936" s="10">
        <v>2</v>
      </c>
      <c r="E936" s="10">
        <v>13</v>
      </c>
      <c r="F936" s="10" t="s">
        <v>690</v>
      </c>
      <c r="G936" s="10" t="s">
        <v>695</v>
      </c>
      <c r="H936" s="10" t="str" cm="1">
        <f t="array" aca="1" ref="H936" ca="1">IF(INDEX(I936:Z936,$H$1)=0,"",INDEX(I936:Z936,$H$1))</f>
        <v>Pump Seals</v>
      </c>
      <c r="I936" s="17" t="s">
        <v>157</v>
      </c>
      <c r="J936" s="17" t="s">
        <v>855</v>
      </c>
      <c r="K936" s="27" t="s">
        <v>1544</v>
      </c>
    </row>
    <row r="937" spans="1:11" x14ac:dyDescent="0.35">
      <c r="A937" s="10" t="s">
        <v>1284</v>
      </c>
      <c r="B937" s="255">
        <v>8</v>
      </c>
      <c r="C937" s="10" t="s">
        <v>131</v>
      </c>
      <c r="D937" s="10">
        <v>2</v>
      </c>
      <c r="E937" s="10">
        <v>13</v>
      </c>
      <c r="F937" s="10" t="s">
        <v>38</v>
      </c>
      <c r="G937" s="10" t="s">
        <v>695</v>
      </c>
      <c r="H937" s="10" t="str" cm="1">
        <f t="array" aca="1" ref="H937" ca="1">IF(INDEX(I937:Z937,$H$1)=0,"",INDEX(I937:Z937,$H$1))</f>
        <v>Light Liquid</v>
      </c>
      <c r="I937" s="17" t="s">
        <v>155</v>
      </c>
      <c r="J937" s="17" t="s">
        <v>865</v>
      </c>
      <c r="K937" s="27" t="s">
        <v>1540</v>
      </c>
    </row>
    <row r="938" spans="1:11" x14ac:dyDescent="0.35">
      <c r="A938" s="10" t="s">
        <v>1284</v>
      </c>
      <c r="B938" s="255">
        <v>8</v>
      </c>
      <c r="C938" s="10" t="s">
        <v>131</v>
      </c>
      <c r="D938" s="10">
        <v>2</v>
      </c>
      <c r="E938" s="10">
        <v>14</v>
      </c>
      <c r="F938" s="10" t="s">
        <v>38</v>
      </c>
      <c r="G938" s="10" t="s">
        <v>695</v>
      </c>
      <c r="H938" s="10" t="str" cm="1">
        <f t="array" aca="1" ref="H938" ca="1">IF(INDEX(I938:Z938,$H$1)=0,"",INDEX(I938:Z938,$H$1))</f>
        <v>Heavy Liquid</v>
      </c>
      <c r="I938" s="17" t="s">
        <v>156</v>
      </c>
      <c r="J938" s="17" t="s">
        <v>866</v>
      </c>
      <c r="K938" s="27" t="s">
        <v>1541</v>
      </c>
    </row>
    <row r="939" spans="1:11" x14ac:dyDescent="0.35">
      <c r="A939" s="10" t="s">
        <v>1284</v>
      </c>
      <c r="B939" s="255">
        <v>8</v>
      </c>
      <c r="C939" s="10" t="s">
        <v>131</v>
      </c>
      <c r="D939" s="10">
        <v>2</v>
      </c>
      <c r="E939" s="10">
        <v>15</v>
      </c>
      <c r="F939" s="10" t="s">
        <v>690</v>
      </c>
      <c r="G939" s="10" t="s">
        <v>695</v>
      </c>
      <c r="H939" s="10" t="str" cm="1">
        <f t="array" aca="1" ref="H939" ca="1">IF(INDEX(I939:Z939,$H$1)=0,"",INDEX(I939:Z939,$H$1))</f>
        <v>Compressor Seals (Reciprocating - Operating)</v>
      </c>
      <c r="I939" s="17" t="s">
        <v>275</v>
      </c>
      <c r="J939" s="17" t="s">
        <v>1216</v>
      </c>
      <c r="K939" s="27" t="s">
        <v>1545</v>
      </c>
    </row>
    <row r="940" spans="1:11" x14ac:dyDescent="0.35">
      <c r="A940" s="10" t="s">
        <v>1284</v>
      </c>
      <c r="B940" s="255">
        <v>8</v>
      </c>
      <c r="C940" s="10" t="s">
        <v>131</v>
      </c>
      <c r="D940" s="10">
        <v>2</v>
      </c>
      <c r="E940" s="10">
        <v>15</v>
      </c>
      <c r="F940" s="10" t="s">
        <v>38</v>
      </c>
      <c r="G940" s="10" t="s">
        <v>695</v>
      </c>
      <c r="H940" s="10" t="str" cm="1">
        <f t="array" aca="1" ref="H940" ca="1">IF(INDEX(I940:Z940,$H$1)=0,"",INDEX(I940:Z940,$H$1))</f>
        <v>Gas</v>
      </c>
      <c r="I940" s="17" t="s">
        <v>154</v>
      </c>
      <c r="J940" s="17" t="s">
        <v>864</v>
      </c>
      <c r="K940" s="27" t="s">
        <v>154</v>
      </c>
    </row>
    <row r="941" spans="1:11" x14ac:dyDescent="0.35">
      <c r="A941" s="10" t="s">
        <v>1284</v>
      </c>
      <c r="B941" s="255">
        <v>8</v>
      </c>
      <c r="C941" s="10" t="s">
        <v>131</v>
      </c>
      <c r="D941" s="10">
        <v>2</v>
      </c>
      <c r="E941" s="10">
        <v>16</v>
      </c>
      <c r="F941" s="10" t="s">
        <v>690</v>
      </c>
      <c r="G941" s="10" t="s">
        <v>695</v>
      </c>
      <c r="H941" s="10" t="str" cm="1">
        <f t="array" aca="1" ref="H941" ca="1">IF(INDEX(I941:Z941,$H$1)=0,"",INDEX(I941:Z941,$H$1))</f>
        <v>Compressor Seals (Reciprocating - Standby &amp; Pressurized)</v>
      </c>
      <c r="I941" s="17" t="s">
        <v>276</v>
      </c>
      <c r="J941" s="17" t="s">
        <v>1217</v>
      </c>
      <c r="K941" s="27" t="s">
        <v>1546</v>
      </c>
    </row>
    <row r="942" spans="1:11" x14ac:dyDescent="0.35">
      <c r="A942" s="10" t="s">
        <v>1284</v>
      </c>
      <c r="B942" s="255">
        <v>8</v>
      </c>
      <c r="C942" s="10" t="s">
        <v>131</v>
      </c>
      <c r="D942" s="10">
        <v>2</v>
      </c>
      <c r="E942" s="10">
        <v>16</v>
      </c>
      <c r="F942" s="10" t="s">
        <v>38</v>
      </c>
      <c r="G942" s="10" t="s">
        <v>695</v>
      </c>
      <c r="H942" s="10" t="str" cm="1">
        <f t="array" aca="1" ref="H942" ca="1">IF(INDEX(I942:Z942,$H$1)=0,"",INDEX(I942:Z942,$H$1))</f>
        <v>Gas</v>
      </c>
      <c r="I942" s="17" t="s">
        <v>154</v>
      </c>
      <c r="J942" s="17" t="s">
        <v>864</v>
      </c>
      <c r="K942" s="27" t="s">
        <v>154</v>
      </c>
    </row>
    <row r="943" spans="1:11" x14ac:dyDescent="0.35">
      <c r="A943" s="10" t="s">
        <v>1284</v>
      </c>
      <c r="B943" s="255">
        <v>8</v>
      </c>
      <c r="C943" s="10" t="s">
        <v>131</v>
      </c>
      <c r="D943" s="10">
        <v>2</v>
      </c>
      <c r="E943" s="10">
        <v>17</v>
      </c>
      <c r="F943" s="10" t="s">
        <v>690</v>
      </c>
      <c r="G943" s="10" t="s">
        <v>695</v>
      </c>
      <c r="H943" s="10" t="str" cm="1">
        <f t="array" aca="1" ref="H943" ca="1">IF(INDEX(I943:Z943,$H$1)=0,"",INDEX(I943:Z943,$H$1))</f>
        <v>Compressor Seals (Reciprocating - Depressurized)</v>
      </c>
      <c r="I943" s="17" t="s">
        <v>277</v>
      </c>
      <c r="J943" s="17" t="s">
        <v>1215</v>
      </c>
      <c r="K943" s="27" t="s">
        <v>1547</v>
      </c>
    </row>
    <row r="944" spans="1:11" x14ac:dyDescent="0.35">
      <c r="A944" s="10" t="s">
        <v>1284</v>
      </c>
      <c r="B944" s="255">
        <v>8</v>
      </c>
      <c r="C944" s="10" t="s">
        <v>131</v>
      </c>
      <c r="D944" s="10">
        <v>2</v>
      </c>
      <c r="E944" s="10">
        <v>17</v>
      </c>
      <c r="F944" s="10" t="s">
        <v>38</v>
      </c>
      <c r="G944" s="10" t="s">
        <v>695</v>
      </c>
      <c r="H944" s="10" t="str" cm="1">
        <f t="array" aca="1" ref="H944" ca="1">IF(INDEX(I944:Z944,$H$1)=0,"",INDEX(I944:Z944,$H$1))</f>
        <v>Gas</v>
      </c>
      <c r="I944" s="17" t="s">
        <v>154</v>
      </c>
      <c r="J944" s="17" t="s">
        <v>864</v>
      </c>
      <c r="K944" s="27" t="s">
        <v>154</v>
      </c>
    </row>
    <row r="945" spans="1:11" x14ac:dyDescent="0.35">
      <c r="A945" s="10" t="s">
        <v>1284</v>
      </c>
      <c r="B945" s="255">
        <v>8</v>
      </c>
      <c r="C945" s="10" t="s">
        <v>131</v>
      </c>
      <c r="D945" s="10">
        <v>2</v>
      </c>
      <c r="E945" s="10">
        <v>18</v>
      </c>
      <c r="F945" s="10" t="s">
        <v>690</v>
      </c>
      <c r="G945" s="10" t="s">
        <v>695</v>
      </c>
      <c r="H945" s="10" t="str" cm="1">
        <f t="array" aca="1" ref="H945" ca="1">IF(INDEX(I945:Z945,$H$1)=0,"",INDEX(I945:Z945,$H$1))</f>
        <v>Compressor Wet Seals (Centrifugal - Operating)</v>
      </c>
      <c r="I945" s="17" t="s">
        <v>3213</v>
      </c>
      <c r="J945" s="17" t="s">
        <v>3213</v>
      </c>
      <c r="K945" s="17" t="s">
        <v>3213</v>
      </c>
    </row>
    <row r="946" spans="1:11" x14ac:dyDescent="0.35">
      <c r="A946" s="10" t="s">
        <v>1284</v>
      </c>
      <c r="B946" s="255">
        <v>8</v>
      </c>
      <c r="C946" s="10" t="s">
        <v>131</v>
      </c>
      <c r="D946" s="10">
        <v>2</v>
      </c>
      <c r="E946" s="10">
        <v>18</v>
      </c>
      <c r="F946" s="10" t="s">
        <v>38</v>
      </c>
      <c r="G946" s="10" t="s">
        <v>695</v>
      </c>
      <c r="H946" s="10" t="str" cm="1">
        <f t="array" aca="1" ref="H946" ca="1">IF(INDEX(I946:Z946,$H$1)=0,"",INDEX(I946:Z946,$H$1))</f>
        <v>Compressor Wet Seals (Centrifugal - Standby &amp; Pressurized)</v>
      </c>
      <c r="I946" s="17" t="s">
        <v>3215</v>
      </c>
      <c r="J946" s="17" t="s">
        <v>3215</v>
      </c>
      <c r="K946" s="17" t="s">
        <v>3215</v>
      </c>
    </row>
    <row r="947" spans="1:11" x14ac:dyDescent="0.35">
      <c r="A947" s="10" t="s">
        <v>1284</v>
      </c>
      <c r="B947" s="255">
        <v>8</v>
      </c>
      <c r="C947" s="10" t="s">
        <v>131</v>
      </c>
      <c r="D947" s="10">
        <v>2</v>
      </c>
      <c r="E947" s="10">
        <v>19</v>
      </c>
      <c r="F947" s="10" t="s">
        <v>690</v>
      </c>
      <c r="G947" s="10" t="s">
        <v>695</v>
      </c>
      <c r="H947" s="10" t="str" cm="1">
        <f t="array" aca="1" ref="H947" ca="1">IF(INDEX(I947:Z947,$H$1)=0,"",INDEX(I947:Z947,$H$1))</f>
        <v>Compressor Wet Seals (Centrifugal - Depressurized)</v>
      </c>
      <c r="I947" s="17" t="s">
        <v>3216</v>
      </c>
      <c r="J947" s="17" t="s">
        <v>3216</v>
      </c>
      <c r="K947" s="17" t="s">
        <v>3216</v>
      </c>
    </row>
    <row r="948" spans="1:11" x14ac:dyDescent="0.35">
      <c r="A948" s="10" t="s">
        <v>1284</v>
      </c>
      <c r="B948" s="255">
        <v>8</v>
      </c>
      <c r="C948" s="10" t="s">
        <v>131</v>
      </c>
      <c r="D948" s="10">
        <v>2</v>
      </c>
      <c r="E948" s="10">
        <v>19</v>
      </c>
      <c r="F948" s="10" t="s">
        <v>38</v>
      </c>
      <c r="G948" s="10" t="s">
        <v>695</v>
      </c>
      <c r="H948" s="10" t="str" cm="1">
        <f t="array" aca="1" ref="H948" ca="1">IF(INDEX(I948:Z948,$H$1)=0,"",INDEX(I948:Z948,$H$1))</f>
        <v>Compressor Dry Seals (Centrifugal - Operating)</v>
      </c>
      <c r="I948" s="17" t="s">
        <v>3217</v>
      </c>
      <c r="J948" s="17" t="s">
        <v>3217</v>
      </c>
      <c r="K948" s="17" t="s">
        <v>3217</v>
      </c>
    </row>
    <row r="949" spans="1:11" x14ac:dyDescent="0.35">
      <c r="A949" s="10" t="s">
        <v>1284</v>
      </c>
      <c r="B949" s="255">
        <v>8</v>
      </c>
      <c r="C949" s="10" t="s">
        <v>131</v>
      </c>
      <c r="D949" s="10">
        <v>2</v>
      </c>
      <c r="E949" s="10">
        <v>20</v>
      </c>
      <c r="F949" s="10" t="s">
        <v>690</v>
      </c>
      <c r="G949" s="10" t="s">
        <v>695</v>
      </c>
      <c r="H949" s="10" t="str" cm="1">
        <f t="array" aca="1" ref="H949" ca="1">IF(INDEX(I949:Z949,$H$1)=0,"",INDEX(I949:Z949,$H$1))</f>
        <v>Compressor Dry Seals (Centrifugal - Standby &amp; Pressurized)</v>
      </c>
      <c r="I949" s="17" t="s">
        <v>3214</v>
      </c>
      <c r="J949" s="17" t="s">
        <v>3214</v>
      </c>
      <c r="K949" s="17" t="s">
        <v>3214</v>
      </c>
    </row>
    <row r="950" spans="1:11" x14ac:dyDescent="0.35">
      <c r="A950" s="10" t="s">
        <v>1284</v>
      </c>
      <c r="B950" s="255">
        <v>8</v>
      </c>
      <c r="C950" s="10" t="s">
        <v>131</v>
      </c>
      <c r="D950" s="10">
        <v>2</v>
      </c>
      <c r="E950" s="10">
        <v>20</v>
      </c>
      <c r="F950" s="10" t="s">
        <v>38</v>
      </c>
      <c r="G950" s="10" t="s">
        <v>695</v>
      </c>
      <c r="H950" s="10" t="str" cm="1">
        <f t="array" aca="1" ref="H950" ca="1">IF(INDEX(I950:Z950,$H$1)=0,"",INDEX(I950:Z950,$H$1))</f>
        <v>Compressor Dry Seals (Centrifugal - Depressurized)</v>
      </c>
      <c r="I950" s="17" t="s">
        <v>3218</v>
      </c>
      <c r="J950" s="17" t="s">
        <v>3218</v>
      </c>
      <c r="K950" s="17" t="s">
        <v>3218</v>
      </c>
    </row>
    <row r="951" spans="1:11" x14ac:dyDescent="0.35">
      <c r="A951" s="10" t="s">
        <v>1284</v>
      </c>
      <c r="B951" s="255">
        <v>8</v>
      </c>
      <c r="C951" s="10" t="s">
        <v>131</v>
      </c>
      <c r="D951" s="10">
        <v>2</v>
      </c>
      <c r="E951" s="10">
        <v>22</v>
      </c>
      <c r="F951" s="10" t="s">
        <v>690</v>
      </c>
      <c r="G951" s="10" t="s">
        <v>695</v>
      </c>
      <c r="H951" s="10" t="str" cm="1">
        <f t="array" aca="1" ref="H951" ca="1">IF(INDEX(I951:Z951,$H$1)=0,"",INDEX(I951:Z951,$H$1))</f>
        <v>Compressor (Reciprocating - Crankcase Vent)</v>
      </c>
      <c r="I951" s="17" t="s">
        <v>278</v>
      </c>
      <c r="J951" s="17" t="s">
        <v>1211</v>
      </c>
      <c r="K951" s="27" t="s">
        <v>1551</v>
      </c>
    </row>
    <row r="952" spans="1:11" x14ac:dyDescent="0.35">
      <c r="A952" s="10" t="s">
        <v>1284</v>
      </c>
      <c r="B952" s="255">
        <v>8</v>
      </c>
      <c r="C952" s="10" t="s">
        <v>131</v>
      </c>
      <c r="D952" s="10">
        <v>2</v>
      </c>
      <c r="E952" s="10">
        <v>22</v>
      </c>
      <c r="F952" s="10" t="s">
        <v>38</v>
      </c>
      <c r="G952" s="10" t="s">
        <v>695</v>
      </c>
      <c r="H952" s="10" t="str" cm="1">
        <f t="array" aca="1" ref="H952" ca="1">IF(INDEX(I952:Z952,$H$1)=0,"",INDEX(I952:Z952,$H$1))</f>
        <v>Gas</v>
      </c>
      <c r="I952" s="17" t="s">
        <v>154</v>
      </c>
      <c r="J952" s="17" t="s">
        <v>864</v>
      </c>
      <c r="K952" s="27" t="s">
        <v>154</v>
      </c>
    </row>
    <row r="953" spans="1:11" x14ac:dyDescent="0.35">
      <c r="A953" s="10" t="s">
        <v>1284</v>
      </c>
      <c r="B953" s="255">
        <v>8</v>
      </c>
      <c r="C953" s="10" t="s">
        <v>131</v>
      </c>
      <c r="D953" s="10">
        <v>2</v>
      </c>
      <c r="E953" s="10">
        <v>23</v>
      </c>
      <c r="F953" s="10" t="s">
        <v>690</v>
      </c>
      <c r="G953" s="10" t="s">
        <v>695</v>
      </c>
      <c r="H953" s="10" t="str" cm="1">
        <f t="array" aca="1" ref="H953" ca="1">IF(INDEX(I953:Z953,$H$1)=0,"",INDEX(I953:Z953,$H$1))</f>
        <v>Pressure Relief Valves</v>
      </c>
      <c r="I953" s="17" t="s">
        <v>159</v>
      </c>
      <c r="J953" s="17" t="s">
        <v>856</v>
      </c>
      <c r="K953" s="27" t="s">
        <v>1552</v>
      </c>
    </row>
    <row r="954" spans="1:11" x14ac:dyDescent="0.35">
      <c r="A954" s="10" t="s">
        <v>1284</v>
      </c>
      <c r="B954" s="255">
        <v>8</v>
      </c>
      <c r="C954" s="10" t="s">
        <v>131</v>
      </c>
      <c r="D954" s="10">
        <v>2</v>
      </c>
      <c r="E954" s="10">
        <v>23</v>
      </c>
      <c r="F954" s="10" t="s">
        <v>38</v>
      </c>
      <c r="G954" s="10" t="s">
        <v>695</v>
      </c>
      <c r="H954" s="10" t="str" cm="1">
        <f t="array" aca="1" ref="H954" ca="1">IF(INDEX(I954:Z954,$H$1)=0,"",INDEX(I954:Z954,$H$1))</f>
        <v>Gas</v>
      </c>
      <c r="I954" s="17" t="s">
        <v>154</v>
      </c>
      <c r="J954" s="17" t="s">
        <v>864</v>
      </c>
      <c r="K954" s="27" t="s">
        <v>154</v>
      </c>
    </row>
    <row r="955" spans="1:11" x14ac:dyDescent="0.35">
      <c r="A955" s="10" t="s">
        <v>1284</v>
      </c>
      <c r="B955" s="255">
        <v>8</v>
      </c>
      <c r="C955" s="10" t="s">
        <v>131</v>
      </c>
      <c r="D955" s="10">
        <v>2</v>
      </c>
      <c r="E955" s="10">
        <v>24</v>
      </c>
      <c r="F955" s="10" t="s">
        <v>690</v>
      </c>
      <c r="G955" s="10" t="s">
        <v>695</v>
      </c>
      <c r="H955" s="10" t="str" cm="1">
        <f t="array" aca="1" ref="H955" ca="1">IF(INDEX(I955:Z955,$H$1)=0,"",INDEX(I955:Z955,$H$1))</f>
        <v>Regulators</v>
      </c>
      <c r="I955" s="17" t="s">
        <v>165</v>
      </c>
      <c r="J955" s="17" t="s">
        <v>857</v>
      </c>
      <c r="K955" s="27" t="s">
        <v>1553</v>
      </c>
    </row>
    <row r="956" spans="1:11" x14ac:dyDescent="0.35">
      <c r="A956" s="10" t="s">
        <v>1284</v>
      </c>
      <c r="B956" s="255">
        <v>8</v>
      </c>
      <c r="C956" s="10" t="s">
        <v>131</v>
      </c>
      <c r="D956" s="10">
        <v>2</v>
      </c>
      <c r="E956" s="10">
        <v>24</v>
      </c>
      <c r="F956" s="10" t="s">
        <v>38</v>
      </c>
      <c r="G956" s="10" t="s">
        <v>695</v>
      </c>
      <c r="H956" s="10" t="str" cm="1">
        <f t="array" aca="1" ref="H956" ca="1">IF(INDEX(I956:Z956,$H$1)=0,"",INDEX(I956:Z956,$H$1))</f>
        <v>Gas</v>
      </c>
      <c r="I956" s="17" t="s">
        <v>154</v>
      </c>
      <c r="J956" s="17" t="s">
        <v>864</v>
      </c>
      <c r="K956" s="27" t="s">
        <v>154</v>
      </c>
    </row>
    <row r="957" spans="1:11" x14ac:dyDescent="0.35">
      <c r="A957" s="10" t="s">
        <v>1284</v>
      </c>
      <c r="B957" s="255">
        <v>8</v>
      </c>
      <c r="C957" s="10" t="s">
        <v>131</v>
      </c>
      <c r="D957" s="10">
        <v>2</v>
      </c>
      <c r="E957" s="10">
        <v>25</v>
      </c>
      <c r="F957" s="10" t="s">
        <v>690</v>
      </c>
      <c r="G957" s="10" t="s">
        <v>695</v>
      </c>
      <c r="H957" s="10" t="str" cm="1">
        <f t="array" aca="1" ref="H957" ca="1">IF(INDEX(I957:Z957,$H$1)=0,"",INDEX(I957:Z957,$H$1))</f>
        <v>Connectors</v>
      </c>
      <c r="I957" s="17" t="s">
        <v>160</v>
      </c>
      <c r="J957" s="17" t="s">
        <v>858</v>
      </c>
      <c r="K957" s="27" t="s">
        <v>1554</v>
      </c>
    </row>
    <row r="958" spans="1:11" x14ac:dyDescent="0.35">
      <c r="A958" s="10" t="s">
        <v>1284</v>
      </c>
      <c r="B958" s="255">
        <v>8</v>
      </c>
      <c r="C958" s="10" t="s">
        <v>131</v>
      </c>
      <c r="D958" s="10">
        <v>2</v>
      </c>
      <c r="E958" s="10">
        <v>25</v>
      </c>
      <c r="F958" s="10" t="s">
        <v>38</v>
      </c>
      <c r="G958" s="10" t="s">
        <v>695</v>
      </c>
      <c r="H958" s="10" t="str" cm="1">
        <f t="array" aca="1" ref="H958" ca="1">IF(INDEX(I958:Z958,$H$1)=0,"",INDEX(I958:Z958,$H$1))</f>
        <v>Gas</v>
      </c>
      <c r="I958" s="17" t="s">
        <v>154</v>
      </c>
      <c r="J958" s="17" t="s">
        <v>864</v>
      </c>
      <c r="K958" s="27" t="s">
        <v>154</v>
      </c>
    </row>
    <row r="959" spans="1:11" x14ac:dyDescent="0.35">
      <c r="A959" s="10" t="s">
        <v>1284</v>
      </c>
      <c r="B959" s="255">
        <v>8</v>
      </c>
      <c r="C959" s="10" t="s">
        <v>131</v>
      </c>
      <c r="D959" s="10">
        <v>2</v>
      </c>
      <c r="E959" s="10">
        <v>26</v>
      </c>
      <c r="F959" s="10" t="s">
        <v>38</v>
      </c>
      <c r="G959" s="10" t="s">
        <v>695</v>
      </c>
      <c r="H959" s="10" t="str" cm="1">
        <f t="array" aca="1" ref="H959" ca="1">IF(INDEX(I959:Z959,$H$1)=0,"",INDEX(I959:Z959,$H$1))</f>
        <v>Light Liquid</v>
      </c>
      <c r="I959" s="17" t="s">
        <v>155</v>
      </c>
      <c r="J959" s="17" t="s">
        <v>865</v>
      </c>
      <c r="K959" s="27" t="s">
        <v>1540</v>
      </c>
    </row>
    <row r="960" spans="1:11" x14ac:dyDescent="0.35">
      <c r="A960" s="10" t="s">
        <v>1284</v>
      </c>
      <c r="B960" s="255">
        <v>8</v>
      </c>
      <c r="C960" s="10" t="s">
        <v>131</v>
      </c>
      <c r="D960" s="10">
        <v>2</v>
      </c>
      <c r="E960" s="10">
        <v>27</v>
      </c>
      <c r="F960" s="10" t="s">
        <v>38</v>
      </c>
      <c r="G960" s="10" t="s">
        <v>695</v>
      </c>
      <c r="H960" s="10" t="str" cm="1">
        <f t="array" aca="1" ref="H960" ca="1">IF(INDEX(I960:Z960,$H$1)=0,"",INDEX(I960:Z960,$H$1))</f>
        <v>Heavy Liquid</v>
      </c>
      <c r="I960" s="17" t="s">
        <v>156</v>
      </c>
      <c r="J960" s="17" t="s">
        <v>866</v>
      </c>
      <c r="K960" s="27" t="s">
        <v>1541</v>
      </c>
    </row>
    <row r="961" spans="1:11" x14ac:dyDescent="0.35">
      <c r="A961" s="10" t="s">
        <v>1284</v>
      </c>
      <c r="B961" s="255">
        <v>8</v>
      </c>
      <c r="C961" s="10" t="s">
        <v>131</v>
      </c>
      <c r="D961" s="10">
        <v>2</v>
      </c>
      <c r="E961" s="10">
        <v>28</v>
      </c>
      <c r="F961" s="10" t="s">
        <v>690</v>
      </c>
      <c r="G961" s="10" t="s">
        <v>695</v>
      </c>
      <c r="H961" s="10" t="str" cm="1">
        <f t="array" aca="1" ref="H961" ca="1">IF(INDEX(I961:Z961,$H$1)=0,"",INDEX(I961:Z961,$H$1))</f>
        <v>Open-ended Lines</v>
      </c>
      <c r="I961" s="17" t="s">
        <v>161</v>
      </c>
      <c r="J961" s="17" t="s">
        <v>859</v>
      </c>
      <c r="K961" s="27" t="s">
        <v>1555</v>
      </c>
    </row>
    <row r="962" spans="1:11" x14ac:dyDescent="0.35">
      <c r="A962" s="10" t="s">
        <v>1284</v>
      </c>
      <c r="B962" s="255">
        <v>8</v>
      </c>
      <c r="C962" s="10" t="s">
        <v>131</v>
      </c>
      <c r="D962" s="10">
        <v>2</v>
      </c>
      <c r="E962" s="10">
        <v>28</v>
      </c>
      <c r="F962" s="10" t="s">
        <v>38</v>
      </c>
      <c r="G962" s="10" t="s">
        <v>695</v>
      </c>
      <c r="H962" s="10" t="str" cm="1">
        <f t="array" aca="1" ref="H962" ca="1">IF(INDEX(I962:Z962,$H$1)=0,"",INDEX(I962:Z962,$H$1))</f>
        <v>Gas</v>
      </c>
      <c r="I962" s="17" t="s">
        <v>154</v>
      </c>
      <c r="J962" s="17" t="s">
        <v>864</v>
      </c>
      <c r="K962" s="27" t="s">
        <v>154</v>
      </c>
    </row>
    <row r="963" spans="1:11" x14ac:dyDescent="0.35">
      <c r="A963" s="10" t="s">
        <v>1284</v>
      </c>
      <c r="B963" s="255">
        <v>8</v>
      </c>
      <c r="C963" s="10" t="s">
        <v>131</v>
      </c>
      <c r="D963" s="10">
        <v>2</v>
      </c>
      <c r="E963" s="10">
        <v>29</v>
      </c>
      <c r="F963" s="10" t="s">
        <v>38</v>
      </c>
      <c r="G963" s="10" t="s">
        <v>695</v>
      </c>
      <c r="H963" s="10" t="str" cm="1">
        <f t="array" aca="1" ref="H963" ca="1">IF(INDEX(I963:Z963,$H$1)=0,"",INDEX(I963:Z963,$H$1))</f>
        <v>Light Liquid</v>
      </c>
      <c r="I963" s="17" t="s">
        <v>155</v>
      </c>
      <c r="J963" s="17" t="s">
        <v>865</v>
      </c>
      <c r="K963" s="27" t="s">
        <v>1540</v>
      </c>
    </row>
    <row r="964" spans="1:11" x14ac:dyDescent="0.35">
      <c r="A964" s="10" t="s">
        <v>1284</v>
      </c>
      <c r="B964" s="255">
        <v>8</v>
      </c>
      <c r="C964" s="10" t="s">
        <v>131</v>
      </c>
      <c r="D964" s="10">
        <v>2</v>
      </c>
      <c r="E964" s="10">
        <v>30</v>
      </c>
      <c r="F964" s="10" t="s">
        <v>38</v>
      </c>
      <c r="G964" s="10" t="s">
        <v>695</v>
      </c>
      <c r="H964" s="10" t="str" cm="1">
        <f t="array" aca="1" ref="H964" ca="1">IF(INDEX(I964:Z964,$H$1)=0,"",INDEX(I964:Z964,$H$1))</f>
        <v>Heavy Liquid</v>
      </c>
      <c r="I964" s="17" t="s">
        <v>156</v>
      </c>
      <c r="J964" s="17" t="s">
        <v>866</v>
      </c>
      <c r="K964" s="27" t="s">
        <v>1541</v>
      </c>
    </row>
    <row r="965" spans="1:11" x14ac:dyDescent="0.35">
      <c r="A965" s="10" t="s">
        <v>1284</v>
      </c>
      <c r="B965" s="255">
        <v>8</v>
      </c>
      <c r="C965" s="10" t="s">
        <v>131</v>
      </c>
      <c r="D965" s="10">
        <v>2</v>
      </c>
      <c r="E965" s="10">
        <v>31</v>
      </c>
      <c r="F965" s="10" t="s">
        <v>690</v>
      </c>
      <c r="G965" s="10" t="s">
        <v>695</v>
      </c>
      <c r="H965" s="10" t="str" cm="1">
        <f t="array" aca="1" ref="H965" ca="1">IF(INDEX(I965:Z965,$H$1)=0,"",INDEX(I965:Z965,$H$1))</f>
        <v>Sampling Connections</v>
      </c>
      <c r="I965" s="17" t="s">
        <v>162</v>
      </c>
      <c r="J965" s="17" t="s">
        <v>860</v>
      </c>
      <c r="K965" s="27" t="s">
        <v>1556</v>
      </c>
    </row>
    <row r="966" spans="1:11" x14ac:dyDescent="0.35">
      <c r="A966" s="10" t="s">
        <v>1284</v>
      </c>
      <c r="B966" s="255">
        <v>8</v>
      </c>
      <c r="C966" s="10" t="s">
        <v>131</v>
      </c>
      <c r="D966" s="10">
        <v>2</v>
      </c>
      <c r="E966" s="10">
        <v>31</v>
      </c>
      <c r="F966" s="10" t="s">
        <v>38</v>
      </c>
      <c r="G966" s="10" t="s">
        <v>695</v>
      </c>
      <c r="H966" s="10" t="str" cm="1">
        <f t="array" aca="1" ref="H966" ca="1">IF(INDEX(I966:Z966,$H$1)=0,"",INDEX(I966:Z966,$H$1))</f>
        <v>All</v>
      </c>
      <c r="I966" s="17" t="s">
        <v>49</v>
      </c>
      <c r="J966" s="17" t="s">
        <v>867</v>
      </c>
      <c r="K966" s="27" t="s">
        <v>1557</v>
      </c>
    </row>
    <row r="967" spans="1:11" x14ac:dyDescent="0.35">
      <c r="A967" s="10" t="s">
        <v>1284</v>
      </c>
      <c r="B967" s="255">
        <v>8</v>
      </c>
      <c r="C967" s="10" t="s">
        <v>131</v>
      </c>
      <c r="D967" s="10">
        <v>2</v>
      </c>
      <c r="E967" s="10">
        <v>32</v>
      </c>
      <c r="F967" s="10" t="s">
        <v>690</v>
      </c>
      <c r="G967" s="10" t="s">
        <v>695</v>
      </c>
      <c r="H967" s="10" t="str" cm="1">
        <f t="array" aca="1" ref="H967" ca="1">IF(INDEX(I967:Z967,$H$1)=0,"",INDEX(I967:Z967,$H$1))</f>
        <v>Drains</v>
      </c>
      <c r="I967" s="17" t="s">
        <v>163</v>
      </c>
      <c r="J967" s="17" t="s">
        <v>1226</v>
      </c>
      <c r="K967" s="27" t="s">
        <v>1558</v>
      </c>
    </row>
    <row r="968" spans="1:11" x14ac:dyDescent="0.35">
      <c r="A968" s="10" t="s">
        <v>1284</v>
      </c>
      <c r="B968" s="255">
        <v>8</v>
      </c>
      <c r="C968" s="10" t="s">
        <v>131</v>
      </c>
      <c r="D968" s="10">
        <v>2</v>
      </c>
      <c r="E968" s="10">
        <v>32</v>
      </c>
      <c r="F968" s="10" t="s">
        <v>38</v>
      </c>
      <c r="G968" s="10" t="s">
        <v>695</v>
      </c>
      <c r="H968" s="10" t="str" cm="1">
        <f t="array" aca="1" ref="H968" ca="1">IF(INDEX(I968:Z968,$H$1)=0,"",INDEX(I968:Z968,$H$1))</f>
        <v>All</v>
      </c>
      <c r="I968" s="17" t="s">
        <v>49</v>
      </c>
      <c r="J968" s="17" t="s">
        <v>867</v>
      </c>
      <c r="K968" s="27" t="s">
        <v>1557</v>
      </c>
    </row>
    <row r="969" spans="1:11" x14ac:dyDescent="0.35">
      <c r="A969" s="10" t="s">
        <v>1284</v>
      </c>
      <c r="B969" s="255">
        <v>8</v>
      </c>
      <c r="C969" s="10" t="s">
        <v>131</v>
      </c>
      <c r="D969" s="10">
        <v>2</v>
      </c>
      <c r="E969" s="10">
        <v>33</v>
      </c>
      <c r="F969" s="10" t="s">
        <v>690</v>
      </c>
      <c r="G969" s="10" t="s">
        <v>695</v>
      </c>
      <c r="H969" s="10" t="str" cm="1">
        <f t="array" aca="1" ref="H969" ca="1">IF(INDEX(I969:Z969,$H$1)=0,"",INDEX(I969:Z969,$H$1))</f>
        <v>Meter (Orifice)</v>
      </c>
      <c r="I969" s="17" t="s">
        <v>224</v>
      </c>
      <c r="J969" s="17" t="s">
        <v>1263</v>
      </c>
      <c r="K969" s="27" t="s">
        <v>1559</v>
      </c>
    </row>
    <row r="970" spans="1:11" x14ac:dyDescent="0.35">
      <c r="A970" s="10" t="s">
        <v>1284</v>
      </c>
      <c r="B970" s="255">
        <v>8</v>
      </c>
      <c r="C970" s="10" t="s">
        <v>131</v>
      </c>
      <c r="D970" s="10">
        <v>2</v>
      </c>
      <c r="E970" s="10">
        <v>33</v>
      </c>
      <c r="F970" s="10" t="s">
        <v>38</v>
      </c>
      <c r="G970" s="10" t="s">
        <v>695</v>
      </c>
      <c r="H970" s="10" t="str" cm="1">
        <f t="array" aca="1" ref="H970" ca="1">IF(INDEX(I970:Z970,$H$1)=0,"",INDEX(I970:Z970,$H$1))</f>
        <v>Gas</v>
      </c>
      <c r="I970" s="17" t="s">
        <v>154</v>
      </c>
      <c r="J970" s="17" t="s">
        <v>864</v>
      </c>
      <c r="K970" s="27" t="s">
        <v>154</v>
      </c>
    </row>
    <row r="971" spans="1:11" x14ac:dyDescent="0.35">
      <c r="A971" s="10" t="s">
        <v>1284</v>
      </c>
      <c r="B971" s="255">
        <v>8</v>
      </c>
      <c r="C971" s="10" t="s">
        <v>131</v>
      </c>
      <c r="D971" s="10">
        <v>2</v>
      </c>
      <c r="E971" s="10">
        <v>34</v>
      </c>
      <c r="F971" s="10" t="s">
        <v>690</v>
      </c>
      <c r="G971" s="10" t="s">
        <v>695</v>
      </c>
      <c r="H971" s="10" t="str" cm="1">
        <f t="array" aca="1" ref="H971" ca="1">IF(INDEX(I971:Z971,$H$1)=0,"",INDEX(I971:Z971,$H$1))</f>
        <v>Meter (Other)</v>
      </c>
      <c r="I971" s="17" t="s">
        <v>225</v>
      </c>
      <c r="J971" s="17" t="s">
        <v>861</v>
      </c>
      <c r="K971" s="27" t="s">
        <v>1560</v>
      </c>
    </row>
    <row r="972" spans="1:11" x14ac:dyDescent="0.35">
      <c r="A972" s="10" t="s">
        <v>1284</v>
      </c>
      <c r="B972" s="255">
        <v>8</v>
      </c>
      <c r="C972" s="10" t="s">
        <v>131</v>
      </c>
      <c r="D972" s="10">
        <v>2</v>
      </c>
      <c r="E972" s="10">
        <v>34</v>
      </c>
      <c r="F972" s="10" t="s">
        <v>38</v>
      </c>
      <c r="G972" s="10" t="s">
        <v>695</v>
      </c>
      <c r="H972" s="10" t="str" cm="1">
        <f t="array" aca="1" ref="H972" ca="1">IF(INDEX(I972:Z972,$H$1)=0,"",INDEX(I972:Z972,$H$1))</f>
        <v>Gas</v>
      </c>
      <c r="I972" s="17" t="s">
        <v>154</v>
      </c>
      <c r="J972" s="17" t="s">
        <v>864</v>
      </c>
      <c r="K972" s="27" t="s">
        <v>154</v>
      </c>
    </row>
    <row r="973" spans="1:11" x14ac:dyDescent="0.35">
      <c r="A973" s="10" t="s">
        <v>1284</v>
      </c>
      <c r="B973" s="255">
        <v>8</v>
      </c>
      <c r="C973" s="10" t="s">
        <v>131</v>
      </c>
      <c r="D973" s="10">
        <v>2</v>
      </c>
      <c r="E973" s="10">
        <v>35</v>
      </c>
      <c r="F973" s="10" t="s">
        <v>690</v>
      </c>
      <c r="G973" s="10" t="s">
        <v>695</v>
      </c>
      <c r="H973" s="10" t="str" cm="1">
        <f t="array" aca="1" ref="H973" ca="1">IF(INDEX(I973:Z973,$H$1)=0,"",INDEX(I973:Z973,$H$1))</f>
        <v>Blowdown System</v>
      </c>
      <c r="I973" s="17" t="s">
        <v>226</v>
      </c>
      <c r="J973" s="17" t="s">
        <v>862</v>
      </c>
      <c r="K973" s="27" t="s">
        <v>1561</v>
      </c>
    </row>
    <row r="974" spans="1:11" x14ac:dyDescent="0.35">
      <c r="A974" s="10" t="s">
        <v>1284</v>
      </c>
      <c r="B974" s="255">
        <v>8</v>
      </c>
      <c r="C974" s="10" t="s">
        <v>131</v>
      </c>
      <c r="D974" s="10">
        <v>2</v>
      </c>
      <c r="E974" s="10">
        <v>35</v>
      </c>
      <c r="F974" s="10" t="s">
        <v>38</v>
      </c>
      <c r="G974" s="10" t="s">
        <v>695</v>
      </c>
      <c r="H974" s="10" t="str" cm="1">
        <f t="array" aca="1" ref="H974" ca="1">IF(INDEX(I974:Z974,$H$1)=0,"",INDEX(I974:Z974,$H$1))</f>
        <v>Gas</v>
      </c>
      <c r="I974" s="17" t="s">
        <v>154</v>
      </c>
      <c r="J974" s="17" t="s">
        <v>864</v>
      </c>
      <c r="K974" s="27" t="s">
        <v>154</v>
      </c>
    </row>
    <row r="975" spans="1:11" x14ac:dyDescent="0.35">
      <c r="A975" s="10" t="s">
        <v>1284</v>
      </c>
      <c r="B975" s="255">
        <v>8</v>
      </c>
      <c r="C975" s="10" t="s">
        <v>131</v>
      </c>
      <c r="D975" s="10">
        <v>2</v>
      </c>
      <c r="E975" s="10">
        <v>36</v>
      </c>
      <c r="F975" s="10" t="s">
        <v>690</v>
      </c>
      <c r="G975" s="10" t="s">
        <v>695</v>
      </c>
      <c r="H975" s="10" t="str" cm="1">
        <f t="array" aca="1" ref="H975" ca="1">IF(INDEX(I975:Z975,$H$1)=0,"",INDEX(I975:Z975,$H$1))</f>
        <v>Others</v>
      </c>
      <c r="I975" s="17" t="s">
        <v>166</v>
      </c>
      <c r="J975" s="17" t="s">
        <v>863</v>
      </c>
      <c r="K975" s="27" t="s">
        <v>1562</v>
      </c>
    </row>
    <row r="976" spans="1:11" x14ac:dyDescent="0.35">
      <c r="A976" s="10" t="s">
        <v>1284</v>
      </c>
      <c r="B976" s="255">
        <v>8</v>
      </c>
      <c r="C976" s="10" t="s">
        <v>131</v>
      </c>
      <c r="D976" s="10">
        <v>2</v>
      </c>
      <c r="E976" s="10">
        <v>36</v>
      </c>
      <c r="F976" s="10" t="s">
        <v>38</v>
      </c>
      <c r="G976" s="10" t="s">
        <v>695</v>
      </c>
      <c r="H976" s="10" t="str" cm="1">
        <f t="array" aca="1" ref="H976" ca="1">IF(INDEX(I976:Z976,$H$1)=0,"",INDEX(I976:Z976,$H$1))</f>
        <v>Gas</v>
      </c>
      <c r="I976" s="17" t="s">
        <v>154</v>
      </c>
      <c r="J976" s="17" t="s">
        <v>864</v>
      </c>
      <c r="K976" s="27" t="s">
        <v>154</v>
      </c>
    </row>
    <row r="977" spans="1:11" x14ac:dyDescent="0.35">
      <c r="A977" s="10" t="s">
        <v>1284</v>
      </c>
      <c r="B977" s="255">
        <v>8</v>
      </c>
      <c r="C977" s="10" t="s">
        <v>131</v>
      </c>
      <c r="D977" s="10">
        <v>2</v>
      </c>
      <c r="E977" s="10">
        <v>37</v>
      </c>
      <c r="F977" s="10" t="s">
        <v>38</v>
      </c>
      <c r="G977" s="10" t="s">
        <v>695</v>
      </c>
      <c r="H977" s="10" t="str" cm="1">
        <f t="array" aca="1" ref="H977" ca="1">IF(INDEX(I977:Z977,$H$1)=0,"",INDEX(I977:Z977,$H$1))</f>
        <v>Light Liquid</v>
      </c>
      <c r="I977" s="17" t="s">
        <v>155</v>
      </c>
      <c r="J977" s="17" t="s">
        <v>865</v>
      </c>
      <c r="K977" s="27" t="s">
        <v>1540</v>
      </c>
    </row>
    <row r="978" spans="1:11" x14ac:dyDescent="0.35">
      <c r="A978" s="10" t="s">
        <v>1284</v>
      </c>
      <c r="B978" s="255">
        <v>8</v>
      </c>
      <c r="C978" s="10" t="s">
        <v>131</v>
      </c>
      <c r="D978" s="10">
        <v>2</v>
      </c>
      <c r="E978" s="10">
        <v>38</v>
      </c>
      <c r="F978" s="10" t="s">
        <v>38</v>
      </c>
      <c r="G978" s="10" t="s">
        <v>695</v>
      </c>
      <c r="H978" s="10" t="str" cm="1">
        <f t="array" aca="1" ref="H978" ca="1">IF(INDEX(I978:Z978,$H$1)=0,"",INDEX(I978:Z978,$H$1))</f>
        <v>Heavy Liquid</v>
      </c>
      <c r="I978" s="17" t="s">
        <v>156</v>
      </c>
      <c r="J978" s="17" t="s">
        <v>866</v>
      </c>
      <c r="K978" s="27" t="s">
        <v>1541</v>
      </c>
    </row>
    <row r="979" spans="1:11" x14ac:dyDescent="0.35">
      <c r="A979" s="10" t="s">
        <v>1284</v>
      </c>
      <c r="B979" s="255">
        <v>8</v>
      </c>
      <c r="C979" s="10" t="s">
        <v>218</v>
      </c>
      <c r="D979" s="10">
        <v>3</v>
      </c>
      <c r="E979" s="10">
        <v>42</v>
      </c>
      <c r="F979" s="10" t="s">
        <v>690</v>
      </c>
      <c r="G979" s="10" t="s">
        <v>688</v>
      </c>
      <c r="H979" s="10" t="str" cm="1">
        <f t="array" aca="1" ref="H979" ca="1">IF(INDEX(I979:Z979,$H$1)=0,"",INDEX(I979:Z979,$H$1))</f>
        <v>Natural Gas Transmission &amp; Storage</v>
      </c>
      <c r="I979" s="10" t="s">
        <v>218</v>
      </c>
      <c r="J979" s="10" t="s">
        <v>923</v>
      </c>
      <c r="K979" s="27" t="s">
        <v>1666</v>
      </c>
    </row>
    <row r="980" spans="1:11" x14ac:dyDescent="0.35">
      <c r="A980" s="10" t="s">
        <v>1284</v>
      </c>
      <c r="B980" s="255">
        <v>8</v>
      </c>
      <c r="C980" s="10" t="s">
        <v>218</v>
      </c>
      <c r="D980" s="10">
        <v>3</v>
      </c>
      <c r="E980" s="10">
        <v>43</v>
      </c>
      <c r="F980" s="10" t="s">
        <v>690</v>
      </c>
      <c r="G980" s="10" t="s">
        <v>696</v>
      </c>
      <c r="H980" s="10" t="str" cm="1">
        <f t="array" aca="1" ref="H980" ca="1">IF(INDEX(I980:Z980,$H$1)=0,"",INDEX(I980:Z980,$H$1))</f>
        <v>Equipment Component Type</v>
      </c>
      <c r="I980" s="10" t="s">
        <v>172</v>
      </c>
      <c r="J980" s="10" t="s">
        <v>1229</v>
      </c>
      <c r="K980" s="27" t="s">
        <v>1516</v>
      </c>
    </row>
    <row r="981" spans="1:11" x14ac:dyDescent="0.35">
      <c r="A981" s="10" t="s">
        <v>1284</v>
      </c>
      <c r="B981" s="255">
        <v>8</v>
      </c>
      <c r="C981" s="10" t="s">
        <v>218</v>
      </c>
      <c r="D981" s="10">
        <v>3</v>
      </c>
      <c r="E981" s="10">
        <v>43</v>
      </c>
      <c r="F981" s="10" t="s">
        <v>38</v>
      </c>
      <c r="G981" s="10" t="s">
        <v>696</v>
      </c>
      <c r="H981" s="10" t="str" cm="1">
        <f t="array" aca="1" ref="H981" ca="1">IF(INDEX(I981:Z981,$H$1)=0,"",INDEX(I981:Z981,$H$1))</f>
        <v>Service</v>
      </c>
      <c r="I981" s="10" t="s">
        <v>133</v>
      </c>
      <c r="J981" s="10" t="s">
        <v>832</v>
      </c>
      <c r="K981" s="27" t="s">
        <v>1517</v>
      </c>
    </row>
    <row r="982" spans="1:11" x14ac:dyDescent="0.35">
      <c r="A982" s="10" t="s">
        <v>1284</v>
      </c>
      <c r="B982" s="255">
        <v>8</v>
      </c>
      <c r="C982" s="10" t="s">
        <v>218</v>
      </c>
      <c r="D982" s="10">
        <v>3</v>
      </c>
      <c r="E982" s="10">
        <v>43</v>
      </c>
      <c r="F982" s="10" t="s">
        <v>692</v>
      </c>
      <c r="G982" s="10" t="s">
        <v>696</v>
      </c>
      <c r="H982" s="10" t="str" cm="1">
        <f t="array" aca="1" ref="H982" ca="1">IF(INDEX(I982:Z982,$H$1)=0,"",INDEX(I982:Z982,$H$1))</f>
        <v>CEPEI (2016) Factors</v>
      </c>
      <c r="I982" s="10" t="s">
        <v>220</v>
      </c>
      <c r="J982" s="10" t="s">
        <v>924</v>
      </c>
      <c r="K982" s="27" t="s">
        <v>1667</v>
      </c>
    </row>
    <row r="983" spans="1:11" x14ac:dyDescent="0.35">
      <c r="A983" s="10" t="s">
        <v>1284</v>
      </c>
      <c r="B983" s="255">
        <v>8</v>
      </c>
      <c r="C983" s="10" t="s">
        <v>218</v>
      </c>
      <c r="D983" s="10">
        <v>3</v>
      </c>
      <c r="E983" s="10">
        <v>43</v>
      </c>
      <c r="F983" s="10" t="s">
        <v>591</v>
      </c>
      <c r="G983" s="10" t="s">
        <v>696</v>
      </c>
      <c r="H983" s="10" t="str" cm="1">
        <f t="array" aca="1" ref="H983" ca="1">IF(INDEX(I983:Z983,$H$1)=0,"",INDEX(I983:Z983,$H$1))</f>
        <v>Developed Average Emission Factor</v>
      </c>
      <c r="I983" s="10" t="s">
        <v>271</v>
      </c>
      <c r="J983" s="10" t="s">
        <v>1223</v>
      </c>
      <c r="K983" s="27" t="s">
        <v>1641</v>
      </c>
    </row>
    <row r="984" spans="1:11" x14ac:dyDescent="0.35">
      <c r="A984" s="10" t="s">
        <v>1284</v>
      </c>
      <c r="B984" s="255">
        <v>8</v>
      </c>
      <c r="C984" s="10" t="s">
        <v>218</v>
      </c>
      <c r="D984" s="10">
        <v>3</v>
      </c>
      <c r="E984" s="10">
        <v>44</v>
      </c>
      <c r="F984" s="10" t="s">
        <v>692</v>
      </c>
      <c r="G984" s="10" t="s">
        <v>696</v>
      </c>
      <c r="H984" s="10" t="str" cm="1">
        <f t="array" aca="1" ref="H984" ca="1">IF(INDEX(I984:Z984,$H$1)=0,"",INDEX(I984:Z984,$H$1))</f>
        <v>Implied Leak</v>
      </c>
      <c r="I984" s="10" t="s">
        <v>167</v>
      </c>
      <c r="J984" s="10" t="s">
        <v>900</v>
      </c>
      <c r="K984" s="27" t="s">
        <v>1642</v>
      </c>
    </row>
    <row r="985" spans="1:11" x14ac:dyDescent="0.35">
      <c r="A985" s="10" t="s">
        <v>1284</v>
      </c>
      <c r="B985" s="255">
        <v>8</v>
      </c>
      <c r="C985" s="10" t="s">
        <v>218</v>
      </c>
      <c r="D985" s="10">
        <v>3</v>
      </c>
      <c r="E985" s="10">
        <v>44</v>
      </c>
      <c r="F985" s="10" t="s">
        <v>693</v>
      </c>
      <c r="G985" s="10" t="s">
        <v>696</v>
      </c>
      <c r="H985" s="10" t="str" cm="1">
        <f t="array" aca="1" ref="H985" ca="1">IF(INDEX(I985:Z985,$H$1)=0,"",INDEX(I985:Z985,$H$1))</f>
        <v>Average</v>
      </c>
      <c r="I985" s="10" t="s">
        <v>135</v>
      </c>
      <c r="J985" s="10" t="s">
        <v>901</v>
      </c>
      <c r="K985" s="27" t="s">
        <v>1643</v>
      </c>
    </row>
    <row r="986" spans="1:11" x14ac:dyDescent="0.35">
      <c r="A986" s="10" t="s">
        <v>1284</v>
      </c>
      <c r="B986" s="255">
        <v>8</v>
      </c>
      <c r="C986" s="10" t="s">
        <v>218</v>
      </c>
      <c r="D986" s="10">
        <v>3</v>
      </c>
      <c r="E986" s="10">
        <v>44</v>
      </c>
      <c r="F986" s="10" t="s">
        <v>694</v>
      </c>
      <c r="G986" s="10" t="s">
        <v>696</v>
      </c>
      <c r="H986" s="10" t="str" cm="1">
        <f t="array" aca="1" ref="H986" ca="1">IF(INDEX(I986:Z986,$H$1)=0,"",INDEX(I986:Z986,$H$1))</f>
        <v>Leak</v>
      </c>
      <c r="I986" s="10" t="s">
        <v>136</v>
      </c>
      <c r="J986" s="10" t="s">
        <v>1259</v>
      </c>
      <c r="K986" s="27" t="s">
        <v>1644</v>
      </c>
    </row>
    <row r="987" spans="1:11" x14ac:dyDescent="0.35">
      <c r="A987" s="10" t="s">
        <v>1284</v>
      </c>
      <c r="B987" s="255">
        <v>8</v>
      </c>
      <c r="C987" s="10" t="s">
        <v>218</v>
      </c>
      <c r="D987" s="10">
        <v>3</v>
      </c>
      <c r="E987" s="10">
        <v>44</v>
      </c>
      <c r="F987" s="10" t="s">
        <v>711</v>
      </c>
      <c r="G987" s="10" t="s">
        <v>696</v>
      </c>
      <c r="H987" s="10" t="str" cm="1">
        <f t="array" aca="1" ref="H987" ca="1">IF(INDEX(I987:Z987,$H$1)=0,"",INDEX(I987:Z987,$H$1))</f>
        <v>No-Leak</v>
      </c>
      <c r="I987" s="10" t="s">
        <v>137</v>
      </c>
      <c r="J987" s="10" t="s">
        <v>902</v>
      </c>
      <c r="K987" s="27" t="s">
        <v>1645</v>
      </c>
    </row>
    <row r="988" spans="1:11" x14ac:dyDescent="0.35">
      <c r="A988" s="10" t="s">
        <v>1284</v>
      </c>
      <c r="B988" s="255">
        <v>8</v>
      </c>
      <c r="C988" s="10" t="s">
        <v>218</v>
      </c>
      <c r="D988" s="10">
        <v>3</v>
      </c>
      <c r="E988" s="10">
        <v>44</v>
      </c>
      <c r="F988" s="10" t="s">
        <v>591</v>
      </c>
      <c r="G988" s="10" t="s">
        <v>696</v>
      </c>
      <c r="H988" s="10" t="str" cm="1">
        <f t="array" aca="1" ref="H988" ca="1">IF(INDEX(I988:Z988,$H$1)=0,"",INDEX(I988:Z988,$H$1))</f>
        <v xml:space="preserve">Leak </v>
      </c>
      <c r="I988" s="10" t="s">
        <v>138</v>
      </c>
      <c r="J988" s="10" t="s">
        <v>1259</v>
      </c>
      <c r="K988" s="27" t="s">
        <v>1644</v>
      </c>
    </row>
    <row r="989" spans="1:11" x14ac:dyDescent="0.35">
      <c r="A989" s="10" t="s">
        <v>1284</v>
      </c>
      <c r="B989" s="255">
        <v>8</v>
      </c>
      <c r="C989" s="10" t="s">
        <v>218</v>
      </c>
      <c r="D989" s="10">
        <v>3</v>
      </c>
      <c r="E989" s="10">
        <v>44</v>
      </c>
      <c r="F989" s="10" t="s">
        <v>712</v>
      </c>
      <c r="G989" s="10" t="s">
        <v>696</v>
      </c>
      <c r="H989" s="10" t="str" cm="1">
        <f t="array" aca="1" ref="H989" ca="1">IF(INDEX(I989:Z989,$H$1)=0,"",INDEX(I989:Z989,$H$1))</f>
        <v>Uncontrolled</v>
      </c>
      <c r="I989" s="10" t="s">
        <v>139</v>
      </c>
      <c r="J989" s="10" t="s">
        <v>903</v>
      </c>
      <c r="K989" s="27" t="s">
        <v>1646</v>
      </c>
    </row>
    <row r="990" spans="1:11" x14ac:dyDescent="0.35">
      <c r="A990" s="10" t="s">
        <v>1284</v>
      </c>
      <c r="B990" s="255">
        <v>8</v>
      </c>
      <c r="C990" s="10" t="s">
        <v>218</v>
      </c>
      <c r="D990" s="10">
        <v>3</v>
      </c>
      <c r="E990" s="10">
        <v>44</v>
      </c>
      <c r="F990" s="10" t="s">
        <v>713</v>
      </c>
      <c r="G990" s="10" t="s">
        <v>696</v>
      </c>
      <c r="H990" s="10" t="str" cm="1">
        <f t="array" aca="1" ref="H990" ca="1">IF(INDEX(I990:Z990,$H$1)=0,"",INDEX(I990:Z990,$H$1))</f>
        <v>Control</v>
      </c>
      <c r="I990" s="10" t="s">
        <v>140</v>
      </c>
      <c r="J990" s="10" t="s">
        <v>904</v>
      </c>
      <c r="K990" s="27" t="s">
        <v>140</v>
      </c>
    </row>
    <row r="991" spans="1:11" x14ac:dyDescent="0.35">
      <c r="A991" s="10" t="s">
        <v>1284</v>
      </c>
      <c r="B991" s="255">
        <v>8</v>
      </c>
      <c r="C991" s="10" t="s">
        <v>218</v>
      </c>
      <c r="D991" s="10">
        <v>3</v>
      </c>
      <c r="E991" s="10">
        <v>44</v>
      </c>
      <c r="F991" s="10" t="s">
        <v>772</v>
      </c>
      <c r="G991" s="10" t="s">
        <v>696</v>
      </c>
      <c r="H991" s="10" t="str" cm="1">
        <f t="array" aca="1" ref="H991" ca="1">IF(INDEX(I991:Z991,$H$1)=0,"",INDEX(I991:Z991,$H$1))</f>
        <v>Controlled</v>
      </c>
      <c r="I991" s="10" t="s">
        <v>141</v>
      </c>
      <c r="J991" s="10" t="s">
        <v>905</v>
      </c>
      <c r="K991" s="27" t="s">
        <v>1647</v>
      </c>
    </row>
    <row r="992" spans="1:11" x14ac:dyDescent="0.35">
      <c r="A992" s="10" t="s">
        <v>1284</v>
      </c>
      <c r="B992" s="255">
        <v>8</v>
      </c>
      <c r="C992" s="10" t="s">
        <v>218</v>
      </c>
      <c r="D992" s="10">
        <v>3</v>
      </c>
      <c r="E992" s="10">
        <v>44</v>
      </c>
      <c r="F992" s="10" t="s">
        <v>594</v>
      </c>
      <c r="G992" s="10" t="s">
        <v>696</v>
      </c>
      <c r="H992" s="10" t="str" cm="1">
        <f t="array" aca="1" ref="H992" ca="1">IF(INDEX(I992:Z992,$H$1)=0,"",INDEX(I992:Z992,$H$1))</f>
        <v xml:space="preserve">Specified Leak </v>
      </c>
      <c r="I992" s="10" t="s">
        <v>142</v>
      </c>
      <c r="J992" s="10" t="s">
        <v>906</v>
      </c>
      <c r="K992" s="27" t="s">
        <v>1648</v>
      </c>
    </row>
    <row r="993" spans="1:11" x14ac:dyDescent="0.35">
      <c r="A993" s="10" t="s">
        <v>1284</v>
      </c>
      <c r="B993" s="255">
        <v>8</v>
      </c>
      <c r="C993" s="10" t="s">
        <v>218</v>
      </c>
      <c r="D993" s="10">
        <v>3</v>
      </c>
      <c r="E993" s="10">
        <v>44</v>
      </c>
      <c r="F993" s="10" t="s">
        <v>775</v>
      </c>
      <c r="G993" s="10" t="s">
        <v>696</v>
      </c>
      <c r="H993" s="10" t="str" cm="1">
        <f t="array" aca="1" ref="H993" ca="1">IF(INDEX(I993:Z993,$H$1)=0,"",INDEX(I993:Z993,$H$1))</f>
        <v xml:space="preserve">Equipment Modification </v>
      </c>
      <c r="I993" s="10" t="s">
        <v>171</v>
      </c>
      <c r="J993" s="10" t="s">
        <v>907</v>
      </c>
      <c r="K993" s="27" t="s">
        <v>1649</v>
      </c>
    </row>
    <row r="994" spans="1:11" x14ac:dyDescent="0.35">
      <c r="A994" s="10" t="s">
        <v>1284</v>
      </c>
      <c r="B994" s="255">
        <v>8</v>
      </c>
      <c r="C994" s="10" t="s">
        <v>218</v>
      </c>
      <c r="D994" s="10">
        <v>3</v>
      </c>
      <c r="E994" s="10">
        <v>45</v>
      </c>
      <c r="F994" s="10" t="s">
        <v>692</v>
      </c>
      <c r="G994" s="10" t="s">
        <v>696</v>
      </c>
      <c r="H994" s="10" t="str" cm="1">
        <f t="array" aca="1" ref="H994" ca="1">IF(INDEX(I994:Z994,$H$1)=0,"",INDEX(I994:Z994,$H$1))</f>
        <v>Frequency</v>
      </c>
      <c r="I994" s="10" t="s">
        <v>143</v>
      </c>
      <c r="J994" s="10" t="s">
        <v>908</v>
      </c>
      <c r="K994" s="27" t="s">
        <v>1650</v>
      </c>
    </row>
    <row r="995" spans="1:11" x14ac:dyDescent="0.35">
      <c r="A995" s="10" t="s">
        <v>1284</v>
      </c>
      <c r="B995" s="255">
        <v>8</v>
      </c>
      <c r="C995" s="10" t="s">
        <v>218</v>
      </c>
      <c r="D995" s="10">
        <v>3</v>
      </c>
      <c r="E995" s="10">
        <v>45</v>
      </c>
      <c r="F995" s="10" t="s">
        <v>693</v>
      </c>
      <c r="G995" s="10" t="s">
        <v>696</v>
      </c>
      <c r="H995" s="10" t="str" cm="1">
        <f t="array" aca="1" ref="H995" ca="1">IF(INDEX(I995:Z995,$H$1)=0,"",INDEX(I995:Z995,$H$1))</f>
        <v>(kg/h/source)</v>
      </c>
      <c r="I995" s="10" t="s">
        <v>144</v>
      </c>
      <c r="J995" s="10" t="s">
        <v>909</v>
      </c>
      <c r="K995" s="27" t="s">
        <v>1651</v>
      </c>
    </row>
    <row r="996" spans="1:11" x14ac:dyDescent="0.35">
      <c r="A996" s="10" t="s">
        <v>1284</v>
      </c>
      <c r="B996" s="255">
        <v>8</v>
      </c>
      <c r="C996" s="10" t="s">
        <v>218</v>
      </c>
      <c r="D996" s="10">
        <v>3</v>
      </c>
      <c r="E996" s="10">
        <v>45</v>
      </c>
      <c r="F996" s="10" t="s">
        <v>694</v>
      </c>
      <c r="G996" s="10" t="s">
        <v>696</v>
      </c>
      <c r="H996" s="10" t="str" cm="1">
        <f t="array" aca="1" ref="H996" ca="1">IF(INDEX(I996:Z996,$H$1)=0,"",INDEX(I996:Z996,$H$1))</f>
        <v>(kg/h/source)</v>
      </c>
      <c r="I996" s="10" t="s">
        <v>144</v>
      </c>
      <c r="J996" s="10" t="s">
        <v>909</v>
      </c>
      <c r="K996" s="27" t="s">
        <v>1651</v>
      </c>
    </row>
    <row r="997" spans="1:11" x14ac:dyDescent="0.35">
      <c r="A997" s="10" t="s">
        <v>1284</v>
      </c>
      <c r="B997" s="255">
        <v>8</v>
      </c>
      <c r="C997" s="10" t="s">
        <v>218</v>
      </c>
      <c r="D997" s="10">
        <v>3</v>
      </c>
      <c r="E997" s="10">
        <v>45</v>
      </c>
      <c r="F997" s="10" t="s">
        <v>711</v>
      </c>
      <c r="G997" s="10" t="s">
        <v>696</v>
      </c>
      <c r="H997" s="10" t="str" cm="1">
        <f t="array" aca="1" ref="H997" ca="1">IF(INDEX(I997:Z997,$H$1)=0,"",INDEX(I997:Z997,$H$1))</f>
        <v>(kg/h/source)</v>
      </c>
      <c r="I997" s="10" t="s">
        <v>144</v>
      </c>
      <c r="J997" s="10" t="s">
        <v>909</v>
      </c>
      <c r="K997" s="27" t="s">
        <v>1651</v>
      </c>
    </row>
    <row r="998" spans="1:11" x14ac:dyDescent="0.35">
      <c r="A998" s="10" t="s">
        <v>1284</v>
      </c>
      <c r="B998" s="255">
        <v>8</v>
      </c>
      <c r="C998" s="10" t="s">
        <v>218</v>
      </c>
      <c r="D998" s="10">
        <v>3</v>
      </c>
      <c r="E998" s="10">
        <v>45</v>
      </c>
      <c r="F998" s="10" t="s">
        <v>591</v>
      </c>
      <c r="G998" s="10" t="s">
        <v>696</v>
      </c>
      <c r="H998" s="10" t="str" cm="1">
        <f t="array" aca="1" ref="H998" ca="1">IF(INDEX(I998:Z998,$H$1)=0,"",INDEX(I998:Z998,$H$1))</f>
        <v>Frequency</v>
      </c>
      <c r="I998" s="10" t="s">
        <v>143</v>
      </c>
      <c r="J998" s="10" t="s">
        <v>908</v>
      </c>
      <c r="K998" s="27" t="s">
        <v>1650</v>
      </c>
    </row>
    <row r="999" spans="1:11" x14ac:dyDescent="0.35">
      <c r="A999" s="10" t="s">
        <v>1284</v>
      </c>
      <c r="B999" s="255">
        <v>8</v>
      </c>
      <c r="C999" s="10" t="s">
        <v>218</v>
      </c>
      <c r="D999" s="10">
        <v>3</v>
      </c>
      <c r="E999" s="10">
        <v>45</v>
      </c>
      <c r="F999" s="10" t="s">
        <v>712</v>
      </c>
      <c r="G999" s="10" t="s">
        <v>696</v>
      </c>
      <c r="H999" s="10" t="str" cm="1">
        <f t="array" aca="1" ref="H999" ca="1">IF(INDEX(I999:Z999,$H$1)=0,"",INDEX(I999:Z999,$H$1))</f>
        <v>Emission Factor</v>
      </c>
      <c r="I999" s="10" t="s">
        <v>145</v>
      </c>
      <c r="J999" s="10" t="s">
        <v>910</v>
      </c>
      <c r="K999" s="27" t="s">
        <v>1583</v>
      </c>
    </row>
    <row r="1000" spans="1:11" x14ac:dyDescent="0.35">
      <c r="A1000" s="10" t="s">
        <v>1284</v>
      </c>
      <c r="B1000" s="255">
        <v>8</v>
      </c>
      <c r="C1000" s="10" t="s">
        <v>218</v>
      </c>
      <c r="D1000" s="10">
        <v>3</v>
      </c>
      <c r="E1000" s="10">
        <v>45</v>
      </c>
      <c r="F1000" s="10" t="s">
        <v>713</v>
      </c>
      <c r="G1000" s="10" t="s">
        <v>696</v>
      </c>
      <c r="H1000" s="10" t="str" cm="1">
        <f t="array" aca="1" ref="H1000" ca="1">IF(INDEX(I1000:Z1000,$H$1)=0,"",INDEX(I1000:Z1000,$H$1))</f>
        <v>Adjustment</v>
      </c>
      <c r="I1000" s="10" t="s">
        <v>334</v>
      </c>
      <c r="J1000" s="10" t="s">
        <v>911</v>
      </c>
      <c r="K1000" s="27" t="s">
        <v>1652</v>
      </c>
    </row>
    <row r="1001" spans="1:11" x14ac:dyDescent="0.35">
      <c r="A1001" s="10" t="s">
        <v>1284</v>
      </c>
      <c r="B1001" s="255">
        <v>8</v>
      </c>
      <c r="C1001" s="10" t="s">
        <v>218</v>
      </c>
      <c r="D1001" s="10">
        <v>3</v>
      </c>
      <c r="E1001" s="10">
        <v>45</v>
      </c>
      <c r="F1001" s="10" t="s">
        <v>772</v>
      </c>
      <c r="G1001" s="10" t="s">
        <v>696</v>
      </c>
      <c r="H1001" s="10" t="str" cm="1">
        <f t="array" aca="1" ref="H1001" ca="1">IF(INDEX(I1001:Z1001,$H$1)=0,"",INDEX(I1001:Z1001,$H$1))</f>
        <v>Emission Factor</v>
      </c>
      <c r="I1001" s="10" t="s">
        <v>145</v>
      </c>
      <c r="J1001" s="10" t="s">
        <v>910</v>
      </c>
      <c r="K1001" s="27" t="s">
        <v>1583</v>
      </c>
    </row>
    <row r="1002" spans="1:11" x14ac:dyDescent="0.35">
      <c r="A1002" s="10" t="s">
        <v>1284</v>
      </c>
      <c r="B1002" s="255">
        <v>8</v>
      </c>
      <c r="C1002" s="10" t="s">
        <v>218</v>
      </c>
      <c r="D1002" s="10">
        <v>3</v>
      </c>
      <c r="E1002" s="10">
        <v>45</v>
      </c>
      <c r="F1002" s="10" t="s">
        <v>594</v>
      </c>
      <c r="G1002" s="10" t="s">
        <v>696</v>
      </c>
      <c r="H1002" s="10" t="str" cm="1">
        <f t="array" aca="1" ref="H1002" ca="1">IF(INDEX(I1002:Z1002,$H$1)=0,"",INDEX(I1002:Z1002,$H$1))</f>
        <v>Frequency</v>
      </c>
      <c r="I1002" s="10" t="s">
        <v>143</v>
      </c>
      <c r="J1002" s="10" t="s">
        <v>908</v>
      </c>
      <c r="K1002" s="27" t="s">
        <v>1650</v>
      </c>
    </row>
    <row r="1003" spans="1:11" x14ac:dyDescent="0.35">
      <c r="A1003" s="10" t="s">
        <v>1284</v>
      </c>
      <c r="B1003" s="255">
        <v>8</v>
      </c>
      <c r="C1003" s="10" t="s">
        <v>218</v>
      </c>
      <c r="D1003" s="10">
        <v>3</v>
      </c>
      <c r="E1003" s="10">
        <v>45</v>
      </c>
      <c r="F1003" s="10" t="s">
        <v>775</v>
      </c>
      <c r="G1003" s="10" t="s">
        <v>696</v>
      </c>
      <c r="H1003" s="10" t="str" cm="1">
        <f t="array" aca="1" ref="H1003" ca="1">IF(INDEX(I1003:Z1003,$H$1)=0,"",INDEX(I1003:Z1003,$H$1))</f>
        <v>Modification</v>
      </c>
      <c r="I1003" s="10" t="s">
        <v>168</v>
      </c>
      <c r="J1003" s="10" t="s">
        <v>912</v>
      </c>
      <c r="K1003" s="27" t="s">
        <v>1653</v>
      </c>
    </row>
    <row r="1004" spans="1:11" x14ac:dyDescent="0.35">
      <c r="A1004" s="10" t="s">
        <v>1284</v>
      </c>
      <c r="B1004" s="255">
        <v>8</v>
      </c>
      <c r="C1004" s="10" t="s">
        <v>218</v>
      </c>
      <c r="D1004" s="10">
        <v>3</v>
      </c>
      <c r="E1004" s="10">
        <v>45</v>
      </c>
      <c r="F1004" s="10" t="s">
        <v>777</v>
      </c>
      <c r="G1004" s="10" t="s">
        <v>696</v>
      </c>
      <c r="H1004" s="10" t="str" cm="1">
        <f t="array" aca="1" ref="H1004" ca="1">IF(INDEX(I1004:Z1004,$H$1)=0,"",INDEX(I1004:Z1004,$H$1))</f>
        <v xml:space="preserve">Percent of </v>
      </c>
      <c r="I1004" s="10" t="s">
        <v>169</v>
      </c>
      <c r="J1004" s="10" t="s">
        <v>913</v>
      </c>
      <c r="K1004" s="27" t="s">
        <v>1654</v>
      </c>
    </row>
    <row r="1005" spans="1:11" x14ac:dyDescent="0.35">
      <c r="A1005" s="10" t="s">
        <v>1284</v>
      </c>
      <c r="B1005" s="255">
        <v>8</v>
      </c>
      <c r="C1005" s="10" t="s">
        <v>218</v>
      </c>
      <c r="D1005" s="10">
        <v>3</v>
      </c>
      <c r="E1005" s="10">
        <v>45</v>
      </c>
      <c r="F1005" s="10" t="s">
        <v>718</v>
      </c>
      <c r="G1005" s="10" t="s">
        <v>696</v>
      </c>
      <c r="H1005" s="10" t="str" cm="1">
        <f t="array" aca="1" ref="H1005" ca="1">IF(INDEX(I1005:Z1005,$H$1)=0,"",INDEX(I1005:Z1005,$H$1))</f>
        <v>Control Factor</v>
      </c>
      <c r="I1005" s="10" t="s">
        <v>170</v>
      </c>
      <c r="J1005" s="10" t="s">
        <v>914</v>
      </c>
      <c r="K1005" s="27" t="s">
        <v>1655</v>
      </c>
    </row>
    <row r="1006" spans="1:11" x14ac:dyDescent="0.35">
      <c r="A1006" s="10" t="s">
        <v>1284</v>
      </c>
      <c r="B1006" s="255">
        <v>8</v>
      </c>
      <c r="C1006" s="10" t="s">
        <v>218</v>
      </c>
      <c r="D1006" s="10">
        <v>3</v>
      </c>
      <c r="E1006" s="10">
        <v>46</v>
      </c>
      <c r="F1006" s="10" t="s">
        <v>692</v>
      </c>
      <c r="G1006" s="10" t="s">
        <v>696</v>
      </c>
      <c r="H1006" s="10" t="str" cm="1">
        <f t="array" aca="1" ref="H1006" ca="1">IF(INDEX(I1006:Z1006,$H$1)=0,"",INDEX(I1006:Z1006,$H$1))</f>
        <v>(%)</v>
      </c>
      <c r="I1006" s="10" t="s">
        <v>146</v>
      </c>
      <c r="J1006" s="10" t="s">
        <v>146</v>
      </c>
      <c r="K1006" s="10" t="s">
        <v>146</v>
      </c>
    </row>
    <row r="1007" spans="1:11" x14ac:dyDescent="0.35">
      <c r="A1007" s="10" t="s">
        <v>1284</v>
      </c>
      <c r="B1007" s="255">
        <v>8</v>
      </c>
      <c r="C1007" s="10" t="s">
        <v>218</v>
      </c>
      <c r="D1007" s="10">
        <v>3</v>
      </c>
      <c r="E1007" s="10">
        <v>46</v>
      </c>
      <c r="F1007" s="10" t="s">
        <v>591</v>
      </c>
      <c r="G1007" s="10" t="s">
        <v>696</v>
      </c>
      <c r="H1007" s="10" t="str" cm="1">
        <f t="array" aca="1" ref="H1007" ca="1">IF(INDEX(I1007:Z1007,$H$1)=0,"",INDEX(I1007:Z1007,$H$1))</f>
        <v>(%)</v>
      </c>
      <c r="I1007" s="10" t="s">
        <v>146</v>
      </c>
      <c r="J1007" s="10" t="s">
        <v>146</v>
      </c>
      <c r="K1007" s="10" t="s">
        <v>146</v>
      </c>
    </row>
    <row r="1008" spans="1:11" x14ac:dyDescent="0.35">
      <c r="A1008" s="10" t="s">
        <v>1284</v>
      </c>
      <c r="B1008" s="255">
        <v>8</v>
      </c>
      <c r="C1008" s="10" t="s">
        <v>218</v>
      </c>
      <c r="D1008" s="10">
        <v>3</v>
      </c>
      <c r="E1008" s="10">
        <v>46</v>
      </c>
      <c r="F1008" s="10" t="s">
        <v>712</v>
      </c>
      <c r="G1008" s="10" t="s">
        <v>696</v>
      </c>
      <c r="H1008" s="10" t="str" cm="1">
        <f t="array" aca="1" ref="H1008" ca="1">IF(INDEX(I1008:Z1008,$H$1)=0,"",INDEX(I1008:Z1008,$H$1))</f>
        <v>(kg/h/source)</v>
      </c>
      <c r="I1008" s="10" t="s">
        <v>144</v>
      </c>
      <c r="J1008" s="10" t="s">
        <v>909</v>
      </c>
      <c r="K1008" s="27" t="s">
        <v>1651</v>
      </c>
    </row>
    <row r="1009" spans="1:11" x14ac:dyDescent="0.35">
      <c r="A1009" s="10" t="s">
        <v>1284</v>
      </c>
      <c r="B1009" s="255">
        <v>8</v>
      </c>
      <c r="C1009" s="10" t="s">
        <v>218</v>
      </c>
      <c r="D1009" s="10">
        <v>3</v>
      </c>
      <c r="E1009" s="10">
        <v>46</v>
      </c>
      <c r="F1009" s="10" t="s">
        <v>713</v>
      </c>
      <c r="G1009" s="10" t="s">
        <v>696</v>
      </c>
      <c r="H1009" s="10" t="str" cm="1">
        <f t="array" aca="1" ref="H1009" ca="1">IF(INDEX(I1009:Z1009,$H$1)=0,"",INDEX(I1009:Z1009,$H$1))</f>
        <v>(%)</v>
      </c>
      <c r="I1009" s="10" t="s">
        <v>146</v>
      </c>
      <c r="J1009" s="10" t="s">
        <v>146</v>
      </c>
      <c r="K1009" s="10" t="s">
        <v>146</v>
      </c>
    </row>
    <row r="1010" spans="1:11" x14ac:dyDescent="0.35">
      <c r="A1010" s="10" t="s">
        <v>1284</v>
      </c>
      <c r="B1010" s="255">
        <v>8</v>
      </c>
      <c r="C1010" s="10" t="s">
        <v>218</v>
      </c>
      <c r="D1010" s="10">
        <v>3</v>
      </c>
      <c r="E1010" s="10">
        <v>46</v>
      </c>
      <c r="F1010" s="10" t="s">
        <v>772</v>
      </c>
      <c r="G1010" s="10" t="s">
        <v>696</v>
      </c>
      <c r="H1010" s="10" t="str" cm="1">
        <f t="array" aca="1" ref="H1010" ca="1">IF(INDEX(I1010:Z1010,$H$1)=0,"",INDEX(I1010:Z1010,$H$1))</f>
        <v>(kg/h/source)</v>
      </c>
      <c r="I1010" s="10" t="s">
        <v>144</v>
      </c>
      <c r="J1010" s="10" t="s">
        <v>909</v>
      </c>
      <c r="K1010" s="27" t="s">
        <v>1651</v>
      </c>
    </row>
    <row r="1011" spans="1:11" x14ac:dyDescent="0.35">
      <c r="A1011" s="10" t="s">
        <v>1284</v>
      </c>
      <c r="B1011" s="255">
        <v>8</v>
      </c>
      <c r="C1011" s="10" t="s">
        <v>218</v>
      </c>
      <c r="D1011" s="10">
        <v>3</v>
      </c>
      <c r="E1011" s="10">
        <v>46</v>
      </c>
      <c r="F1011" s="10" t="s">
        <v>773</v>
      </c>
      <c r="G1011" s="10" t="s">
        <v>696</v>
      </c>
      <c r="H1011" s="10" t="str" cm="1">
        <f t="array" aca="1" ref="H1011" ca="1">IF(INDEX(I1011:Z1011,$H$1)=0,"",INDEX(I1011:Z1011,$H$1))</f>
        <v>(Nm3/h/source)</v>
      </c>
      <c r="I1011" s="10" t="s">
        <v>896</v>
      </c>
      <c r="J1011" s="10" t="s">
        <v>915</v>
      </c>
      <c r="K1011" s="27" t="s">
        <v>1656</v>
      </c>
    </row>
    <row r="1012" spans="1:11" x14ac:dyDescent="0.35">
      <c r="A1012" s="10" t="s">
        <v>1284</v>
      </c>
      <c r="B1012" s="255">
        <v>8</v>
      </c>
      <c r="C1012" s="10" t="s">
        <v>218</v>
      </c>
      <c r="D1012" s="10">
        <v>3</v>
      </c>
      <c r="E1012" s="10">
        <v>46</v>
      </c>
      <c r="F1012" s="10" t="s">
        <v>771</v>
      </c>
      <c r="G1012" s="10" t="s">
        <v>696</v>
      </c>
      <c r="H1012" s="10" t="str" cm="1">
        <f t="array" aca="1" ref="H1012" ca="1">IF(INDEX(I1012:Z1012,$H$1)=0,"",INDEX(I1012:Z1012,$H$1))</f>
        <v>(Nm3 CH4/h/source)</v>
      </c>
      <c r="I1012" s="10" t="s">
        <v>897</v>
      </c>
      <c r="J1012" s="10" t="s">
        <v>916</v>
      </c>
      <c r="K1012" s="27" t="s">
        <v>1657</v>
      </c>
    </row>
    <row r="1013" spans="1:11" x14ac:dyDescent="0.35">
      <c r="A1013" s="10" t="s">
        <v>1284</v>
      </c>
      <c r="B1013" s="255">
        <v>8</v>
      </c>
      <c r="C1013" s="10" t="s">
        <v>218</v>
      </c>
      <c r="D1013" s="10">
        <v>3</v>
      </c>
      <c r="E1013" s="10">
        <v>46</v>
      </c>
      <c r="F1013" s="10" t="s">
        <v>594</v>
      </c>
      <c r="G1013" s="10" t="s">
        <v>696</v>
      </c>
      <c r="H1013" s="10" t="str" cm="1">
        <f t="array" aca="1" ref="H1013" ca="1">IF(INDEX(I1013:Z1013,$H$1)=0,"",INDEX(I1013:Z1013,$H$1))</f>
        <v>(%)</v>
      </c>
      <c r="I1013" s="10" t="s">
        <v>146</v>
      </c>
      <c r="J1013" s="10" t="s">
        <v>146</v>
      </c>
      <c r="K1013" s="10" t="s">
        <v>146</v>
      </c>
    </row>
    <row r="1014" spans="1:11" x14ac:dyDescent="0.35">
      <c r="A1014" s="10" t="s">
        <v>1284</v>
      </c>
      <c r="B1014" s="255">
        <v>8</v>
      </c>
      <c r="C1014" s="10" t="s">
        <v>218</v>
      </c>
      <c r="D1014" s="10">
        <v>3</v>
      </c>
      <c r="E1014" s="10">
        <v>46</v>
      </c>
      <c r="F1014" s="10" t="s">
        <v>777</v>
      </c>
      <c r="G1014" s="10" t="s">
        <v>696</v>
      </c>
      <c r="H1014" s="10" t="str" cm="1">
        <f t="array" aca="1" ref="H1014" ca="1">IF(INDEX(I1014:Z1014,$H$1)=0,"",INDEX(I1014:Z1014,$H$1))</f>
        <v>Components Controlled</v>
      </c>
      <c r="I1014" s="10" t="s">
        <v>183</v>
      </c>
      <c r="J1014" s="10" t="s">
        <v>1210</v>
      </c>
      <c r="K1014" s="27" t="s">
        <v>1658</v>
      </c>
    </row>
    <row r="1015" spans="1:11" x14ac:dyDescent="0.35">
      <c r="A1015" s="10" t="s">
        <v>1284</v>
      </c>
      <c r="B1015" s="255">
        <v>8</v>
      </c>
      <c r="C1015" s="10" t="s">
        <v>218</v>
      </c>
      <c r="D1015" s="10">
        <v>3</v>
      </c>
      <c r="E1015" s="10">
        <v>46</v>
      </c>
      <c r="F1015" s="10" t="s">
        <v>718</v>
      </c>
      <c r="G1015" s="10" t="s">
        <v>696</v>
      </c>
      <c r="H1015" s="10" t="str" cm="1">
        <f t="array" aca="1" ref="H1015" ca="1">IF(INDEX(I1015:Z1015,$H$1)=0,"",INDEX(I1015:Z1015,$H$1))</f>
        <v>(%)</v>
      </c>
      <c r="I1015" s="10" t="s">
        <v>146</v>
      </c>
      <c r="J1015" s="10" t="s">
        <v>146</v>
      </c>
      <c r="K1015" s="10" t="s">
        <v>146</v>
      </c>
    </row>
    <row r="1016" spans="1:11" x14ac:dyDescent="0.35">
      <c r="A1016" s="10" t="s">
        <v>1284</v>
      </c>
      <c r="B1016" s="255">
        <v>8</v>
      </c>
      <c r="C1016" s="10" t="s">
        <v>218</v>
      </c>
      <c r="D1016" s="10">
        <v>3</v>
      </c>
      <c r="E1016" s="10">
        <v>47</v>
      </c>
      <c r="F1016" s="10" t="s">
        <v>692</v>
      </c>
      <c r="G1016" s="10" t="s">
        <v>696</v>
      </c>
      <c r="H1016" s="10" t="str" cm="1">
        <f t="array" aca="1" ref="H1016" ca="1">IF(INDEX(I1016:Z1016,$H$1)=0,"",INDEX(I1016:Z1016,$H$1))</f>
        <v>Calculated (use as default)</v>
      </c>
      <c r="I1016" s="10" t="s">
        <v>147</v>
      </c>
      <c r="J1016" s="10" t="s">
        <v>917</v>
      </c>
      <c r="K1016" s="27" t="s">
        <v>1659</v>
      </c>
    </row>
    <row r="1017" spans="1:11" x14ac:dyDescent="0.35">
      <c r="A1017" s="10" t="s">
        <v>1284</v>
      </c>
      <c r="B1017" s="255">
        <v>8</v>
      </c>
      <c r="C1017" s="10" t="s">
        <v>218</v>
      </c>
      <c r="D1017" s="10">
        <v>3</v>
      </c>
      <c r="E1017" s="10">
        <v>47</v>
      </c>
      <c r="F1017" s="10" t="s">
        <v>712</v>
      </c>
      <c r="G1017" s="10" t="s">
        <v>696</v>
      </c>
      <c r="H1017" s="10" t="str" cm="1">
        <f t="array" aca="1" ref="H1017" ca="1">IF(INDEX(I1017:Z1017,$H$1)=0,"",INDEX(I1017:Z1017,$H$1))</f>
        <v>Calculated based on Leak, No-Leak factors and adjustable leak frequency</v>
      </c>
      <c r="I1017" s="10" t="s">
        <v>150</v>
      </c>
      <c r="J1017" s="10" t="s">
        <v>920</v>
      </c>
      <c r="K1017" s="27" t="s">
        <v>1662</v>
      </c>
    </row>
    <row r="1018" spans="1:11" x14ac:dyDescent="0.35">
      <c r="A1018" s="10" t="s">
        <v>1284</v>
      </c>
      <c r="B1018" s="255">
        <v>8</v>
      </c>
      <c r="C1018" s="10" t="s">
        <v>218</v>
      </c>
      <c r="D1018" s="10">
        <v>3</v>
      </c>
      <c r="E1018" s="10">
        <v>47</v>
      </c>
      <c r="F1018" s="10" t="s">
        <v>772</v>
      </c>
      <c r="G1018" s="10" t="s">
        <v>696</v>
      </c>
      <c r="H1018" s="10" t="str" cm="1">
        <f t="array" aca="1" ref="H1018" ca="1">IF(INDEX(I1018:Z1018,$H$1)=0,"",INDEX(I1018:Z1018,$H$1))</f>
        <v>Calculated based on uncontrolled factors and adjustable control factor</v>
      </c>
      <c r="I1018" s="10" t="s">
        <v>151</v>
      </c>
      <c r="J1018" s="10" t="s">
        <v>1206</v>
      </c>
      <c r="K1018" s="27" t="s">
        <v>1663</v>
      </c>
    </row>
    <row r="1019" spans="1:11" x14ac:dyDescent="0.35">
      <c r="A1019" s="10" t="s">
        <v>1284</v>
      </c>
      <c r="B1019" s="255">
        <v>8</v>
      </c>
      <c r="C1019" s="10" t="s">
        <v>218</v>
      </c>
      <c r="D1019" s="10">
        <v>3</v>
      </c>
      <c r="E1019" s="10">
        <v>47</v>
      </c>
      <c r="F1019" s="10" t="s">
        <v>773</v>
      </c>
      <c r="G1019" s="10" t="s">
        <v>696</v>
      </c>
      <c r="H1019" s="10" t="str" cm="1">
        <f t="array" aca="1" ref="H1019" ca="1">IF(INDEX(I1019:Z1019,$H$1)=0,"",INDEX(I1019:Z1019,$H$1))</f>
        <v>Calculated based on uncontrolled factors and adjustable control factor</v>
      </c>
      <c r="I1019" s="10" t="s">
        <v>151</v>
      </c>
      <c r="J1019" s="10" t="s">
        <v>1206</v>
      </c>
      <c r="K1019" s="27" t="s">
        <v>1663</v>
      </c>
    </row>
    <row r="1020" spans="1:11" x14ac:dyDescent="0.35">
      <c r="A1020" s="10" t="s">
        <v>1284</v>
      </c>
      <c r="B1020" s="255">
        <v>8</v>
      </c>
      <c r="C1020" s="10" t="s">
        <v>218</v>
      </c>
      <c r="D1020" s="10">
        <v>3</v>
      </c>
      <c r="E1020" s="10">
        <v>47</v>
      </c>
      <c r="F1020" s="10" t="s">
        <v>771</v>
      </c>
      <c r="G1020" s="10" t="s">
        <v>696</v>
      </c>
      <c r="H1020" s="10" t="str" cm="1">
        <f t="array" aca="1" ref="H1020" ca="1">IF(INDEX(I1020:Z1020,$H$1)=0,"",INDEX(I1020:Z1020,$H$1))</f>
        <v>Calculated based on uncontrolled factors and adjustable control factor</v>
      </c>
      <c r="I1020" s="10" t="s">
        <v>151</v>
      </c>
      <c r="J1020" s="10" t="s">
        <v>1206</v>
      </c>
      <c r="K1020" s="27" t="s">
        <v>1663</v>
      </c>
    </row>
    <row r="1021" spans="1:11" x14ac:dyDescent="0.35">
      <c r="A1021" s="10" t="s">
        <v>1284</v>
      </c>
      <c r="B1021" s="255">
        <v>8</v>
      </c>
      <c r="C1021" s="10" t="s">
        <v>218</v>
      </c>
      <c r="D1021" s="10">
        <v>3</v>
      </c>
      <c r="E1021" s="10">
        <v>47</v>
      </c>
      <c r="F1021" s="10" t="s">
        <v>594</v>
      </c>
      <c r="G1021" s="10" t="s">
        <v>696</v>
      </c>
      <c r="H1021" s="10" t="str" cm="1">
        <f t="array" aca="1" ref="H1021" ca="1">IF(INDEX(I1021:Z1021,$H$1)=0,"",INDEX(I1021:Z1021,$H$1))</f>
        <v>Adjustable Input (Assume to be zero if not entered)</v>
      </c>
      <c r="I1021" s="10" t="s">
        <v>152</v>
      </c>
      <c r="J1021" s="10" t="s">
        <v>921</v>
      </c>
      <c r="K1021" s="27" t="s">
        <v>1664</v>
      </c>
    </row>
    <row r="1022" spans="1:11" x14ac:dyDescent="0.35">
      <c r="A1022" s="10" t="s">
        <v>1284</v>
      </c>
      <c r="B1022" s="255">
        <v>8</v>
      </c>
      <c r="C1022" s="10" t="s">
        <v>218</v>
      </c>
      <c r="D1022" s="10">
        <v>3</v>
      </c>
      <c r="E1022" s="10">
        <v>47</v>
      </c>
      <c r="F1022" s="10" t="s">
        <v>775</v>
      </c>
      <c r="G1022" s="10" t="s">
        <v>696</v>
      </c>
      <c r="H1022" s="10" t="str" cm="1">
        <f t="array" aca="1" ref="H1022" ca="1">IF(INDEX(I1022:Z1022,$H$1)=0,"",INDEX(I1022:Z1022,$H$1))</f>
        <v>Adjustable Input (Assume to be zero if not entered)</v>
      </c>
      <c r="I1022" s="10" t="s">
        <v>152</v>
      </c>
      <c r="J1022" s="10" t="s">
        <v>921</v>
      </c>
      <c r="K1022" s="27" t="s">
        <v>1664</v>
      </c>
    </row>
    <row r="1023" spans="1:11" x14ac:dyDescent="0.35">
      <c r="A1023" s="10" t="s">
        <v>1284</v>
      </c>
      <c r="B1023" s="255">
        <v>8</v>
      </c>
      <c r="C1023" s="10" t="s">
        <v>218</v>
      </c>
      <c r="D1023" s="10">
        <v>3</v>
      </c>
      <c r="E1023" s="10">
        <v>47</v>
      </c>
      <c r="F1023" s="10" t="s">
        <v>777</v>
      </c>
      <c r="G1023" s="10" t="s">
        <v>696</v>
      </c>
      <c r="H1023" s="10" t="str" cm="1">
        <f t="array" aca="1" ref="H1023" ca="1">IF(INDEX(I1023:Z1023,$H$1)=0,"",INDEX(I1023:Z1023,$H$1))</f>
        <v>Adjustable Input (Assume to be zero if not entered)</v>
      </c>
      <c r="I1023" s="10" t="s">
        <v>152</v>
      </c>
      <c r="J1023" s="10" t="s">
        <v>921</v>
      </c>
      <c r="K1023" s="27" t="s">
        <v>1664</v>
      </c>
    </row>
    <row r="1024" spans="1:11" x14ac:dyDescent="0.35">
      <c r="A1024" s="10" t="s">
        <v>1284</v>
      </c>
      <c r="B1024" s="255">
        <v>8</v>
      </c>
      <c r="C1024" s="10" t="s">
        <v>218</v>
      </c>
      <c r="D1024" s="10">
        <v>3</v>
      </c>
      <c r="E1024" s="10">
        <v>47</v>
      </c>
      <c r="F1024" s="10" t="s">
        <v>718</v>
      </c>
      <c r="G1024" s="10" t="s">
        <v>696</v>
      </c>
      <c r="H1024" s="10" t="str" cm="1">
        <f t="array" aca="1" ref="H1024" ca="1">IF(INDEX(I1024:Z1024,$H$1)=0,"",INDEX(I1024:Z1024,$H$1))</f>
        <v>Determined from Lookup Table</v>
      </c>
      <c r="I1024" s="10" t="s">
        <v>247</v>
      </c>
      <c r="J1024" s="10" t="s">
        <v>922</v>
      </c>
      <c r="K1024" s="27" t="s">
        <v>1668</v>
      </c>
    </row>
    <row r="1025" spans="1:11" x14ac:dyDescent="0.35">
      <c r="A1025" s="10" t="s">
        <v>1284</v>
      </c>
      <c r="B1025" s="255">
        <v>8</v>
      </c>
      <c r="C1025" s="10" t="s">
        <v>218</v>
      </c>
      <c r="D1025" s="10">
        <v>3</v>
      </c>
      <c r="E1025" s="10">
        <v>47</v>
      </c>
      <c r="F1025" s="10" t="s">
        <v>690</v>
      </c>
      <c r="G1025" s="10" t="s">
        <v>696</v>
      </c>
      <c r="H1025" s="10" t="str" cm="1">
        <f t="array" aca="1" ref="H1025" ca="1">IF(INDEX(I1025:Z1025,$H$1)=0,"",INDEX(I1025:Z1025,$H$1))</f>
        <v>Calculation Method</v>
      </c>
      <c r="I1025" s="10" t="s">
        <v>2252</v>
      </c>
      <c r="J1025" s="10" t="s">
        <v>2254</v>
      </c>
      <c r="K1025" s="27" t="s">
        <v>2253</v>
      </c>
    </row>
    <row r="1026" spans="1:11" x14ac:dyDescent="0.35">
      <c r="A1026" s="10" t="s">
        <v>1284</v>
      </c>
      <c r="B1026" s="255">
        <v>8</v>
      </c>
      <c r="C1026" s="10" t="s">
        <v>218</v>
      </c>
      <c r="D1026" s="10">
        <v>3</v>
      </c>
      <c r="E1026" s="10">
        <v>48</v>
      </c>
      <c r="F1026" s="10" t="s">
        <v>690</v>
      </c>
      <c r="G1026" s="10" t="s">
        <v>695</v>
      </c>
      <c r="H1026" s="10" t="str" cm="1">
        <f t="array" aca="1" ref="H1026" ca="1">IF(INDEX(I1026:Z1026,$H$1)=0,"",INDEX(I1026:Z1026,$H$1))</f>
        <v>Valves (All)</v>
      </c>
      <c r="I1026" s="17" t="s">
        <v>223</v>
      </c>
      <c r="J1026" s="17" t="s">
        <v>925</v>
      </c>
      <c r="K1026" s="27" t="s">
        <v>1669</v>
      </c>
    </row>
    <row r="1027" spans="1:11" x14ac:dyDescent="0.35">
      <c r="A1027" s="10" t="s">
        <v>1284</v>
      </c>
      <c r="B1027" s="255">
        <v>8</v>
      </c>
      <c r="C1027" s="10" t="s">
        <v>218</v>
      </c>
      <c r="D1027" s="10">
        <v>3</v>
      </c>
      <c r="E1027" s="10">
        <v>48</v>
      </c>
      <c r="F1027" s="10" t="s">
        <v>38</v>
      </c>
      <c r="G1027" s="10" t="s">
        <v>695</v>
      </c>
      <c r="H1027" s="10" t="str" cm="1">
        <f t="array" aca="1" ref="H1027" ca="1">IF(INDEX(I1027:Z1027,$H$1)=0,"",INDEX(I1027:Z1027,$H$1))</f>
        <v>Gas</v>
      </c>
      <c r="I1027" s="17" t="s">
        <v>154</v>
      </c>
      <c r="J1027" s="17" t="s">
        <v>864</v>
      </c>
      <c r="K1027" s="27" t="s">
        <v>154</v>
      </c>
    </row>
    <row r="1028" spans="1:11" x14ac:dyDescent="0.35">
      <c r="A1028" s="10" t="s">
        <v>1284</v>
      </c>
      <c r="B1028" s="255">
        <v>8</v>
      </c>
      <c r="C1028" s="10" t="s">
        <v>218</v>
      </c>
      <c r="D1028" s="10">
        <v>3</v>
      </c>
      <c r="E1028" s="10">
        <v>49</v>
      </c>
      <c r="F1028" s="10" t="s">
        <v>38</v>
      </c>
      <c r="G1028" s="10" t="s">
        <v>695</v>
      </c>
      <c r="H1028" s="10" t="str" cm="1">
        <f t="array" aca="1" ref="H1028" ca="1">IF(INDEX(I1028:Z1028,$H$1)=0,"",INDEX(I1028:Z1028,$H$1))</f>
        <v>Light Liquid</v>
      </c>
      <c r="I1028" s="17" t="s">
        <v>155</v>
      </c>
      <c r="J1028" s="17" t="s">
        <v>865</v>
      </c>
      <c r="K1028" s="27" t="s">
        <v>1540</v>
      </c>
    </row>
    <row r="1029" spans="1:11" x14ac:dyDescent="0.35">
      <c r="A1029" s="10" t="s">
        <v>1284</v>
      </c>
      <c r="B1029" s="255">
        <v>8</v>
      </c>
      <c r="C1029" s="10" t="s">
        <v>218</v>
      </c>
      <c r="D1029" s="10">
        <v>3</v>
      </c>
      <c r="E1029" s="10">
        <v>50</v>
      </c>
      <c r="F1029" s="10" t="s">
        <v>38</v>
      </c>
      <c r="G1029" s="10" t="s">
        <v>695</v>
      </c>
      <c r="H1029" s="10" t="str" cm="1">
        <f t="array" aca="1" ref="H1029" ca="1">IF(INDEX(I1029:Z1029,$H$1)=0,"",INDEX(I1029:Z1029,$H$1))</f>
        <v>Heavy Liquid</v>
      </c>
      <c r="I1029" s="17" t="s">
        <v>156</v>
      </c>
      <c r="J1029" s="17" t="s">
        <v>866</v>
      </c>
      <c r="K1029" s="27" t="s">
        <v>1541</v>
      </c>
    </row>
    <row r="1030" spans="1:11" x14ac:dyDescent="0.35">
      <c r="A1030" s="10" t="s">
        <v>1284</v>
      </c>
      <c r="B1030" s="255">
        <v>8</v>
      </c>
      <c r="C1030" s="10" t="s">
        <v>218</v>
      </c>
      <c r="D1030" s="10">
        <v>3</v>
      </c>
      <c r="E1030" s="10">
        <v>51</v>
      </c>
      <c r="F1030" s="10" t="s">
        <v>690</v>
      </c>
      <c r="G1030" s="10" t="s">
        <v>695</v>
      </c>
      <c r="H1030" s="10" t="str" cm="1">
        <f t="array" aca="1" ref="H1030" ca="1">IF(INDEX(I1030:Z1030,$H$1)=0,"",INDEX(I1030:Z1030,$H$1))</f>
        <v>Valves (Block)</v>
      </c>
      <c r="I1030" s="17" t="s">
        <v>221</v>
      </c>
      <c r="J1030" s="17" t="s">
        <v>853</v>
      </c>
      <c r="K1030" s="27" t="s">
        <v>1542</v>
      </c>
    </row>
    <row r="1031" spans="1:11" x14ac:dyDescent="0.35">
      <c r="A1031" s="10" t="s">
        <v>1284</v>
      </c>
      <c r="B1031" s="255">
        <v>8</v>
      </c>
      <c r="C1031" s="10" t="s">
        <v>218</v>
      </c>
      <c r="D1031" s="10">
        <v>3</v>
      </c>
      <c r="E1031" s="10">
        <v>51</v>
      </c>
      <c r="F1031" s="10" t="s">
        <v>38</v>
      </c>
      <c r="G1031" s="10" t="s">
        <v>695</v>
      </c>
      <c r="H1031" s="10" t="str" cm="1">
        <f t="array" aca="1" ref="H1031" ca="1">IF(INDEX(I1031:Z1031,$H$1)=0,"",INDEX(I1031:Z1031,$H$1))</f>
        <v>Gas</v>
      </c>
      <c r="I1031" s="17" t="s">
        <v>154</v>
      </c>
      <c r="J1031" s="17" t="s">
        <v>864</v>
      </c>
      <c r="K1031" s="27" t="s">
        <v>154</v>
      </c>
    </row>
    <row r="1032" spans="1:11" x14ac:dyDescent="0.35">
      <c r="A1032" s="10" t="s">
        <v>1284</v>
      </c>
      <c r="B1032" s="255">
        <v>8</v>
      </c>
      <c r="C1032" s="10" t="s">
        <v>218</v>
      </c>
      <c r="D1032" s="10">
        <v>3</v>
      </c>
      <c r="E1032" s="10">
        <v>52</v>
      </c>
      <c r="F1032" s="10" t="s">
        <v>690</v>
      </c>
      <c r="G1032" s="10" t="s">
        <v>695</v>
      </c>
      <c r="H1032" s="10" t="str" cm="1">
        <f t="array" aca="1" ref="H1032" ca="1">IF(INDEX(I1032:Z1032,$H$1)=0,"",INDEX(I1032:Z1032,$H$1))</f>
        <v>Valves (Control)</v>
      </c>
      <c r="I1032" s="17" t="s">
        <v>222</v>
      </c>
      <c r="J1032" s="17" t="s">
        <v>854</v>
      </c>
      <c r="K1032" s="27" t="s">
        <v>1543</v>
      </c>
    </row>
    <row r="1033" spans="1:11" x14ac:dyDescent="0.35">
      <c r="A1033" s="10" t="s">
        <v>1284</v>
      </c>
      <c r="B1033" s="255">
        <v>8</v>
      </c>
      <c r="C1033" s="10" t="s">
        <v>218</v>
      </c>
      <c r="D1033" s="10">
        <v>3</v>
      </c>
      <c r="E1033" s="10">
        <v>52</v>
      </c>
      <c r="F1033" s="10" t="s">
        <v>38</v>
      </c>
      <c r="G1033" s="10" t="s">
        <v>695</v>
      </c>
      <c r="H1033" s="10" t="str" cm="1">
        <f t="array" aca="1" ref="H1033" ca="1">IF(INDEX(I1033:Z1033,$H$1)=0,"",INDEX(I1033:Z1033,$H$1))</f>
        <v>Gas</v>
      </c>
      <c r="I1033" s="17" t="s">
        <v>154</v>
      </c>
      <c r="J1033" s="17" t="s">
        <v>864</v>
      </c>
      <c r="K1033" s="27" t="s">
        <v>154</v>
      </c>
    </row>
    <row r="1034" spans="1:11" x14ac:dyDescent="0.35">
      <c r="A1034" s="10" t="s">
        <v>1284</v>
      </c>
      <c r="B1034" s="255">
        <v>8</v>
      </c>
      <c r="C1034" s="10" t="s">
        <v>218</v>
      </c>
      <c r="D1034" s="10">
        <v>3</v>
      </c>
      <c r="E1034" s="10">
        <v>53</v>
      </c>
      <c r="F1034" s="10" t="s">
        <v>690</v>
      </c>
      <c r="G1034" s="10" t="s">
        <v>695</v>
      </c>
      <c r="H1034" s="10" t="str" cm="1">
        <f t="array" aca="1" ref="H1034" ca="1">IF(INDEX(I1034:Z1034,$H$1)=0,"",INDEX(I1034:Z1034,$H$1))</f>
        <v>Pump Seals</v>
      </c>
      <c r="I1034" s="17" t="s">
        <v>157</v>
      </c>
      <c r="J1034" s="17" t="s">
        <v>855</v>
      </c>
      <c r="K1034" s="27" t="s">
        <v>1544</v>
      </c>
    </row>
    <row r="1035" spans="1:11" x14ac:dyDescent="0.35">
      <c r="A1035" s="10" t="s">
        <v>1284</v>
      </c>
      <c r="B1035" s="255">
        <v>8</v>
      </c>
      <c r="C1035" s="10" t="s">
        <v>218</v>
      </c>
      <c r="D1035" s="10">
        <v>3</v>
      </c>
      <c r="E1035" s="10">
        <v>53</v>
      </c>
      <c r="F1035" s="10" t="s">
        <v>38</v>
      </c>
      <c r="G1035" s="10" t="s">
        <v>695</v>
      </c>
      <c r="H1035" s="10" t="str" cm="1">
        <f t="array" aca="1" ref="H1035" ca="1">IF(INDEX(I1035:Z1035,$H$1)=0,"",INDEX(I1035:Z1035,$H$1))</f>
        <v>Light Liquid</v>
      </c>
      <c r="I1035" s="17" t="s">
        <v>155</v>
      </c>
      <c r="J1035" s="17" t="s">
        <v>865</v>
      </c>
      <c r="K1035" s="27" t="s">
        <v>1540</v>
      </c>
    </row>
    <row r="1036" spans="1:11" x14ac:dyDescent="0.35">
      <c r="A1036" s="10" t="s">
        <v>1284</v>
      </c>
      <c r="B1036" s="255">
        <v>8</v>
      </c>
      <c r="C1036" s="10" t="s">
        <v>218</v>
      </c>
      <c r="D1036" s="10">
        <v>3</v>
      </c>
      <c r="E1036" s="10">
        <v>54</v>
      </c>
      <c r="F1036" s="10" t="s">
        <v>38</v>
      </c>
      <c r="G1036" s="10" t="s">
        <v>695</v>
      </c>
      <c r="H1036" s="10" t="str" cm="1">
        <f t="array" aca="1" ref="H1036" ca="1">IF(INDEX(I1036:Z1036,$H$1)=0,"",INDEX(I1036:Z1036,$H$1))</f>
        <v>Heavy Liquid</v>
      </c>
      <c r="I1036" s="17" t="s">
        <v>156</v>
      </c>
      <c r="J1036" s="17" t="s">
        <v>866</v>
      </c>
      <c r="K1036" s="27" t="s">
        <v>1541</v>
      </c>
    </row>
    <row r="1037" spans="1:11" x14ac:dyDescent="0.35">
      <c r="A1037" s="10" t="s">
        <v>1284</v>
      </c>
      <c r="B1037" s="255">
        <v>8</v>
      </c>
      <c r="C1037" s="10" t="s">
        <v>218</v>
      </c>
      <c r="D1037" s="10">
        <v>3</v>
      </c>
      <c r="E1037" s="10">
        <v>55</v>
      </c>
      <c r="F1037" s="10" t="s">
        <v>690</v>
      </c>
      <c r="G1037" s="10" t="s">
        <v>695</v>
      </c>
      <c r="H1037" s="10" t="str" cm="1">
        <f t="array" aca="1" ref="H1037" ca="1">IF(INDEX(I1037:Z1037,$H$1)=0,"",INDEX(I1037:Z1037,$H$1))</f>
        <v xml:space="preserve">Compressor Seals (Reciprocating - Operating) </v>
      </c>
      <c r="I1037" s="17" t="s">
        <v>229</v>
      </c>
      <c r="J1037" s="17" t="s">
        <v>1216</v>
      </c>
      <c r="K1037" s="27" t="s">
        <v>1545</v>
      </c>
    </row>
    <row r="1038" spans="1:11" x14ac:dyDescent="0.35">
      <c r="A1038" s="10" t="s">
        <v>1284</v>
      </c>
      <c r="B1038" s="255">
        <v>8</v>
      </c>
      <c r="C1038" s="10" t="s">
        <v>218</v>
      </c>
      <c r="D1038" s="10">
        <v>3</v>
      </c>
      <c r="E1038" s="10">
        <v>55</v>
      </c>
      <c r="F1038" s="10" t="s">
        <v>38</v>
      </c>
      <c r="G1038" s="10" t="s">
        <v>695</v>
      </c>
      <c r="H1038" s="10" t="str" cm="1">
        <f t="array" aca="1" ref="H1038" ca="1">IF(INDEX(I1038:Z1038,$H$1)=0,"",INDEX(I1038:Z1038,$H$1))</f>
        <v>Gas</v>
      </c>
      <c r="I1038" s="17" t="s">
        <v>154</v>
      </c>
      <c r="J1038" s="17" t="s">
        <v>864</v>
      </c>
      <c r="K1038" s="27" t="s">
        <v>154</v>
      </c>
    </row>
    <row r="1039" spans="1:11" x14ac:dyDescent="0.35">
      <c r="A1039" s="10" t="s">
        <v>1284</v>
      </c>
      <c r="B1039" s="255">
        <v>8</v>
      </c>
      <c r="C1039" s="10" t="s">
        <v>218</v>
      </c>
      <c r="D1039" s="10">
        <v>3</v>
      </c>
      <c r="E1039" s="10">
        <v>56</v>
      </c>
      <c r="F1039" s="10" t="s">
        <v>690</v>
      </c>
      <c r="G1039" s="10" t="s">
        <v>695</v>
      </c>
      <c r="H1039" s="10" t="str" cm="1">
        <f t="array" aca="1" ref="H1039" ca="1">IF(INDEX(I1039:Z1039,$H$1)=0,"",INDEX(I1039:Z1039,$H$1))</f>
        <v>Compressor Seals (Reciprocating - Standby &amp; Pressurized)</v>
      </c>
      <c r="I1039" s="17" t="s">
        <v>276</v>
      </c>
      <c r="J1039" s="17" t="s">
        <v>1217</v>
      </c>
      <c r="K1039" s="27" t="s">
        <v>1546</v>
      </c>
    </row>
    <row r="1040" spans="1:11" x14ac:dyDescent="0.35">
      <c r="A1040" s="10" t="s">
        <v>1284</v>
      </c>
      <c r="B1040" s="255">
        <v>8</v>
      </c>
      <c r="C1040" s="10" t="s">
        <v>218</v>
      </c>
      <c r="D1040" s="10">
        <v>3</v>
      </c>
      <c r="E1040" s="10">
        <v>56</v>
      </c>
      <c r="F1040" s="10" t="s">
        <v>38</v>
      </c>
      <c r="G1040" s="10" t="s">
        <v>695</v>
      </c>
      <c r="H1040" s="10" t="str" cm="1">
        <f t="array" aca="1" ref="H1040" ca="1">IF(INDEX(I1040:Z1040,$H$1)=0,"",INDEX(I1040:Z1040,$H$1))</f>
        <v>Gas</v>
      </c>
      <c r="I1040" s="17" t="s">
        <v>154</v>
      </c>
      <c r="J1040" s="17" t="s">
        <v>864</v>
      </c>
      <c r="K1040" s="27" t="s">
        <v>154</v>
      </c>
    </row>
    <row r="1041" spans="1:11" x14ac:dyDescent="0.35">
      <c r="A1041" s="10" t="s">
        <v>1284</v>
      </c>
      <c r="B1041" s="255">
        <v>8</v>
      </c>
      <c r="C1041" s="10" t="s">
        <v>218</v>
      </c>
      <c r="D1041" s="10">
        <v>3</v>
      </c>
      <c r="E1041" s="10">
        <v>57</v>
      </c>
      <c r="F1041" s="10" t="s">
        <v>690</v>
      </c>
      <c r="G1041" s="10" t="s">
        <v>695</v>
      </c>
      <c r="H1041" s="10" t="str" cm="1">
        <f t="array" aca="1" ref="H1041" ca="1">IF(INDEX(I1041:Z1041,$H$1)=0,"",INDEX(I1041:Z1041,$H$1))</f>
        <v>Compressor Seals (Reciprocating - Depressurized)</v>
      </c>
      <c r="I1041" s="17" t="s">
        <v>277</v>
      </c>
      <c r="J1041" s="17" t="s">
        <v>1215</v>
      </c>
      <c r="K1041" s="27" t="s">
        <v>1547</v>
      </c>
    </row>
    <row r="1042" spans="1:11" x14ac:dyDescent="0.35">
      <c r="A1042" s="10" t="s">
        <v>1284</v>
      </c>
      <c r="B1042" s="255">
        <v>8</v>
      </c>
      <c r="C1042" s="10" t="s">
        <v>218</v>
      </c>
      <c r="D1042" s="10">
        <v>3</v>
      </c>
      <c r="E1042" s="10">
        <v>57</v>
      </c>
      <c r="F1042" s="10" t="s">
        <v>38</v>
      </c>
      <c r="G1042" s="10" t="s">
        <v>695</v>
      </c>
      <c r="H1042" s="10" t="str" cm="1">
        <f t="array" aca="1" ref="H1042" ca="1">IF(INDEX(I1042:Z1042,$H$1)=0,"",INDEX(I1042:Z1042,$H$1))</f>
        <v>Gas</v>
      </c>
      <c r="I1042" s="17" t="s">
        <v>154</v>
      </c>
      <c r="J1042" s="17" t="s">
        <v>864</v>
      </c>
      <c r="K1042" s="27" t="s">
        <v>154</v>
      </c>
    </row>
    <row r="1043" spans="1:11" x14ac:dyDescent="0.35">
      <c r="A1043" s="10" t="s">
        <v>1284</v>
      </c>
      <c r="B1043" s="255">
        <v>8</v>
      </c>
      <c r="C1043" s="10" t="s">
        <v>218</v>
      </c>
      <c r="D1043" s="10">
        <v>3</v>
      </c>
      <c r="E1043" s="10">
        <v>58</v>
      </c>
      <c r="F1043" s="10" t="s">
        <v>690</v>
      </c>
      <c r="G1043" s="10" t="s">
        <v>695</v>
      </c>
      <c r="H1043" s="10" t="str" cm="1">
        <f t="array" aca="1" ref="H1043" ca="1">IF(INDEX(I1043:Z1043,$H$1)=0,"",INDEX(I1043:Z1043,$H$1))</f>
        <v>Compressor Wet Seals (Centrifugal - Operating)</v>
      </c>
      <c r="I1043" s="17" t="s">
        <v>3213</v>
      </c>
      <c r="J1043" s="17" t="s">
        <v>1213</v>
      </c>
      <c r="K1043" s="27" t="s">
        <v>1548</v>
      </c>
    </row>
    <row r="1044" spans="1:11" x14ac:dyDescent="0.35">
      <c r="A1044" s="10" t="s">
        <v>1284</v>
      </c>
      <c r="B1044" s="255">
        <v>8</v>
      </c>
      <c r="C1044" s="10" t="s">
        <v>218</v>
      </c>
      <c r="D1044" s="10">
        <v>3</v>
      </c>
      <c r="E1044" s="10">
        <v>58</v>
      </c>
      <c r="F1044" s="10" t="s">
        <v>38</v>
      </c>
      <c r="G1044" s="10" t="s">
        <v>695</v>
      </c>
      <c r="H1044" s="10" t="str" cm="1">
        <f t="array" aca="1" ref="H1044" ca="1">IF(INDEX(I1044:Z1044,$H$1)=0,"",INDEX(I1044:Z1044,$H$1))</f>
        <v>Gas</v>
      </c>
      <c r="I1044" s="17" t="s">
        <v>154</v>
      </c>
      <c r="J1044" s="17" t="s">
        <v>864</v>
      </c>
      <c r="K1044" s="27" t="s">
        <v>154</v>
      </c>
    </row>
    <row r="1045" spans="1:11" x14ac:dyDescent="0.35">
      <c r="A1045" s="10" t="s">
        <v>1284</v>
      </c>
      <c r="B1045" s="255">
        <v>8</v>
      </c>
      <c r="C1045" s="10" t="s">
        <v>218</v>
      </c>
      <c r="D1045" s="10">
        <v>3</v>
      </c>
      <c r="E1045" s="10">
        <v>59</v>
      </c>
      <c r="F1045" s="10" t="s">
        <v>690</v>
      </c>
      <c r="G1045" s="10" t="s">
        <v>695</v>
      </c>
      <c r="H1045" s="10" t="str" cm="1">
        <f t="array" aca="1" ref="H1045" ca="1">IF(INDEX(I1045:Z1045,$H$1)=0,"",INDEX(I1045:Z1045,$H$1))</f>
        <v>Compressor Wet Seals (Centrifugal - Standby &amp; Pressurized)</v>
      </c>
      <c r="I1045" s="17" t="s">
        <v>3215</v>
      </c>
      <c r="J1045" s="17" t="s">
        <v>1214</v>
      </c>
      <c r="K1045" s="27" t="s">
        <v>1549</v>
      </c>
    </row>
    <row r="1046" spans="1:11" x14ac:dyDescent="0.35">
      <c r="A1046" s="10" t="s">
        <v>1284</v>
      </c>
      <c r="B1046" s="255">
        <v>8</v>
      </c>
      <c r="C1046" s="10" t="s">
        <v>218</v>
      </c>
      <c r="D1046" s="10">
        <v>3</v>
      </c>
      <c r="E1046" s="10">
        <v>59</v>
      </c>
      <c r="F1046" s="10" t="s">
        <v>38</v>
      </c>
      <c r="G1046" s="10" t="s">
        <v>695</v>
      </c>
      <c r="H1046" s="10" t="str" cm="1">
        <f t="array" aca="1" ref="H1046" ca="1">IF(INDEX(I1046:Z1046,$H$1)=0,"",INDEX(I1046:Z1046,$H$1))</f>
        <v>Gas</v>
      </c>
      <c r="I1046" s="17" t="s">
        <v>154</v>
      </c>
      <c r="J1046" s="17" t="s">
        <v>864</v>
      </c>
      <c r="K1046" s="27" t="s">
        <v>154</v>
      </c>
    </row>
    <row r="1047" spans="1:11" x14ac:dyDescent="0.35">
      <c r="A1047" s="10" t="s">
        <v>1284</v>
      </c>
      <c r="B1047" s="255">
        <v>8</v>
      </c>
      <c r="C1047" s="10" t="s">
        <v>218</v>
      </c>
      <c r="D1047" s="10">
        <v>3</v>
      </c>
      <c r="E1047" s="10">
        <v>60</v>
      </c>
      <c r="F1047" s="10" t="s">
        <v>690</v>
      </c>
      <c r="G1047" s="10" t="s">
        <v>695</v>
      </c>
      <c r="H1047" s="10" t="str" cm="1">
        <f t="array" aca="1" ref="H1047" ca="1">IF(INDEX(I1047:Z1047,$H$1)=0,"",INDEX(I1047:Z1047,$H$1))</f>
        <v>Compressor Wet Seals (Centrifugal - Depressurized)</v>
      </c>
      <c r="I1047" s="17" t="s">
        <v>3216</v>
      </c>
      <c r="J1047" s="17" t="s">
        <v>1212</v>
      </c>
      <c r="K1047" s="27" t="s">
        <v>1550</v>
      </c>
    </row>
    <row r="1048" spans="1:11" x14ac:dyDescent="0.35">
      <c r="A1048" s="10" t="s">
        <v>1284</v>
      </c>
      <c r="B1048" s="255">
        <v>8</v>
      </c>
      <c r="C1048" s="10" t="s">
        <v>218</v>
      </c>
      <c r="D1048" s="10">
        <v>3</v>
      </c>
      <c r="E1048" s="10">
        <v>60</v>
      </c>
      <c r="F1048" s="10" t="s">
        <v>690</v>
      </c>
      <c r="G1048" s="10" t="s">
        <v>695</v>
      </c>
      <c r="H1048" s="10" t="str" cm="1">
        <f t="array" aca="1" ref="H1048" ca="1">IF(INDEX(I1048:Z1048,$H$1)=0,"",INDEX(I1048:Z1048,$H$1))</f>
        <v>Compressor Dry Seals (Centrifugal - Operating)</v>
      </c>
      <c r="I1048" s="17" t="s">
        <v>3217</v>
      </c>
      <c r="J1048" s="17" t="s">
        <v>3217</v>
      </c>
      <c r="K1048" s="17" t="s">
        <v>3217</v>
      </c>
    </row>
    <row r="1049" spans="1:11" x14ac:dyDescent="0.35">
      <c r="A1049" s="10" t="s">
        <v>1284</v>
      </c>
      <c r="B1049" s="255">
        <v>8</v>
      </c>
      <c r="C1049" s="10" t="s">
        <v>218</v>
      </c>
      <c r="D1049" s="10">
        <v>3</v>
      </c>
      <c r="E1049" s="10">
        <v>60</v>
      </c>
      <c r="F1049" s="10" t="s">
        <v>690</v>
      </c>
      <c r="G1049" s="10" t="s">
        <v>695</v>
      </c>
      <c r="H1049" s="10" t="str" cm="1">
        <f t="array" aca="1" ref="H1049" ca="1">IF(INDEX(I1049:Z1049,$H$1)=0,"",INDEX(I1049:Z1049,$H$1))</f>
        <v>Compressor Dry Seals (Centrifugal - Standby &amp; Pressurized)</v>
      </c>
      <c r="I1049" s="17" t="s">
        <v>3214</v>
      </c>
      <c r="J1049" s="17" t="s">
        <v>3214</v>
      </c>
      <c r="K1049" s="17" t="s">
        <v>3214</v>
      </c>
    </row>
    <row r="1050" spans="1:11" x14ac:dyDescent="0.35">
      <c r="A1050" s="10" t="s">
        <v>1284</v>
      </c>
      <c r="B1050" s="255">
        <v>8</v>
      </c>
      <c r="C1050" s="10" t="s">
        <v>218</v>
      </c>
      <c r="D1050" s="10">
        <v>3</v>
      </c>
      <c r="E1050" s="10">
        <v>60</v>
      </c>
      <c r="F1050" s="10" t="s">
        <v>690</v>
      </c>
      <c r="G1050" s="10" t="s">
        <v>695</v>
      </c>
      <c r="H1050" s="10" t="str" cm="1">
        <f t="array" aca="1" ref="H1050" ca="1">IF(INDEX(I1050:Z1050,$H$1)=0,"",INDEX(I1050:Z1050,$H$1))</f>
        <v>Compressor Dry Seals (Centrifugal - Depressurized)</v>
      </c>
      <c r="I1050" s="17" t="s">
        <v>3218</v>
      </c>
      <c r="J1050" s="17" t="s">
        <v>3218</v>
      </c>
      <c r="K1050" s="17" t="s">
        <v>3218</v>
      </c>
    </row>
    <row r="1051" spans="1:11" x14ac:dyDescent="0.35">
      <c r="A1051" s="10" t="s">
        <v>1284</v>
      </c>
      <c r="B1051" s="255">
        <v>8</v>
      </c>
      <c r="C1051" s="10" t="s">
        <v>218</v>
      </c>
      <c r="D1051" s="10">
        <v>3</v>
      </c>
      <c r="E1051" s="10">
        <v>60</v>
      </c>
      <c r="F1051" s="10" t="s">
        <v>38</v>
      </c>
      <c r="G1051" s="10" t="s">
        <v>695</v>
      </c>
      <c r="H1051" s="10" t="str" cm="1">
        <f t="array" aca="1" ref="H1051" ca="1">IF(INDEX(I1051:Z1051,$H$1)=0,"",INDEX(I1051:Z1051,$H$1))</f>
        <v>Gas</v>
      </c>
      <c r="I1051" s="17" t="s">
        <v>154</v>
      </c>
      <c r="J1051" s="17" t="s">
        <v>864</v>
      </c>
      <c r="K1051" s="27" t="s">
        <v>154</v>
      </c>
    </row>
    <row r="1052" spans="1:11" x14ac:dyDescent="0.35">
      <c r="A1052" s="10" t="s">
        <v>1284</v>
      </c>
      <c r="B1052" s="255">
        <v>8</v>
      </c>
      <c r="C1052" s="10" t="s">
        <v>218</v>
      </c>
      <c r="D1052" s="10">
        <v>3</v>
      </c>
      <c r="E1052" s="10">
        <v>62</v>
      </c>
      <c r="F1052" s="10" t="s">
        <v>690</v>
      </c>
      <c r="G1052" s="10" t="s">
        <v>695</v>
      </c>
      <c r="H1052" s="10" t="str" cm="1">
        <f t="array" aca="1" ref="H1052" ca="1">IF(INDEX(I1052:Z1052,$H$1)=0,"",INDEX(I1052:Z1052,$H$1))</f>
        <v>Compressor (Reciprocating - Crankcase Vent)</v>
      </c>
      <c r="I1052" s="17" t="s">
        <v>278</v>
      </c>
      <c r="J1052" s="17" t="s">
        <v>1211</v>
      </c>
      <c r="K1052" s="27" t="s">
        <v>1551</v>
      </c>
    </row>
    <row r="1053" spans="1:11" x14ac:dyDescent="0.35">
      <c r="A1053" s="10" t="s">
        <v>1284</v>
      </c>
      <c r="B1053" s="255">
        <v>8</v>
      </c>
      <c r="C1053" s="10" t="s">
        <v>218</v>
      </c>
      <c r="D1053" s="10">
        <v>3</v>
      </c>
      <c r="E1053" s="10">
        <v>62</v>
      </c>
      <c r="F1053" s="10" t="s">
        <v>38</v>
      </c>
      <c r="G1053" s="10" t="s">
        <v>695</v>
      </c>
      <c r="H1053" s="10" t="str" cm="1">
        <f t="array" aca="1" ref="H1053" ca="1">IF(INDEX(I1053:Z1053,$H$1)=0,"",INDEX(I1053:Z1053,$H$1))</f>
        <v>Gas</v>
      </c>
      <c r="I1053" s="17" t="s">
        <v>154</v>
      </c>
      <c r="J1053" s="17" t="s">
        <v>864</v>
      </c>
      <c r="K1053" s="27" t="s">
        <v>154</v>
      </c>
    </row>
    <row r="1054" spans="1:11" x14ac:dyDescent="0.35">
      <c r="A1054" s="10" t="s">
        <v>1284</v>
      </c>
      <c r="B1054" s="255">
        <v>8</v>
      </c>
      <c r="C1054" s="10" t="s">
        <v>218</v>
      </c>
      <c r="D1054" s="10">
        <v>3</v>
      </c>
      <c r="E1054" s="10">
        <v>63</v>
      </c>
      <c r="F1054" s="10" t="s">
        <v>690</v>
      </c>
      <c r="G1054" s="10" t="s">
        <v>695</v>
      </c>
      <c r="H1054" s="10" t="str" cm="1">
        <f t="array" aca="1" ref="H1054" ca="1">IF(INDEX(I1054:Z1054,$H$1)=0,"",INDEX(I1054:Z1054,$H$1))</f>
        <v>Pressure Relief Valves</v>
      </c>
      <c r="I1054" s="17" t="s">
        <v>159</v>
      </c>
      <c r="J1054" s="17" t="s">
        <v>856</v>
      </c>
      <c r="K1054" s="27" t="s">
        <v>1552</v>
      </c>
    </row>
    <row r="1055" spans="1:11" x14ac:dyDescent="0.35">
      <c r="A1055" s="10" t="s">
        <v>1284</v>
      </c>
      <c r="B1055" s="255">
        <v>8</v>
      </c>
      <c r="C1055" s="10" t="s">
        <v>218</v>
      </c>
      <c r="D1055" s="10">
        <v>3</v>
      </c>
      <c r="E1055" s="10">
        <v>63</v>
      </c>
      <c r="F1055" s="10" t="s">
        <v>38</v>
      </c>
      <c r="G1055" s="10" t="s">
        <v>695</v>
      </c>
      <c r="H1055" s="10" t="str" cm="1">
        <f t="array" aca="1" ref="H1055" ca="1">IF(INDEX(I1055:Z1055,$H$1)=0,"",INDEX(I1055:Z1055,$H$1))</f>
        <v>Gas</v>
      </c>
      <c r="I1055" s="17" t="s">
        <v>154</v>
      </c>
      <c r="J1055" s="17" t="s">
        <v>864</v>
      </c>
      <c r="K1055" s="27" t="s">
        <v>154</v>
      </c>
    </row>
    <row r="1056" spans="1:11" x14ac:dyDescent="0.35">
      <c r="A1056" s="10" t="s">
        <v>1284</v>
      </c>
      <c r="B1056" s="255">
        <v>8</v>
      </c>
      <c r="C1056" s="10" t="s">
        <v>218</v>
      </c>
      <c r="D1056" s="10">
        <v>3</v>
      </c>
      <c r="E1056" s="10">
        <v>64</v>
      </c>
      <c r="F1056" s="10" t="s">
        <v>690</v>
      </c>
      <c r="G1056" s="10" t="s">
        <v>695</v>
      </c>
      <c r="H1056" s="10" t="str" cm="1">
        <f t="array" aca="1" ref="H1056" ca="1">IF(INDEX(I1056:Z1056,$H$1)=0,"",INDEX(I1056:Z1056,$H$1))</f>
        <v>Regulators</v>
      </c>
      <c r="I1056" s="17" t="s">
        <v>165</v>
      </c>
      <c r="J1056" s="17" t="s">
        <v>857</v>
      </c>
      <c r="K1056" s="27" t="s">
        <v>1553</v>
      </c>
    </row>
    <row r="1057" spans="1:11" x14ac:dyDescent="0.35">
      <c r="A1057" s="10" t="s">
        <v>1284</v>
      </c>
      <c r="B1057" s="255">
        <v>8</v>
      </c>
      <c r="C1057" s="10" t="s">
        <v>218</v>
      </c>
      <c r="D1057" s="10">
        <v>3</v>
      </c>
      <c r="E1057" s="10">
        <v>64</v>
      </c>
      <c r="F1057" s="10" t="s">
        <v>38</v>
      </c>
      <c r="G1057" s="10" t="s">
        <v>695</v>
      </c>
      <c r="H1057" s="10" t="str" cm="1">
        <f t="array" aca="1" ref="H1057" ca="1">IF(INDEX(I1057:Z1057,$H$1)=0,"",INDEX(I1057:Z1057,$H$1))</f>
        <v>Gas</v>
      </c>
      <c r="I1057" s="17" t="s">
        <v>154</v>
      </c>
      <c r="J1057" s="17" t="s">
        <v>864</v>
      </c>
      <c r="K1057" s="27" t="s">
        <v>154</v>
      </c>
    </row>
    <row r="1058" spans="1:11" x14ac:dyDescent="0.35">
      <c r="A1058" s="10" t="s">
        <v>1284</v>
      </c>
      <c r="B1058" s="255">
        <v>8</v>
      </c>
      <c r="C1058" s="10" t="s">
        <v>218</v>
      </c>
      <c r="D1058" s="10">
        <v>3</v>
      </c>
      <c r="E1058" s="10">
        <v>65</v>
      </c>
      <c r="F1058" s="10" t="s">
        <v>690</v>
      </c>
      <c r="G1058" s="10" t="s">
        <v>695</v>
      </c>
      <c r="H1058" s="10" t="str" cm="1">
        <f t="array" aca="1" ref="H1058" ca="1">IF(INDEX(I1058:Z1058,$H$1)=0,"",INDEX(I1058:Z1058,$H$1))</f>
        <v>Connectors</v>
      </c>
      <c r="I1058" s="17" t="s">
        <v>160</v>
      </c>
      <c r="J1058" s="17" t="s">
        <v>858</v>
      </c>
      <c r="K1058" s="27" t="s">
        <v>1554</v>
      </c>
    </row>
    <row r="1059" spans="1:11" x14ac:dyDescent="0.35">
      <c r="A1059" s="10" t="s">
        <v>1284</v>
      </c>
      <c r="B1059" s="255">
        <v>8</v>
      </c>
      <c r="C1059" s="10" t="s">
        <v>218</v>
      </c>
      <c r="D1059" s="10">
        <v>3</v>
      </c>
      <c r="E1059" s="10">
        <v>65</v>
      </c>
      <c r="F1059" s="10" t="s">
        <v>38</v>
      </c>
      <c r="G1059" s="10" t="s">
        <v>695</v>
      </c>
      <c r="H1059" s="10" t="str" cm="1">
        <f t="array" aca="1" ref="H1059" ca="1">IF(INDEX(I1059:Z1059,$H$1)=0,"",INDEX(I1059:Z1059,$H$1))</f>
        <v>Gas</v>
      </c>
      <c r="I1059" s="17" t="s">
        <v>154</v>
      </c>
      <c r="J1059" s="17" t="s">
        <v>864</v>
      </c>
      <c r="K1059" s="27" t="s">
        <v>154</v>
      </c>
    </row>
    <row r="1060" spans="1:11" x14ac:dyDescent="0.35">
      <c r="A1060" s="10" t="s">
        <v>1284</v>
      </c>
      <c r="B1060" s="255">
        <v>8</v>
      </c>
      <c r="C1060" s="10" t="s">
        <v>218</v>
      </c>
      <c r="D1060" s="10">
        <v>3</v>
      </c>
      <c r="E1060" s="10">
        <v>66</v>
      </c>
      <c r="F1060" s="10" t="s">
        <v>38</v>
      </c>
      <c r="G1060" s="10" t="s">
        <v>695</v>
      </c>
      <c r="H1060" s="10" t="str" cm="1">
        <f t="array" aca="1" ref="H1060" ca="1">IF(INDEX(I1060:Z1060,$H$1)=0,"",INDEX(I1060:Z1060,$H$1))</f>
        <v>Light Liquid</v>
      </c>
      <c r="I1060" s="17" t="s">
        <v>155</v>
      </c>
      <c r="J1060" s="17" t="s">
        <v>865</v>
      </c>
      <c r="K1060" s="27" t="s">
        <v>1540</v>
      </c>
    </row>
    <row r="1061" spans="1:11" x14ac:dyDescent="0.35">
      <c r="A1061" s="10" t="s">
        <v>1284</v>
      </c>
      <c r="B1061" s="255">
        <v>8</v>
      </c>
      <c r="C1061" s="10" t="s">
        <v>218</v>
      </c>
      <c r="D1061" s="10">
        <v>3</v>
      </c>
      <c r="E1061" s="10">
        <v>67</v>
      </c>
      <c r="F1061" s="10" t="s">
        <v>38</v>
      </c>
      <c r="G1061" s="10" t="s">
        <v>695</v>
      </c>
      <c r="H1061" s="10" t="str" cm="1">
        <f t="array" aca="1" ref="H1061" ca="1">IF(INDEX(I1061:Z1061,$H$1)=0,"",INDEX(I1061:Z1061,$H$1))</f>
        <v>Heavy Liquid</v>
      </c>
      <c r="I1061" s="17" t="s">
        <v>156</v>
      </c>
      <c r="J1061" s="17" t="s">
        <v>866</v>
      </c>
      <c r="K1061" s="27" t="s">
        <v>1541</v>
      </c>
    </row>
    <row r="1062" spans="1:11" x14ac:dyDescent="0.35">
      <c r="A1062" s="10" t="s">
        <v>1284</v>
      </c>
      <c r="B1062" s="255">
        <v>8</v>
      </c>
      <c r="C1062" s="10" t="s">
        <v>218</v>
      </c>
      <c r="D1062" s="10">
        <v>3</v>
      </c>
      <c r="E1062" s="10">
        <v>68</v>
      </c>
      <c r="F1062" s="10" t="s">
        <v>690</v>
      </c>
      <c r="G1062" s="10" t="s">
        <v>695</v>
      </c>
      <c r="H1062" s="10" t="str" cm="1">
        <f t="array" aca="1" ref="H1062" ca="1">IF(INDEX(I1062:Z1062,$H$1)=0,"",INDEX(I1062:Z1062,$H$1))</f>
        <v>Open-ended Lines</v>
      </c>
      <c r="I1062" s="17" t="s">
        <v>161</v>
      </c>
      <c r="J1062" s="17" t="s">
        <v>859</v>
      </c>
      <c r="K1062" s="27" t="s">
        <v>1555</v>
      </c>
    </row>
    <row r="1063" spans="1:11" x14ac:dyDescent="0.35">
      <c r="A1063" s="10" t="s">
        <v>1284</v>
      </c>
      <c r="B1063" s="255">
        <v>8</v>
      </c>
      <c r="C1063" s="10" t="s">
        <v>218</v>
      </c>
      <c r="D1063" s="10">
        <v>3</v>
      </c>
      <c r="E1063" s="10">
        <v>68</v>
      </c>
      <c r="F1063" s="10" t="s">
        <v>38</v>
      </c>
      <c r="G1063" s="10" t="s">
        <v>695</v>
      </c>
      <c r="H1063" s="10" t="str" cm="1">
        <f t="array" aca="1" ref="H1063" ca="1">IF(INDEX(I1063:Z1063,$H$1)=0,"",INDEX(I1063:Z1063,$H$1))</f>
        <v>Gas</v>
      </c>
      <c r="I1063" s="17" t="s">
        <v>154</v>
      </c>
      <c r="J1063" s="17" t="s">
        <v>864</v>
      </c>
      <c r="K1063" s="27" t="s">
        <v>154</v>
      </c>
    </row>
    <row r="1064" spans="1:11" x14ac:dyDescent="0.35">
      <c r="A1064" s="10" t="s">
        <v>1284</v>
      </c>
      <c r="B1064" s="255">
        <v>8</v>
      </c>
      <c r="C1064" s="10" t="s">
        <v>218</v>
      </c>
      <c r="D1064" s="10">
        <v>3</v>
      </c>
      <c r="E1064" s="10">
        <v>69</v>
      </c>
      <c r="F1064" s="10" t="s">
        <v>38</v>
      </c>
      <c r="G1064" s="10" t="s">
        <v>695</v>
      </c>
      <c r="H1064" s="10" t="str" cm="1">
        <f t="array" aca="1" ref="H1064" ca="1">IF(INDEX(I1064:Z1064,$H$1)=0,"",INDEX(I1064:Z1064,$H$1))</f>
        <v>Light Liquid</v>
      </c>
      <c r="I1064" s="17" t="s">
        <v>155</v>
      </c>
      <c r="J1064" s="17" t="s">
        <v>865</v>
      </c>
      <c r="K1064" s="27" t="s">
        <v>1540</v>
      </c>
    </row>
    <row r="1065" spans="1:11" x14ac:dyDescent="0.35">
      <c r="A1065" s="10" t="s">
        <v>1284</v>
      </c>
      <c r="B1065" s="255">
        <v>8</v>
      </c>
      <c r="C1065" s="10" t="s">
        <v>218</v>
      </c>
      <c r="D1065" s="10">
        <v>3</v>
      </c>
      <c r="E1065" s="10">
        <v>70</v>
      </c>
      <c r="F1065" s="10" t="s">
        <v>38</v>
      </c>
      <c r="G1065" s="10" t="s">
        <v>695</v>
      </c>
      <c r="H1065" s="10" t="str" cm="1">
        <f t="array" aca="1" ref="H1065" ca="1">IF(INDEX(I1065:Z1065,$H$1)=0,"",INDEX(I1065:Z1065,$H$1))</f>
        <v>Heavy Liquid</v>
      </c>
      <c r="I1065" s="17" t="s">
        <v>156</v>
      </c>
      <c r="J1065" s="17" t="s">
        <v>866</v>
      </c>
      <c r="K1065" s="27" t="s">
        <v>1541</v>
      </c>
    </row>
    <row r="1066" spans="1:11" x14ac:dyDescent="0.35">
      <c r="A1066" s="10" t="s">
        <v>1284</v>
      </c>
      <c r="B1066" s="255">
        <v>8</v>
      </c>
      <c r="C1066" s="10" t="s">
        <v>218</v>
      </c>
      <c r="D1066" s="10">
        <v>3</v>
      </c>
      <c r="E1066" s="10">
        <v>71</v>
      </c>
      <c r="F1066" s="10" t="s">
        <v>690</v>
      </c>
      <c r="G1066" s="10" t="s">
        <v>695</v>
      </c>
      <c r="H1066" s="10" t="str" cm="1">
        <f t="array" aca="1" ref="H1066" ca="1">IF(INDEX(I1066:Z1066,$H$1)=0,"",INDEX(I1066:Z1066,$H$1))</f>
        <v>Sampling Connections</v>
      </c>
      <c r="I1066" s="17" t="s">
        <v>162</v>
      </c>
      <c r="J1066" s="17" t="s">
        <v>860</v>
      </c>
      <c r="K1066" s="27" t="s">
        <v>1556</v>
      </c>
    </row>
    <row r="1067" spans="1:11" x14ac:dyDescent="0.35">
      <c r="A1067" s="10" t="s">
        <v>1284</v>
      </c>
      <c r="B1067" s="255">
        <v>8</v>
      </c>
      <c r="C1067" s="10" t="s">
        <v>218</v>
      </c>
      <c r="D1067" s="10">
        <v>3</v>
      </c>
      <c r="E1067" s="10">
        <v>71</v>
      </c>
      <c r="F1067" s="10" t="s">
        <v>38</v>
      </c>
      <c r="G1067" s="10" t="s">
        <v>695</v>
      </c>
      <c r="H1067" s="10" t="str" cm="1">
        <f t="array" aca="1" ref="H1067" ca="1">IF(INDEX(I1067:Z1067,$H$1)=0,"",INDEX(I1067:Z1067,$H$1))</f>
        <v>All</v>
      </c>
      <c r="I1067" s="17" t="s">
        <v>49</v>
      </c>
      <c r="J1067" s="17" t="s">
        <v>867</v>
      </c>
      <c r="K1067" s="27" t="s">
        <v>1557</v>
      </c>
    </row>
    <row r="1068" spans="1:11" x14ac:dyDescent="0.35">
      <c r="A1068" s="10" t="s">
        <v>1284</v>
      </c>
      <c r="B1068" s="255">
        <v>8</v>
      </c>
      <c r="C1068" s="10" t="s">
        <v>218</v>
      </c>
      <c r="D1068" s="10">
        <v>3</v>
      </c>
      <c r="E1068" s="10">
        <v>72</v>
      </c>
      <c r="F1068" s="10" t="s">
        <v>690</v>
      </c>
      <c r="G1068" s="10" t="s">
        <v>695</v>
      </c>
      <c r="H1068" s="10" t="str" cm="1">
        <f t="array" aca="1" ref="H1068" ca="1">IF(INDEX(I1068:Z1068,$H$1)=0,"",INDEX(I1068:Z1068,$H$1))</f>
        <v>Drains</v>
      </c>
      <c r="I1068" s="17" t="s">
        <v>163</v>
      </c>
      <c r="J1068" s="17" t="s">
        <v>1226</v>
      </c>
      <c r="K1068" s="27" t="s">
        <v>1558</v>
      </c>
    </row>
    <row r="1069" spans="1:11" x14ac:dyDescent="0.35">
      <c r="A1069" s="10" t="s">
        <v>1284</v>
      </c>
      <c r="B1069" s="255">
        <v>8</v>
      </c>
      <c r="C1069" s="10" t="s">
        <v>218</v>
      </c>
      <c r="D1069" s="10">
        <v>3</v>
      </c>
      <c r="E1069" s="10">
        <v>72</v>
      </c>
      <c r="F1069" s="10" t="s">
        <v>38</v>
      </c>
      <c r="G1069" s="10" t="s">
        <v>695</v>
      </c>
      <c r="H1069" s="10" t="str" cm="1">
        <f t="array" aca="1" ref="H1069" ca="1">IF(INDEX(I1069:Z1069,$H$1)=0,"",INDEX(I1069:Z1069,$H$1))</f>
        <v>All</v>
      </c>
      <c r="I1069" s="17" t="s">
        <v>49</v>
      </c>
      <c r="J1069" s="17" t="s">
        <v>867</v>
      </c>
      <c r="K1069" s="27" t="s">
        <v>1557</v>
      </c>
    </row>
    <row r="1070" spans="1:11" x14ac:dyDescent="0.35">
      <c r="A1070" s="10" t="s">
        <v>1284</v>
      </c>
      <c r="B1070" s="255">
        <v>8</v>
      </c>
      <c r="C1070" s="10" t="s">
        <v>218</v>
      </c>
      <c r="D1070" s="10">
        <v>3</v>
      </c>
      <c r="E1070" s="10">
        <v>73</v>
      </c>
      <c r="F1070" s="10" t="s">
        <v>690</v>
      </c>
      <c r="G1070" s="10" t="s">
        <v>695</v>
      </c>
      <c r="H1070" s="10" t="str" cm="1">
        <f t="array" aca="1" ref="H1070" ca="1">IF(INDEX(I1070:Z1070,$H$1)=0,"",INDEX(I1070:Z1070,$H$1))</f>
        <v>Meter (Orifice)</v>
      </c>
      <c r="I1070" s="17" t="s">
        <v>224</v>
      </c>
      <c r="J1070" s="17" t="s">
        <v>1263</v>
      </c>
      <c r="K1070" s="27" t="s">
        <v>1559</v>
      </c>
    </row>
    <row r="1071" spans="1:11" x14ac:dyDescent="0.35">
      <c r="A1071" s="10" t="s">
        <v>1284</v>
      </c>
      <c r="B1071" s="255">
        <v>8</v>
      </c>
      <c r="C1071" s="10" t="s">
        <v>218</v>
      </c>
      <c r="D1071" s="10">
        <v>3</v>
      </c>
      <c r="E1071" s="10">
        <v>73</v>
      </c>
      <c r="F1071" s="10" t="s">
        <v>38</v>
      </c>
      <c r="G1071" s="10" t="s">
        <v>695</v>
      </c>
      <c r="H1071" s="10" t="str" cm="1">
        <f t="array" aca="1" ref="H1071" ca="1">IF(INDEX(I1071:Z1071,$H$1)=0,"",INDEX(I1071:Z1071,$H$1))</f>
        <v>Gas</v>
      </c>
      <c r="I1071" s="17" t="s">
        <v>154</v>
      </c>
      <c r="J1071" s="17" t="s">
        <v>864</v>
      </c>
      <c r="K1071" s="27" t="s">
        <v>154</v>
      </c>
    </row>
    <row r="1072" spans="1:11" x14ac:dyDescent="0.35">
      <c r="A1072" s="10" t="s">
        <v>1284</v>
      </c>
      <c r="B1072" s="255">
        <v>8</v>
      </c>
      <c r="C1072" s="10" t="s">
        <v>218</v>
      </c>
      <c r="D1072" s="10">
        <v>3</v>
      </c>
      <c r="E1072" s="10">
        <v>74</v>
      </c>
      <c r="F1072" s="10" t="s">
        <v>690</v>
      </c>
      <c r="G1072" s="10" t="s">
        <v>695</v>
      </c>
      <c r="H1072" s="10" t="str" cm="1">
        <f t="array" aca="1" ref="H1072" ca="1">IF(INDEX(I1072:Z1072,$H$1)=0,"",INDEX(I1072:Z1072,$H$1))</f>
        <v>Meter (Other)</v>
      </c>
      <c r="I1072" s="17" t="s">
        <v>225</v>
      </c>
      <c r="J1072" s="17" t="s">
        <v>861</v>
      </c>
      <c r="K1072" s="27" t="s">
        <v>1560</v>
      </c>
    </row>
    <row r="1073" spans="1:11" x14ac:dyDescent="0.35">
      <c r="A1073" s="10" t="s">
        <v>1284</v>
      </c>
      <c r="B1073" s="255">
        <v>8</v>
      </c>
      <c r="C1073" s="10" t="s">
        <v>218</v>
      </c>
      <c r="D1073" s="10">
        <v>3</v>
      </c>
      <c r="E1073" s="10">
        <v>74</v>
      </c>
      <c r="F1073" s="10" t="s">
        <v>38</v>
      </c>
      <c r="G1073" s="10" t="s">
        <v>695</v>
      </c>
      <c r="H1073" s="10" t="str" cm="1">
        <f t="array" aca="1" ref="H1073" ca="1">IF(INDEX(I1073:Z1073,$H$1)=0,"",INDEX(I1073:Z1073,$H$1))</f>
        <v>Gas</v>
      </c>
      <c r="I1073" s="17" t="s">
        <v>154</v>
      </c>
      <c r="J1073" s="17" t="s">
        <v>864</v>
      </c>
      <c r="K1073" s="27" t="s">
        <v>154</v>
      </c>
    </row>
    <row r="1074" spans="1:11" x14ac:dyDescent="0.35">
      <c r="A1074" s="10" t="s">
        <v>1284</v>
      </c>
      <c r="B1074" s="255">
        <v>8</v>
      </c>
      <c r="C1074" s="10" t="s">
        <v>218</v>
      </c>
      <c r="D1074" s="10">
        <v>3</v>
      </c>
      <c r="E1074" s="10">
        <v>75</v>
      </c>
      <c r="F1074" s="10" t="s">
        <v>690</v>
      </c>
      <c r="G1074" s="10" t="s">
        <v>695</v>
      </c>
      <c r="H1074" s="10" t="str" cm="1">
        <f t="array" aca="1" ref="H1074" ca="1">IF(INDEX(I1074:Z1074,$H$1)=0,"",INDEX(I1074:Z1074,$H$1))</f>
        <v>Blowdown System</v>
      </c>
      <c r="I1074" s="17" t="s">
        <v>226</v>
      </c>
      <c r="J1074" s="17" t="s">
        <v>862</v>
      </c>
      <c r="K1074" s="27" t="s">
        <v>1561</v>
      </c>
    </row>
    <row r="1075" spans="1:11" x14ac:dyDescent="0.35">
      <c r="A1075" s="10" t="s">
        <v>1284</v>
      </c>
      <c r="B1075" s="255">
        <v>8</v>
      </c>
      <c r="C1075" s="10" t="s">
        <v>218</v>
      </c>
      <c r="D1075" s="10">
        <v>3</v>
      </c>
      <c r="E1075" s="10">
        <v>75</v>
      </c>
      <c r="F1075" s="10" t="s">
        <v>38</v>
      </c>
      <c r="G1075" s="10" t="s">
        <v>695</v>
      </c>
      <c r="H1075" s="10" t="str" cm="1">
        <f t="array" aca="1" ref="H1075" ca="1">IF(INDEX(I1075:Z1075,$H$1)=0,"",INDEX(I1075:Z1075,$H$1))</f>
        <v>Gas</v>
      </c>
      <c r="I1075" s="17" t="s">
        <v>154</v>
      </c>
      <c r="J1075" s="17" t="s">
        <v>864</v>
      </c>
      <c r="K1075" s="27" t="s">
        <v>154</v>
      </c>
    </row>
    <row r="1076" spans="1:11" x14ac:dyDescent="0.35">
      <c r="A1076" s="10" t="s">
        <v>1284</v>
      </c>
      <c r="B1076" s="255">
        <v>8</v>
      </c>
      <c r="C1076" s="10" t="s">
        <v>218</v>
      </c>
      <c r="D1076" s="10">
        <v>3</v>
      </c>
      <c r="E1076" s="10">
        <v>76</v>
      </c>
      <c r="F1076" s="10" t="s">
        <v>690</v>
      </c>
      <c r="G1076" s="10" t="s">
        <v>695</v>
      </c>
      <c r="H1076" s="10" t="str" cm="1">
        <f t="array" aca="1" ref="H1076" ca="1">IF(INDEX(I1076:Z1076,$H$1)=0,"",INDEX(I1076:Z1076,$H$1))</f>
        <v>Others</v>
      </c>
      <c r="I1076" s="17" t="s">
        <v>166</v>
      </c>
      <c r="J1076" s="17" t="s">
        <v>863</v>
      </c>
      <c r="K1076" s="27" t="s">
        <v>1562</v>
      </c>
    </row>
    <row r="1077" spans="1:11" x14ac:dyDescent="0.35">
      <c r="A1077" s="10" t="s">
        <v>1284</v>
      </c>
      <c r="B1077" s="255">
        <v>8</v>
      </c>
      <c r="C1077" s="10" t="s">
        <v>218</v>
      </c>
      <c r="D1077" s="10">
        <v>3</v>
      </c>
      <c r="E1077" s="10">
        <v>76</v>
      </c>
      <c r="F1077" s="10" t="s">
        <v>38</v>
      </c>
      <c r="G1077" s="10" t="s">
        <v>695</v>
      </c>
      <c r="H1077" s="10" t="str" cm="1">
        <f t="array" aca="1" ref="H1077" ca="1">IF(INDEX(I1077:Z1077,$H$1)=0,"",INDEX(I1077:Z1077,$H$1))</f>
        <v>Gas</v>
      </c>
      <c r="I1077" s="17" t="s">
        <v>154</v>
      </c>
      <c r="J1077" s="17" t="s">
        <v>864</v>
      </c>
      <c r="K1077" s="27" t="s">
        <v>154</v>
      </c>
    </row>
    <row r="1078" spans="1:11" x14ac:dyDescent="0.35">
      <c r="A1078" s="10" t="s">
        <v>1284</v>
      </c>
      <c r="B1078" s="255">
        <v>8</v>
      </c>
      <c r="C1078" s="10" t="s">
        <v>218</v>
      </c>
      <c r="D1078" s="10">
        <v>3</v>
      </c>
      <c r="E1078" s="10">
        <v>77</v>
      </c>
      <c r="F1078" s="10" t="s">
        <v>38</v>
      </c>
      <c r="G1078" s="10" t="s">
        <v>695</v>
      </c>
      <c r="H1078" s="10" t="str" cm="1">
        <f t="array" aca="1" ref="H1078" ca="1">IF(INDEX(I1078:Z1078,$H$1)=0,"",INDEX(I1078:Z1078,$H$1))</f>
        <v>Light Liquid</v>
      </c>
      <c r="I1078" s="17" t="s">
        <v>155</v>
      </c>
      <c r="J1078" s="17" t="s">
        <v>865</v>
      </c>
      <c r="K1078" s="27" t="s">
        <v>1540</v>
      </c>
    </row>
    <row r="1079" spans="1:11" x14ac:dyDescent="0.35">
      <c r="A1079" s="10" t="s">
        <v>1284</v>
      </c>
      <c r="B1079" s="255">
        <v>8</v>
      </c>
      <c r="C1079" s="10" t="s">
        <v>218</v>
      </c>
      <c r="D1079" s="10">
        <v>3</v>
      </c>
      <c r="E1079" s="10">
        <v>78</v>
      </c>
      <c r="F1079" s="10" t="s">
        <v>38</v>
      </c>
      <c r="G1079" s="10" t="s">
        <v>695</v>
      </c>
      <c r="H1079" s="10" t="str" cm="1">
        <f t="array" aca="1" ref="H1079" ca="1">IF(INDEX(I1079:Z1079,$H$1)=0,"",INDEX(I1079:Z1079,$H$1))</f>
        <v>Heavy Liquid</v>
      </c>
      <c r="I1079" s="17" t="s">
        <v>156</v>
      </c>
      <c r="J1079" s="17" t="s">
        <v>866</v>
      </c>
      <c r="K1079" s="27" t="s">
        <v>1541</v>
      </c>
    </row>
    <row r="1080" spans="1:11" x14ac:dyDescent="0.35">
      <c r="A1080" s="10" t="s">
        <v>1284</v>
      </c>
      <c r="B1080" s="255">
        <v>8</v>
      </c>
      <c r="C1080" s="10" t="s">
        <v>219</v>
      </c>
      <c r="D1080" s="10">
        <v>4</v>
      </c>
      <c r="E1080" s="10">
        <v>82</v>
      </c>
      <c r="F1080" s="10" t="s">
        <v>690</v>
      </c>
      <c r="G1080" s="10" t="s">
        <v>688</v>
      </c>
      <c r="H1080" s="10" t="str" cm="1">
        <f t="array" aca="1" ref="H1080" ca="1">IF(INDEX(I1080:Z1080,$H$1)=0,"",INDEX(I1080:Z1080,$H$1))</f>
        <v>Natural Gas Distribution</v>
      </c>
      <c r="I1080" s="10" t="s">
        <v>219</v>
      </c>
      <c r="J1080" s="10" t="s">
        <v>926</v>
      </c>
      <c r="K1080" s="27" t="s">
        <v>1670</v>
      </c>
    </row>
    <row r="1081" spans="1:11" x14ac:dyDescent="0.35">
      <c r="A1081" s="10" t="s">
        <v>1284</v>
      </c>
      <c r="B1081" s="255">
        <v>8</v>
      </c>
      <c r="C1081" s="10" t="s">
        <v>219</v>
      </c>
      <c r="D1081" s="10">
        <v>4</v>
      </c>
      <c r="E1081" s="10">
        <v>83</v>
      </c>
      <c r="F1081" s="10" t="s">
        <v>690</v>
      </c>
      <c r="G1081" s="10" t="s">
        <v>696</v>
      </c>
      <c r="H1081" s="10" t="str" cm="1">
        <f t="array" aca="1" ref="H1081" ca="1">IF(INDEX(I1081:Z1081,$H$1)=0,"",INDEX(I1081:Z1081,$H$1))</f>
        <v>Equipment Component Type</v>
      </c>
      <c r="I1081" s="10" t="s">
        <v>172</v>
      </c>
      <c r="J1081" s="10" t="s">
        <v>1229</v>
      </c>
      <c r="K1081" s="27" t="s">
        <v>1516</v>
      </c>
    </row>
    <row r="1082" spans="1:11" x14ac:dyDescent="0.35">
      <c r="A1082" s="10" t="s">
        <v>1284</v>
      </c>
      <c r="B1082" s="255">
        <v>8</v>
      </c>
      <c r="C1082" s="10" t="s">
        <v>219</v>
      </c>
      <c r="D1082" s="10">
        <v>4</v>
      </c>
      <c r="E1082" s="10">
        <v>83</v>
      </c>
      <c r="F1082" s="10" t="s">
        <v>38</v>
      </c>
      <c r="G1082" s="10" t="s">
        <v>696</v>
      </c>
      <c r="H1082" s="10" t="str" cm="1">
        <f t="array" aca="1" ref="H1082" ca="1">IF(INDEX(I1082:Z1082,$H$1)=0,"",INDEX(I1082:Z1082,$H$1))</f>
        <v>Service</v>
      </c>
      <c r="I1082" s="10" t="s">
        <v>133</v>
      </c>
      <c r="J1082" s="10" t="s">
        <v>832</v>
      </c>
      <c r="K1082" s="27" t="s">
        <v>1517</v>
      </c>
    </row>
    <row r="1083" spans="1:11" x14ac:dyDescent="0.35">
      <c r="A1083" s="10" t="s">
        <v>1284</v>
      </c>
      <c r="B1083" s="255">
        <v>8</v>
      </c>
      <c r="C1083" s="10" t="s">
        <v>219</v>
      </c>
      <c r="D1083" s="10">
        <v>4</v>
      </c>
      <c r="E1083" s="10">
        <v>83</v>
      </c>
      <c r="F1083" s="10" t="s">
        <v>692</v>
      </c>
      <c r="G1083" s="10" t="s">
        <v>696</v>
      </c>
      <c r="H1083" s="10" t="str" cm="1">
        <f t="array" aca="1" ref="H1083" ca="1">IF(INDEX(I1083:Z1083,$H$1)=0,"",INDEX(I1083:Z1083,$H$1))</f>
        <v>CEPEI (2016) Factors</v>
      </c>
      <c r="I1083" s="10" t="s">
        <v>220</v>
      </c>
      <c r="J1083" s="10" t="s">
        <v>924</v>
      </c>
      <c r="K1083" s="27" t="s">
        <v>1667</v>
      </c>
    </row>
    <row r="1084" spans="1:11" x14ac:dyDescent="0.35">
      <c r="A1084" s="10" t="s">
        <v>1284</v>
      </c>
      <c r="B1084" s="255">
        <v>8</v>
      </c>
      <c r="C1084" s="10" t="s">
        <v>219</v>
      </c>
      <c r="D1084" s="10">
        <v>4</v>
      </c>
      <c r="E1084" s="10">
        <v>83</v>
      </c>
      <c r="F1084" s="10" t="s">
        <v>591</v>
      </c>
      <c r="G1084" s="10" t="s">
        <v>696</v>
      </c>
      <c r="H1084" s="10" t="str" cm="1">
        <f t="array" aca="1" ref="H1084" ca="1">IF(INDEX(I1084:Z1084,$H$1)=0,"",INDEX(I1084:Z1084,$H$1))</f>
        <v>Developed Average Emission Factor</v>
      </c>
      <c r="I1084" s="10" t="s">
        <v>271</v>
      </c>
      <c r="J1084" s="10" t="s">
        <v>1223</v>
      </c>
      <c r="K1084" s="27" t="s">
        <v>1641</v>
      </c>
    </row>
    <row r="1085" spans="1:11" x14ac:dyDescent="0.35">
      <c r="A1085" s="10" t="s">
        <v>1284</v>
      </c>
      <c r="B1085" s="255">
        <v>8</v>
      </c>
      <c r="C1085" s="10" t="s">
        <v>219</v>
      </c>
      <c r="D1085" s="10">
        <v>4</v>
      </c>
      <c r="E1085" s="10">
        <v>84</v>
      </c>
      <c r="F1085" s="10" t="s">
        <v>692</v>
      </c>
      <c r="G1085" s="10" t="s">
        <v>696</v>
      </c>
      <c r="H1085" s="10" t="str" cm="1">
        <f t="array" aca="1" ref="H1085" ca="1">IF(INDEX(I1085:Z1085,$H$1)=0,"",INDEX(I1085:Z1085,$H$1))</f>
        <v>Implied Leak</v>
      </c>
      <c r="I1085" s="10" t="s">
        <v>167</v>
      </c>
      <c r="J1085" s="10" t="s">
        <v>900</v>
      </c>
      <c r="K1085" s="27" t="s">
        <v>1642</v>
      </c>
    </row>
    <row r="1086" spans="1:11" x14ac:dyDescent="0.35">
      <c r="A1086" s="10" t="s">
        <v>1284</v>
      </c>
      <c r="B1086" s="255">
        <v>8</v>
      </c>
      <c r="C1086" s="10" t="s">
        <v>219</v>
      </c>
      <c r="D1086" s="10">
        <v>4</v>
      </c>
      <c r="E1086" s="10">
        <v>84</v>
      </c>
      <c r="F1086" s="10" t="s">
        <v>693</v>
      </c>
      <c r="G1086" s="10" t="s">
        <v>696</v>
      </c>
      <c r="H1086" s="10" t="str" cm="1">
        <f t="array" aca="1" ref="H1086" ca="1">IF(INDEX(I1086:Z1086,$H$1)=0,"",INDEX(I1086:Z1086,$H$1))</f>
        <v>Average</v>
      </c>
      <c r="I1086" s="10" t="s">
        <v>135</v>
      </c>
      <c r="J1086" s="10" t="s">
        <v>901</v>
      </c>
      <c r="K1086" s="27" t="s">
        <v>1643</v>
      </c>
    </row>
    <row r="1087" spans="1:11" x14ac:dyDescent="0.35">
      <c r="A1087" s="10" t="s">
        <v>1284</v>
      </c>
      <c r="B1087" s="255">
        <v>8</v>
      </c>
      <c r="C1087" s="10" t="s">
        <v>219</v>
      </c>
      <c r="D1087" s="10">
        <v>4</v>
      </c>
      <c r="E1087" s="10">
        <v>84</v>
      </c>
      <c r="F1087" s="10" t="s">
        <v>694</v>
      </c>
      <c r="G1087" s="10" t="s">
        <v>696</v>
      </c>
      <c r="H1087" s="10" t="str" cm="1">
        <f t="array" aca="1" ref="H1087" ca="1">IF(INDEX(I1087:Z1087,$H$1)=0,"",INDEX(I1087:Z1087,$H$1))</f>
        <v>Leak</v>
      </c>
      <c r="I1087" s="10" t="s">
        <v>136</v>
      </c>
      <c r="J1087" s="10" t="s">
        <v>1259</v>
      </c>
      <c r="K1087" s="27" t="s">
        <v>1644</v>
      </c>
    </row>
    <row r="1088" spans="1:11" x14ac:dyDescent="0.35">
      <c r="A1088" s="10" t="s">
        <v>1284</v>
      </c>
      <c r="B1088" s="255">
        <v>8</v>
      </c>
      <c r="C1088" s="10" t="s">
        <v>219</v>
      </c>
      <c r="D1088" s="10">
        <v>4</v>
      </c>
      <c r="E1088" s="10">
        <v>84</v>
      </c>
      <c r="F1088" s="10" t="s">
        <v>711</v>
      </c>
      <c r="G1088" s="10" t="s">
        <v>696</v>
      </c>
      <c r="H1088" s="10" t="str" cm="1">
        <f t="array" aca="1" ref="H1088" ca="1">IF(INDEX(I1088:Z1088,$H$1)=0,"",INDEX(I1088:Z1088,$H$1))</f>
        <v>No-Leak</v>
      </c>
      <c r="I1088" s="10" t="s">
        <v>137</v>
      </c>
      <c r="J1088" s="10" t="s">
        <v>902</v>
      </c>
      <c r="K1088" s="27" t="s">
        <v>1645</v>
      </c>
    </row>
    <row r="1089" spans="1:11" x14ac:dyDescent="0.35">
      <c r="A1089" s="10" t="s">
        <v>1284</v>
      </c>
      <c r="B1089" s="255">
        <v>8</v>
      </c>
      <c r="C1089" s="10" t="s">
        <v>219</v>
      </c>
      <c r="D1089" s="10">
        <v>4</v>
      </c>
      <c r="E1089" s="10">
        <v>84</v>
      </c>
      <c r="F1089" s="10" t="s">
        <v>591</v>
      </c>
      <c r="G1089" s="10" t="s">
        <v>696</v>
      </c>
      <c r="H1089" s="10" t="str" cm="1">
        <f t="array" aca="1" ref="H1089" ca="1">IF(INDEX(I1089:Z1089,$H$1)=0,"",INDEX(I1089:Z1089,$H$1))</f>
        <v xml:space="preserve">Leak </v>
      </c>
      <c r="I1089" s="10" t="s">
        <v>138</v>
      </c>
      <c r="J1089" s="10" t="s">
        <v>1259</v>
      </c>
      <c r="K1089" s="27" t="s">
        <v>1644</v>
      </c>
    </row>
    <row r="1090" spans="1:11" x14ac:dyDescent="0.35">
      <c r="A1090" s="10" t="s">
        <v>1284</v>
      </c>
      <c r="B1090" s="255">
        <v>8</v>
      </c>
      <c r="C1090" s="10" t="s">
        <v>219</v>
      </c>
      <c r="D1090" s="10">
        <v>4</v>
      </c>
      <c r="E1090" s="10">
        <v>84</v>
      </c>
      <c r="F1090" s="10" t="s">
        <v>712</v>
      </c>
      <c r="G1090" s="10" t="s">
        <v>696</v>
      </c>
      <c r="H1090" s="10" t="str" cm="1">
        <f t="array" aca="1" ref="H1090" ca="1">IF(INDEX(I1090:Z1090,$H$1)=0,"",INDEX(I1090:Z1090,$H$1))</f>
        <v>Uncontrolled</v>
      </c>
      <c r="I1090" s="10" t="s">
        <v>139</v>
      </c>
      <c r="J1090" s="10" t="s">
        <v>903</v>
      </c>
      <c r="K1090" s="27" t="s">
        <v>1646</v>
      </c>
    </row>
    <row r="1091" spans="1:11" x14ac:dyDescent="0.35">
      <c r="A1091" s="10" t="s">
        <v>1284</v>
      </c>
      <c r="B1091" s="255">
        <v>8</v>
      </c>
      <c r="C1091" s="10" t="s">
        <v>219</v>
      </c>
      <c r="D1091" s="10">
        <v>4</v>
      </c>
      <c r="E1091" s="10">
        <v>84</v>
      </c>
      <c r="F1091" s="10" t="s">
        <v>713</v>
      </c>
      <c r="G1091" s="10" t="s">
        <v>696</v>
      </c>
      <c r="H1091" s="10" t="str" cm="1">
        <f t="array" aca="1" ref="H1091" ca="1">IF(INDEX(I1091:Z1091,$H$1)=0,"",INDEX(I1091:Z1091,$H$1))</f>
        <v>Control</v>
      </c>
      <c r="I1091" s="10" t="s">
        <v>140</v>
      </c>
      <c r="J1091" s="10" t="s">
        <v>904</v>
      </c>
      <c r="K1091" s="27" t="s">
        <v>140</v>
      </c>
    </row>
    <row r="1092" spans="1:11" x14ac:dyDescent="0.35">
      <c r="A1092" s="10" t="s">
        <v>1284</v>
      </c>
      <c r="B1092" s="255">
        <v>8</v>
      </c>
      <c r="C1092" s="10" t="s">
        <v>219</v>
      </c>
      <c r="D1092" s="10">
        <v>4</v>
      </c>
      <c r="E1092" s="10">
        <v>84</v>
      </c>
      <c r="F1092" s="10" t="s">
        <v>772</v>
      </c>
      <c r="G1092" s="10" t="s">
        <v>696</v>
      </c>
      <c r="H1092" s="10" t="str" cm="1">
        <f t="array" aca="1" ref="H1092" ca="1">IF(INDEX(I1092:Z1092,$H$1)=0,"",INDEX(I1092:Z1092,$H$1))</f>
        <v>Controlled</v>
      </c>
      <c r="I1092" s="10" t="s">
        <v>141</v>
      </c>
      <c r="J1092" s="10" t="s">
        <v>905</v>
      </c>
      <c r="K1092" s="27" t="s">
        <v>1647</v>
      </c>
    </row>
    <row r="1093" spans="1:11" x14ac:dyDescent="0.35">
      <c r="A1093" s="10" t="s">
        <v>1284</v>
      </c>
      <c r="B1093" s="255">
        <v>8</v>
      </c>
      <c r="C1093" s="10" t="s">
        <v>219</v>
      </c>
      <c r="D1093" s="10">
        <v>4</v>
      </c>
      <c r="E1093" s="10">
        <v>84</v>
      </c>
      <c r="F1093" s="10" t="s">
        <v>594</v>
      </c>
      <c r="G1093" s="10" t="s">
        <v>696</v>
      </c>
      <c r="H1093" s="10" t="str" cm="1">
        <f t="array" aca="1" ref="H1093" ca="1">IF(INDEX(I1093:Z1093,$H$1)=0,"",INDEX(I1093:Z1093,$H$1))</f>
        <v xml:space="preserve">Specified Leak </v>
      </c>
      <c r="I1093" s="10" t="s">
        <v>142</v>
      </c>
      <c r="J1093" s="10" t="s">
        <v>906</v>
      </c>
      <c r="K1093" s="27" t="s">
        <v>1648</v>
      </c>
    </row>
    <row r="1094" spans="1:11" x14ac:dyDescent="0.35">
      <c r="A1094" s="10" t="s">
        <v>1284</v>
      </c>
      <c r="B1094" s="255">
        <v>8</v>
      </c>
      <c r="C1094" s="10" t="s">
        <v>219</v>
      </c>
      <c r="D1094" s="10">
        <v>4</v>
      </c>
      <c r="E1094" s="10">
        <v>84</v>
      </c>
      <c r="F1094" s="10" t="s">
        <v>775</v>
      </c>
      <c r="G1094" s="10" t="s">
        <v>696</v>
      </c>
      <c r="H1094" s="10" t="str" cm="1">
        <f t="array" aca="1" ref="H1094" ca="1">IF(INDEX(I1094:Z1094,$H$1)=0,"",INDEX(I1094:Z1094,$H$1))</f>
        <v xml:space="preserve">Equipment Modification </v>
      </c>
      <c r="I1094" s="10" t="s">
        <v>171</v>
      </c>
      <c r="J1094" s="10" t="s">
        <v>907</v>
      </c>
      <c r="K1094" s="27" t="s">
        <v>1649</v>
      </c>
    </row>
    <row r="1095" spans="1:11" x14ac:dyDescent="0.35">
      <c r="A1095" s="10" t="s">
        <v>1284</v>
      </c>
      <c r="B1095" s="255">
        <v>8</v>
      </c>
      <c r="C1095" s="10" t="s">
        <v>219</v>
      </c>
      <c r="D1095" s="10">
        <v>4</v>
      </c>
      <c r="E1095" s="10">
        <v>85</v>
      </c>
      <c r="F1095" s="10" t="s">
        <v>692</v>
      </c>
      <c r="G1095" s="10" t="s">
        <v>696</v>
      </c>
      <c r="H1095" s="10" t="str" cm="1">
        <f t="array" aca="1" ref="H1095" ca="1">IF(INDEX(I1095:Z1095,$H$1)=0,"",INDEX(I1095:Z1095,$H$1))</f>
        <v>Frequency</v>
      </c>
      <c r="I1095" s="10" t="s">
        <v>143</v>
      </c>
      <c r="J1095" s="10" t="s">
        <v>908</v>
      </c>
      <c r="K1095" s="27" t="s">
        <v>1650</v>
      </c>
    </row>
    <row r="1096" spans="1:11" x14ac:dyDescent="0.35">
      <c r="A1096" s="10" t="s">
        <v>1284</v>
      </c>
      <c r="B1096" s="255">
        <v>8</v>
      </c>
      <c r="C1096" s="10" t="s">
        <v>219</v>
      </c>
      <c r="D1096" s="10">
        <v>4</v>
      </c>
      <c r="E1096" s="10">
        <v>85</v>
      </c>
      <c r="F1096" s="10" t="s">
        <v>693</v>
      </c>
      <c r="G1096" s="10" t="s">
        <v>696</v>
      </c>
      <c r="H1096" s="10" t="str" cm="1">
        <f t="array" aca="1" ref="H1096" ca="1">IF(INDEX(I1096:Z1096,$H$1)=0,"",INDEX(I1096:Z1096,$H$1))</f>
        <v>(kg/h/source)</v>
      </c>
      <c r="I1096" s="10" t="s">
        <v>144</v>
      </c>
      <c r="J1096" s="10" t="s">
        <v>909</v>
      </c>
      <c r="K1096" s="27" t="s">
        <v>1651</v>
      </c>
    </row>
    <row r="1097" spans="1:11" x14ac:dyDescent="0.35">
      <c r="A1097" s="10" t="s">
        <v>1284</v>
      </c>
      <c r="B1097" s="255">
        <v>8</v>
      </c>
      <c r="C1097" s="10" t="s">
        <v>219</v>
      </c>
      <c r="D1097" s="10">
        <v>4</v>
      </c>
      <c r="E1097" s="10">
        <v>85</v>
      </c>
      <c r="F1097" s="10" t="s">
        <v>694</v>
      </c>
      <c r="G1097" s="10" t="s">
        <v>696</v>
      </c>
      <c r="H1097" s="10" t="str" cm="1">
        <f t="array" aca="1" ref="H1097" ca="1">IF(INDEX(I1097:Z1097,$H$1)=0,"",INDEX(I1097:Z1097,$H$1))</f>
        <v>(kg/h/source)</v>
      </c>
      <c r="I1097" s="10" t="s">
        <v>144</v>
      </c>
      <c r="J1097" s="10" t="s">
        <v>909</v>
      </c>
      <c r="K1097" s="27" t="s">
        <v>1651</v>
      </c>
    </row>
    <row r="1098" spans="1:11" x14ac:dyDescent="0.35">
      <c r="A1098" s="10" t="s">
        <v>1284</v>
      </c>
      <c r="B1098" s="255">
        <v>8</v>
      </c>
      <c r="C1098" s="10" t="s">
        <v>219</v>
      </c>
      <c r="D1098" s="10">
        <v>4</v>
      </c>
      <c r="E1098" s="10">
        <v>85</v>
      </c>
      <c r="F1098" s="10" t="s">
        <v>711</v>
      </c>
      <c r="G1098" s="10" t="s">
        <v>696</v>
      </c>
      <c r="H1098" s="10" t="str" cm="1">
        <f t="array" aca="1" ref="H1098" ca="1">IF(INDEX(I1098:Z1098,$H$1)=0,"",INDEX(I1098:Z1098,$H$1))</f>
        <v>(kg/h/source)</v>
      </c>
      <c r="I1098" s="10" t="s">
        <v>144</v>
      </c>
      <c r="J1098" s="10" t="s">
        <v>909</v>
      </c>
      <c r="K1098" s="27" t="s">
        <v>1651</v>
      </c>
    </row>
    <row r="1099" spans="1:11" x14ac:dyDescent="0.35">
      <c r="A1099" s="10" t="s">
        <v>1284</v>
      </c>
      <c r="B1099" s="255">
        <v>8</v>
      </c>
      <c r="C1099" s="10" t="s">
        <v>219</v>
      </c>
      <c r="D1099" s="10">
        <v>4</v>
      </c>
      <c r="E1099" s="10">
        <v>85</v>
      </c>
      <c r="F1099" s="10" t="s">
        <v>591</v>
      </c>
      <c r="G1099" s="10" t="s">
        <v>696</v>
      </c>
      <c r="H1099" s="10" t="str" cm="1">
        <f t="array" aca="1" ref="H1099" ca="1">IF(INDEX(I1099:Z1099,$H$1)=0,"",INDEX(I1099:Z1099,$H$1))</f>
        <v>Frequency</v>
      </c>
      <c r="I1099" s="10" t="s">
        <v>143</v>
      </c>
      <c r="J1099" s="10" t="s">
        <v>908</v>
      </c>
      <c r="K1099" s="27" t="s">
        <v>1650</v>
      </c>
    </row>
    <row r="1100" spans="1:11" x14ac:dyDescent="0.35">
      <c r="A1100" s="10" t="s">
        <v>1284</v>
      </c>
      <c r="B1100" s="255">
        <v>8</v>
      </c>
      <c r="C1100" s="10" t="s">
        <v>219</v>
      </c>
      <c r="D1100" s="10">
        <v>4</v>
      </c>
      <c r="E1100" s="10">
        <v>85</v>
      </c>
      <c r="F1100" s="10" t="s">
        <v>712</v>
      </c>
      <c r="G1100" s="10" t="s">
        <v>696</v>
      </c>
      <c r="H1100" s="10" t="str" cm="1">
        <f t="array" aca="1" ref="H1100" ca="1">IF(INDEX(I1100:Z1100,$H$1)=0,"",INDEX(I1100:Z1100,$H$1))</f>
        <v>Emission Factor</v>
      </c>
      <c r="I1100" s="10" t="s">
        <v>145</v>
      </c>
      <c r="J1100" s="10" t="s">
        <v>910</v>
      </c>
      <c r="K1100" s="27" t="s">
        <v>1583</v>
      </c>
    </row>
    <row r="1101" spans="1:11" x14ac:dyDescent="0.35">
      <c r="A1101" s="10" t="s">
        <v>1284</v>
      </c>
      <c r="B1101" s="255">
        <v>8</v>
      </c>
      <c r="C1101" s="10" t="s">
        <v>219</v>
      </c>
      <c r="D1101" s="10">
        <v>4</v>
      </c>
      <c r="E1101" s="10">
        <v>85</v>
      </c>
      <c r="F1101" s="10" t="s">
        <v>713</v>
      </c>
      <c r="G1101" s="10" t="s">
        <v>696</v>
      </c>
      <c r="H1101" s="10" t="str" cm="1">
        <f t="array" aca="1" ref="H1101" ca="1">IF(INDEX(I1101:Z1101,$H$1)=0,"",INDEX(I1101:Z1101,$H$1))</f>
        <v>Adjustment</v>
      </c>
      <c r="I1101" s="10" t="s">
        <v>334</v>
      </c>
      <c r="J1101" s="10" t="s">
        <v>911</v>
      </c>
      <c r="K1101" s="27" t="s">
        <v>1652</v>
      </c>
    </row>
    <row r="1102" spans="1:11" x14ac:dyDescent="0.35">
      <c r="A1102" s="10" t="s">
        <v>1284</v>
      </c>
      <c r="B1102" s="255">
        <v>8</v>
      </c>
      <c r="C1102" s="10" t="s">
        <v>219</v>
      </c>
      <c r="D1102" s="10">
        <v>4</v>
      </c>
      <c r="E1102" s="10">
        <v>85</v>
      </c>
      <c r="F1102" s="10" t="s">
        <v>772</v>
      </c>
      <c r="G1102" s="10" t="s">
        <v>696</v>
      </c>
      <c r="H1102" s="10" t="str" cm="1">
        <f t="array" aca="1" ref="H1102" ca="1">IF(INDEX(I1102:Z1102,$H$1)=0,"",INDEX(I1102:Z1102,$H$1))</f>
        <v>Emission Factor</v>
      </c>
      <c r="I1102" s="10" t="s">
        <v>145</v>
      </c>
      <c r="J1102" s="10" t="s">
        <v>910</v>
      </c>
      <c r="K1102" s="27" t="s">
        <v>1583</v>
      </c>
    </row>
    <row r="1103" spans="1:11" x14ac:dyDescent="0.35">
      <c r="A1103" s="10" t="s">
        <v>1284</v>
      </c>
      <c r="B1103" s="255">
        <v>8</v>
      </c>
      <c r="C1103" s="10" t="s">
        <v>219</v>
      </c>
      <c r="D1103" s="10">
        <v>4</v>
      </c>
      <c r="E1103" s="10">
        <v>85</v>
      </c>
      <c r="F1103" s="10" t="s">
        <v>594</v>
      </c>
      <c r="G1103" s="10" t="s">
        <v>696</v>
      </c>
      <c r="H1103" s="10" t="str" cm="1">
        <f t="array" aca="1" ref="H1103" ca="1">IF(INDEX(I1103:Z1103,$H$1)=0,"",INDEX(I1103:Z1103,$H$1))</f>
        <v>Frequency</v>
      </c>
      <c r="I1103" s="10" t="s">
        <v>143</v>
      </c>
      <c r="J1103" s="10" t="s">
        <v>908</v>
      </c>
      <c r="K1103" s="27" t="s">
        <v>1650</v>
      </c>
    </row>
    <row r="1104" spans="1:11" x14ac:dyDescent="0.35">
      <c r="A1104" s="10" t="s">
        <v>1284</v>
      </c>
      <c r="B1104" s="255">
        <v>8</v>
      </c>
      <c r="C1104" s="10" t="s">
        <v>219</v>
      </c>
      <c r="D1104" s="10">
        <v>4</v>
      </c>
      <c r="E1104" s="10">
        <v>85</v>
      </c>
      <c r="F1104" s="10" t="s">
        <v>775</v>
      </c>
      <c r="G1104" s="10" t="s">
        <v>696</v>
      </c>
      <c r="H1104" s="10" t="str" cm="1">
        <f t="array" aca="1" ref="H1104" ca="1">IF(INDEX(I1104:Z1104,$H$1)=0,"",INDEX(I1104:Z1104,$H$1))</f>
        <v>Modification</v>
      </c>
      <c r="I1104" s="10" t="s">
        <v>168</v>
      </c>
      <c r="J1104" s="10" t="s">
        <v>912</v>
      </c>
      <c r="K1104" s="27" t="s">
        <v>1653</v>
      </c>
    </row>
    <row r="1105" spans="1:11" x14ac:dyDescent="0.35">
      <c r="A1105" s="10" t="s">
        <v>1284</v>
      </c>
      <c r="B1105" s="255">
        <v>8</v>
      </c>
      <c r="C1105" s="10" t="s">
        <v>219</v>
      </c>
      <c r="D1105" s="10">
        <v>4</v>
      </c>
      <c r="E1105" s="10">
        <v>85</v>
      </c>
      <c r="F1105" s="10" t="s">
        <v>777</v>
      </c>
      <c r="G1105" s="10" t="s">
        <v>696</v>
      </c>
      <c r="H1105" s="10" t="str" cm="1">
        <f t="array" aca="1" ref="H1105" ca="1">IF(INDEX(I1105:Z1105,$H$1)=0,"",INDEX(I1105:Z1105,$H$1))</f>
        <v xml:space="preserve">Percent of </v>
      </c>
      <c r="I1105" s="10" t="s">
        <v>169</v>
      </c>
      <c r="J1105" s="10" t="s">
        <v>913</v>
      </c>
      <c r="K1105" s="27" t="s">
        <v>1654</v>
      </c>
    </row>
    <row r="1106" spans="1:11" x14ac:dyDescent="0.35">
      <c r="A1106" s="10" t="s">
        <v>1284</v>
      </c>
      <c r="B1106" s="255">
        <v>8</v>
      </c>
      <c r="C1106" s="10" t="s">
        <v>219</v>
      </c>
      <c r="D1106" s="10">
        <v>4</v>
      </c>
      <c r="E1106" s="10">
        <v>85</v>
      </c>
      <c r="F1106" s="10" t="s">
        <v>718</v>
      </c>
      <c r="G1106" s="10" t="s">
        <v>696</v>
      </c>
      <c r="H1106" s="10" t="str" cm="1">
        <f t="array" aca="1" ref="H1106" ca="1">IF(INDEX(I1106:Z1106,$H$1)=0,"",INDEX(I1106:Z1106,$H$1))</f>
        <v>Control Factor</v>
      </c>
      <c r="I1106" s="10" t="s">
        <v>170</v>
      </c>
      <c r="J1106" s="10" t="s">
        <v>914</v>
      </c>
      <c r="K1106" s="27" t="s">
        <v>1655</v>
      </c>
    </row>
    <row r="1107" spans="1:11" x14ac:dyDescent="0.35">
      <c r="A1107" s="10" t="s">
        <v>1284</v>
      </c>
      <c r="B1107" s="255">
        <v>8</v>
      </c>
      <c r="C1107" s="10" t="s">
        <v>219</v>
      </c>
      <c r="D1107" s="10">
        <v>4</v>
      </c>
      <c r="E1107" s="10">
        <v>86</v>
      </c>
      <c r="F1107" s="10" t="s">
        <v>692</v>
      </c>
      <c r="G1107" s="10" t="s">
        <v>696</v>
      </c>
      <c r="H1107" s="10" t="str" cm="1">
        <f t="array" aca="1" ref="H1107" ca="1">IF(INDEX(I1107:Z1107,$H$1)=0,"",INDEX(I1107:Z1107,$H$1))</f>
        <v>(%)</v>
      </c>
      <c r="I1107" s="10" t="s">
        <v>146</v>
      </c>
      <c r="J1107" s="10" t="s">
        <v>146</v>
      </c>
      <c r="K1107" s="27" t="s">
        <v>146</v>
      </c>
    </row>
    <row r="1108" spans="1:11" x14ac:dyDescent="0.35">
      <c r="A1108" s="10" t="s">
        <v>1284</v>
      </c>
      <c r="B1108" s="255">
        <v>8</v>
      </c>
      <c r="C1108" s="10" t="s">
        <v>219</v>
      </c>
      <c r="D1108" s="10">
        <v>4</v>
      </c>
      <c r="E1108" s="10">
        <v>86</v>
      </c>
      <c r="F1108" s="10" t="s">
        <v>591</v>
      </c>
      <c r="G1108" s="10" t="s">
        <v>696</v>
      </c>
      <c r="H1108" s="10" t="str" cm="1">
        <f t="array" aca="1" ref="H1108" ca="1">IF(INDEX(I1108:Z1108,$H$1)=0,"",INDEX(I1108:Z1108,$H$1))</f>
        <v>(%)</v>
      </c>
      <c r="I1108" s="10" t="s">
        <v>146</v>
      </c>
      <c r="J1108" s="10" t="s">
        <v>146</v>
      </c>
      <c r="K1108" s="27" t="s">
        <v>146</v>
      </c>
    </row>
    <row r="1109" spans="1:11" x14ac:dyDescent="0.35">
      <c r="A1109" s="10" t="s">
        <v>1284</v>
      </c>
      <c r="B1109" s="255">
        <v>8</v>
      </c>
      <c r="C1109" s="10" t="s">
        <v>219</v>
      </c>
      <c r="D1109" s="10">
        <v>4</v>
      </c>
      <c r="E1109" s="10">
        <v>86</v>
      </c>
      <c r="F1109" s="10" t="s">
        <v>712</v>
      </c>
      <c r="G1109" s="10" t="s">
        <v>696</v>
      </c>
      <c r="H1109" s="10" t="str" cm="1">
        <f t="array" aca="1" ref="H1109" ca="1">IF(INDEX(I1109:Z1109,$H$1)=0,"",INDEX(I1109:Z1109,$H$1))</f>
        <v>(kg/h/source)</v>
      </c>
      <c r="I1109" s="10" t="s">
        <v>144</v>
      </c>
      <c r="J1109" s="10" t="s">
        <v>909</v>
      </c>
      <c r="K1109" s="27" t="s">
        <v>1651</v>
      </c>
    </row>
    <row r="1110" spans="1:11" x14ac:dyDescent="0.35">
      <c r="A1110" s="10" t="s">
        <v>1284</v>
      </c>
      <c r="B1110" s="255">
        <v>8</v>
      </c>
      <c r="C1110" s="10" t="s">
        <v>219</v>
      </c>
      <c r="D1110" s="10">
        <v>4</v>
      </c>
      <c r="E1110" s="10">
        <v>86</v>
      </c>
      <c r="F1110" s="10" t="s">
        <v>713</v>
      </c>
      <c r="G1110" s="10" t="s">
        <v>696</v>
      </c>
      <c r="H1110" s="10" t="str" cm="1">
        <f t="array" aca="1" ref="H1110" ca="1">IF(INDEX(I1110:Z1110,$H$1)=0,"",INDEX(I1110:Z1110,$H$1))</f>
        <v>(%)</v>
      </c>
      <c r="I1110" s="10" t="s">
        <v>146</v>
      </c>
      <c r="J1110" s="10" t="s">
        <v>146</v>
      </c>
      <c r="K1110" s="27" t="s">
        <v>146</v>
      </c>
    </row>
    <row r="1111" spans="1:11" x14ac:dyDescent="0.35">
      <c r="A1111" s="10" t="s">
        <v>1284</v>
      </c>
      <c r="B1111" s="255">
        <v>8</v>
      </c>
      <c r="C1111" s="10" t="s">
        <v>219</v>
      </c>
      <c r="D1111" s="10">
        <v>4</v>
      </c>
      <c r="E1111" s="10">
        <v>86</v>
      </c>
      <c r="F1111" s="10" t="s">
        <v>772</v>
      </c>
      <c r="G1111" s="10" t="s">
        <v>696</v>
      </c>
      <c r="H1111" s="10" t="str" cm="1">
        <f t="array" aca="1" ref="H1111" ca="1">IF(INDEX(I1111:Z1111,$H$1)=0,"",INDEX(I1111:Z1111,$H$1))</f>
        <v>(kg/h/source)</v>
      </c>
      <c r="I1111" s="10" t="s">
        <v>144</v>
      </c>
      <c r="J1111" s="10" t="s">
        <v>909</v>
      </c>
      <c r="K1111" s="27" t="s">
        <v>1651</v>
      </c>
    </row>
    <row r="1112" spans="1:11" x14ac:dyDescent="0.35">
      <c r="A1112" s="10" t="s">
        <v>1284</v>
      </c>
      <c r="B1112" s="255">
        <v>8</v>
      </c>
      <c r="C1112" s="10" t="s">
        <v>219</v>
      </c>
      <c r="D1112" s="10">
        <v>4</v>
      </c>
      <c r="E1112" s="10">
        <v>86</v>
      </c>
      <c r="F1112" s="10" t="s">
        <v>773</v>
      </c>
      <c r="G1112" s="10" t="s">
        <v>696</v>
      </c>
      <c r="H1112" s="10" t="str" cm="1">
        <f t="array" aca="1" ref="H1112" ca="1">IF(INDEX(I1112:Z1112,$H$1)=0,"",INDEX(I1112:Z1112,$H$1))</f>
        <v>(Nm3/h/source)</v>
      </c>
      <c r="I1112" s="10" t="s">
        <v>896</v>
      </c>
      <c r="J1112" s="10" t="s">
        <v>915</v>
      </c>
      <c r="K1112" s="27" t="s">
        <v>1656</v>
      </c>
    </row>
    <row r="1113" spans="1:11" x14ac:dyDescent="0.35">
      <c r="A1113" s="10" t="s">
        <v>1284</v>
      </c>
      <c r="B1113" s="255">
        <v>8</v>
      </c>
      <c r="C1113" s="10" t="s">
        <v>219</v>
      </c>
      <c r="D1113" s="10">
        <v>4</v>
      </c>
      <c r="E1113" s="10">
        <v>86</v>
      </c>
      <c r="F1113" s="10" t="s">
        <v>771</v>
      </c>
      <c r="G1113" s="10" t="s">
        <v>696</v>
      </c>
      <c r="H1113" s="10" t="str" cm="1">
        <f t="array" aca="1" ref="H1113" ca="1">IF(INDEX(I1113:Z1113,$H$1)=0,"",INDEX(I1113:Z1113,$H$1))</f>
        <v>(Nm3 CH4/h/source)</v>
      </c>
      <c r="I1113" s="10" t="s">
        <v>897</v>
      </c>
      <c r="J1113" s="10" t="s">
        <v>916</v>
      </c>
      <c r="K1113" s="27" t="s">
        <v>1657</v>
      </c>
    </row>
    <row r="1114" spans="1:11" x14ac:dyDescent="0.35">
      <c r="A1114" s="10" t="s">
        <v>1284</v>
      </c>
      <c r="B1114" s="255">
        <v>8</v>
      </c>
      <c r="C1114" s="10" t="s">
        <v>219</v>
      </c>
      <c r="D1114" s="10">
        <v>4</v>
      </c>
      <c r="E1114" s="10">
        <v>86</v>
      </c>
      <c r="F1114" s="10" t="s">
        <v>594</v>
      </c>
      <c r="G1114" s="10" t="s">
        <v>696</v>
      </c>
      <c r="H1114" s="10" t="str" cm="1">
        <f t="array" aca="1" ref="H1114" ca="1">IF(INDEX(I1114:Z1114,$H$1)=0,"",INDEX(I1114:Z1114,$H$1))</f>
        <v>(%)</v>
      </c>
      <c r="I1114" s="10" t="s">
        <v>146</v>
      </c>
      <c r="J1114" s="10" t="s">
        <v>146</v>
      </c>
      <c r="K1114" s="27" t="s">
        <v>146</v>
      </c>
    </row>
    <row r="1115" spans="1:11" x14ac:dyDescent="0.35">
      <c r="A1115" s="10" t="s">
        <v>1284</v>
      </c>
      <c r="B1115" s="255">
        <v>8</v>
      </c>
      <c r="C1115" s="10" t="s">
        <v>219</v>
      </c>
      <c r="D1115" s="10">
        <v>4</v>
      </c>
      <c r="E1115" s="10">
        <v>86</v>
      </c>
      <c r="F1115" s="10" t="s">
        <v>777</v>
      </c>
      <c r="G1115" s="10" t="s">
        <v>696</v>
      </c>
      <c r="H1115" s="10" t="str" cm="1">
        <f t="array" aca="1" ref="H1115" ca="1">IF(INDEX(I1115:Z1115,$H$1)=0,"",INDEX(I1115:Z1115,$H$1))</f>
        <v>Components Controlled</v>
      </c>
      <c r="I1115" s="10" t="s">
        <v>183</v>
      </c>
      <c r="J1115" s="10" t="s">
        <v>1210</v>
      </c>
      <c r="K1115" s="27" t="s">
        <v>1658</v>
      </c>
    </row>
    <row r="1116" spans="1:11" x14ac:dyDescent="0.35">
      <c r="A1116" s="10" t="s">
        <v>1284</v>
      </c>
      <c r="B1116" s="255">
        <v>8</v>
      </c>
      <c r="C1116" s="10" t="s">
        <v>219</v>
      </c>
      <c r="D1116" s="10">
        <v>4</v>
      </c>
      <c r="E1116" s="10">
        <v>86</v>
      </c>
      <c r="F1116" s="10" t="s">
        <v>718</v>
      </c>
      <c r="G1116" s="10" t="s">
        <v>696</v>
      </c>
      <c r="H1116" s="10" t="str" cm="1">
        <f t="array" aca="1" ref="H1116" ca="1">IF(INDEX(I1116:Z1116,$H$1)=0,"",INDEX(I1116:Z1116,$H$1))</f>
        <v>(%)</v>
      </c>
      <c r="I1116" s="10" t="s">
        <v>146</v>
      </c>
      <c r="J1116" s="10" t="s">
        <v>146</v>
      </c>
      <c r="K1116" s="27" t="s">
        <v>146</v>
      </c>
    </row>
    <row r="1117" spans="1:11" x14ac:dyDescent="0.35">
      <c r="A1117" s="10" t="s">
        <v>1284</v>
      </c>
      <c r="B1117" s="255">
        <v>8</v>
      </c>
      <c r="C1117" s="10" t="s">
        <v>219</v>
      </c>
      <c r="D1117" s="10">
        <v>4</v>
      </c>
      <c r="E1117" s="10">
        <v>87</v>
      </c>
      <c r="F1117" s="10" t="s">
        <v>692</v>
      </c>
      <c r="G1117" s="10" t="s">
        <v>696</v>
      </c>
      <c r="H1117" s="10" t="str" cm="1">
        <f t="array" aca="1" ref="H1117" ca="1">IF(INDEX(I1117:Z1117,$H$1)=0,"",INDEX(I1117:Z1117,$H$1))</f>
        <v>Calculated (use as default)</v>
      </c>
      <c r="I1117" s="10" t="s">
        <v>147</v>
      </c>
      <c r="J1117" s="10" t="s">
        <v>917</v>
      </c>
      <c r="K1117" s="27" t="s">
        <v>1659</v>
      </c>
    </row>
    <row r="1118" spans="1:11" x14ac:dyDescent="0.35">
      <c r="A1118" s="10" t="s">
        <v>1284</v>
      </c>
      <c r="B1118" s="255">
        <v>8</v>
      </c>
      <c r="C1118" s="10" t="s">
        <v>219</v>
      </c>
      <c r="D1118" s="10">
        <v>4</v>
      </c>
      <c r="E1118" s="10">
        <v>87</v>
      </c>
      <c r="F1118" s="10" t="s">
        <v>712</v>
      </c>
      <c r="G1118" s="10" t="s">
        <v>696</v>
      </c>
      <c r="H1118" s="10" t="str" cm="1">
        <f t="array" aca="1" ref="H1118" ca="1">IF(INDEX(I1118:Z1118,$H$1)=0,"",INDEX(I1118:Z1118,$H$1))</f>
        <v>Calculated based on Leak, No-Leak factors and adjustable leak frequency</v>
      </c>
      <c r="I1118" s="10" t="s">
        <v>150</v>
      </c>
      <c r="J1118" s="10" t="s">
        <v>920</v>
      </c>
      <c r="K1118" s="27" t="s">
        <v>1662</v>
      </c>
    </row>
    <row r="1119" spans="1:11" x14ac:dyDescent="0.35">
      <c r="A1119" s="10" t="s">
        <v>1284</v>
      </c>
      <c r="B1119" s="255">
        <v>8</v>
      </c>
      <c r="C1119" s="10" t="s">
        <v>219</v>
      </c>
      <c r="D1119" s="10">
        <v>4</v>
      </c>
      <c r="E1119" s="10">
        <v>87</v>
      </c>
      <c r="F1119" s="10" t="s">
        <v>772</v>
      </c>
      <c r="G1119" s="10" t="s">
        <v>696</v>
      </c>
      <c r="H1119" s="10" t="str" cm="1">
        <f t="array" aca="1" ref="H1119" ca="1">IF(INDEX(I1119:Z1119,$H$1)=0,"",INDEX(I1119:Z1119,$H$1))</f>
        <v>Calculated based on uncontrolled factors and adjustable control factor</v>
      </c>
      <c r="I1119" s="10" t="s">
        <v>151</v>
      </c>
      <c r="J1119" s="10" t="s">
        <v>1206</v>
      </c>
      <c r="K1119" s="27" t="s">
        <v>1663</v>
      </c>
    </row>
    <row r="1120" spans="1:11" x14ac:dyDescent="0.35">
      <c r="A1120" s="10" t="s">
        <v>1284</v>
      </c>
      <c r="B1120" s="255">
        <v>8</v>
      </c>
      <c r="C1120" s="10" t="s">
        <v>219</v>
      </c>
      <c r="D1120" s="10">
        <v>4</v>
      </c>
      <c r="E1120" s="10">
        <v>87</v>
      </c>
      <c r="F1120" s="10" t="s">
        <v>773</v>
      </c>
      <c r="G1120" s="10" t="s">
        <v>696</v>
      </c>
      <c r="H1120" s="10" t="str" cm="1">
        <f t="array" aca="1" ref="H1120" ca="1">IF(INDEX(I1120:Z1120,$H$1)=0,"",INDEX(I1120:Z1120,$H$1))</f>
        <v>Calculated based on uncontrolled factors and adjustable control factor</v>
      </c>
      <c r="I1120" s="10" t="s">
        <v>151</v>
      </c>
      <c r="J1120" s="10" t="s">
        <v>1206</v>
      </c>
      <c r="K1120" s="27" t="s">
        <v>1663</v>
      </c>
    </row>
    <row r="1121" spans="1:11" x14ac:dyDescent="0.35">
      <c r="A1121" s="10" t="s">
        <v>1284</v>
      </c>
      <c r="B1121" s="255">
        <v>8</v>
      </c>
      <c r="C1121" s="10" t="s">
        <v>219</v>
      </c>
      <c r="D1121" s="10">
        <v>4</v>
      </c>
      <c r="E1121" s="10">
        <v>87</v>
      </c>
      <c r="F1121" s="10" t="s">
        <v>771</v>
      </c>
      <c r="G1121" s="10" t="s">
        <v>696</v>
      </c>
      <c r="H1121" s="10" t="str" cm="1">
        <f t="array" aca="1" ref="H1121" ca="1">IF(INDEX(I1121:Z1121,$H$1)=0,"",INDEX(I1121:Z1121,$H$1))</f>
        <v>Calculated based on uncontrolled factors and adjustable control factor</v>
      </c>
      <c r="I1121" s="10" t="s">
        <v>151</v>
      </c>
      <c r="J1121" s="10" t="s">
        <v>1206</v>
      </c>
      <c r="K1121" s="27" t="s">
        <v>1663</v>
      </c>
    </row>
    <row r="1122" spans="1:11" x14ac:dyDescent="0.35">
      <c r="A1122" s="10" t="s">
        <v>1284</v>
      </c>
      <c r="B1122" s="255">
        <v>8</v>
      </c>
      <c r="C1122" s="10" t="s">
        <v>219</v>
      </c>
      <c r="D1122" s="10">
        <v>4</v>
      </c>
      <c r="E1122" s="10">
        <v>87</v>
      </c>
      <c r="F1122" s="10" t="s">
        <v>594</v>
      </c>
      <c r="G1122" s="10" t="s">
        <v>696</v>
      </c>
      <c r="H1122" s="10" t="str" cm="1">
        <f t="array" aca="1" ref="H1122" ca="1">IF(INDEX(I1122:Z1122,$H$1)=0,"",INDEX(I1122:Z1122,$H$1))</f>
        <v>Adjustable Input (Assume to be zero if not entered)</v>
      </c>
      <c r="I1122" s="10" t="s">
        <v>152</v>
      </c>
      <c r="J1122" s="10" t="s">
        <v>921</v>
      </c>
      <c r="K1122" s="27" t="s">
        <v>1664</v>
      </c>
    </row>
    <row r="1123" spans="1:11" x14ac:dyDescent="0.35">
      <c r="A1123" s="10" t="s">
        <v>1284</v>
      </c>
      <c r="B1123" s="255">
        <v>8</v>
      </c>
      <c r="C1123" s="10" t="s">
        <v>219</v>
      </c>
      <c r="D1123" s="10">
        <v>4</v>
      </c>
      <c r="E1123" s="10">
        <v>87</v>
      </c>
      <c r="F1123" s="10" t="s">
        <v>775</v>
      </c>
      <c r="G1123" s="10" t="s">
        <v>696</v>
      </c>
      <c r="H1123" s="10" t="str" cm="1">
        <f t="array" aca="1" ref="H1123" ca="1">IF(INDEX(I1123:Z1123,$H$1)=0,"",INDEX(I1123:Z1123,$H$1))</f>
        <v>Adjustable Input (Assume to be zero if not entered)</v>
      </c>
      <c r="I1123" s="10" t="s">
        <v>152</v>
      </c>
      <c r="J1123" s="10" t="s">
        <v>921</v>
      </c>
      <c r="K1123" s="27" t="s">
        <v>1664</v>
      </c>
    </row>
    <row r="1124" spans="1:11" x14ac:dyDescent="0.35">
      <c r="A1124" s="10" t="s">
        <v>1284</v>
      </c>
      <c r="B1124" s="255">
        <v>8</v>
      </c>
      <c r="C1124" s="10" t="s">
        <v>219</v>
      </c>
      <c r="D1124" s="10">
        <v>4</v>
      </c>
      <c r="E1124" s="10">
        <v>87</v>
      </c>
      <c r="F1124" s="10" t="s">
        <v>777</v>
      </c>
      <c r="G1124" s="10" t="s">
        <v>696</v>
      </c>
      <c r="H1124" s="10" t="str" cm="1">
        <f t="array" aca="1" ref="H1124" ca="1">IF(INDEX(I1124:Z1124,$H$1)=0,"",INDEX(I1124:Z1124,$H$1))</f>
        <v>Adjustable Input (Assume to be zero if not entered)</v>
      </c>
      <c r="I1124" s="10" t="s">
        <v>152</v>
      </c>
      <c r="J1124" s="10" t="s">
        <v>921</v>
      </c>
      <c r="K1124" s="27" t="s">
        <v>1664</v>
      </c>
    </row>
    <row r="1125" spans="1:11" x14ac:dyDescent="0.35">
      <c r="A1125" s="10" t="s">
        <v>1284</v>
      </c>
      <c r="B1125" s="255">
        <v>8</v>
      </c>
      <c r="C1125" s="10" t="s">
        <v>219</v>
      </c>
      <c r="D1125" s="10">
        <v>4</v>
      </c>
      <c r="E1125" s="10">
        <v>87</v>
      </c>
      <c r="F1125" s="10" t="s">
        <v>718</v>
      </c>
      <c r="G1125" s="10" t="s">
        <v>696</v>
      </c>
      <c r="H1125" s="10" t="str" cm="1">
        <f t="array" aca="1" ref="H1125" ca="1">IF(INDEX(I1125:Z1125,$H$1)=0,"",INDEX(I1125:Z1125,$H$1))</f>
        <v>Determined from Lookup Table</v>
      </c>
      <c r="I1125" s="10" t="s">
        <v>247</v>
      </c>
      <c r="J1125" s="10" t="s">
        <v>922</v>
      </c>
      <c r="K1125" s="27" t="s">
        <v>1668</v>
      </c>
    </row>
    <row r="1126" spans="1:11" x14ac:dyDescent="0.35">
      <c r="A1126" s="10" t="s">
        <v>1284</v>
      </c>
      <c r="B1126" s="255">
        <v>8</v>
      </c>
      <c r="C1126" s="10" t="s">
        <v>219</v>
      </c>
      <c r="D1126" s="10">
        <v>4</v>
      </c>
      <c r="E1126" s="10">
        <v>87</v>
      </c>
      <c r="F1126" s="10" t="s">
        <v>690</v>
      </c>
      <c r="G1126" s="10" t="s">
        <v>696</v>
      </c>
      <c r="H1126" s="10" t="str" cm="1">
        <f t="array" aca="1" ref="H1126" ca="1">IF(INDEX(I1126:Z1126,$H$1)=0,"",INDEX(I1126:Z1126,$H$1))</f>
        <v>Calculation Method</v>
      </c>
      <c r="I1126" s="10" t="s">
        <v>2252</v>
      </c>
      <c r="J1126" s="10" t="s">
        <v>2254</v>
      </c>
      <c r="K1126" s="27" t="s">
        <v>2253</v>
      </c>
    </row>
    <row r="1127" spans="1:11" x14ac:dyDescent="0.35">
      <c r="A1127" s="10" t="s">
        <v>1284</v>
      </c>
      <c r="B1127" s="255">
        <v>8</v>
      </c>
      <c r="C1127" s="10" t="s">
        <v>219</v>
      </c>
      <c r="D1127" s="10">
        <v>4</v>
      </c>
      <c r="E1127" s="10">
        <v>88</v>
      </c>
      <c r="F1127" s="10" t="s">
        <v>690</v>
      </c>
      <c r="G1127" s="10" t="s">
        <v>695</v>
      </c>
      <c r="H1127" s="10" t="str" cm="1">
        <f t="array" aca="1" ref="H1127" ca="1">IF(INDEX(I1127:Z1127,$H$1)=0,"",INDEX(I1127:Z1127,$H$1))</f>
        <v>Valves (All)</v>
      </c>
      <c r="I1127" s="17" t="s">
        <v>223</v>
      </c>
      <c r="J1127" s="17" t="s">
        <v>927</v>
      </c>
      <c r="K1127" s="27" t="s">
        <v>1669</v>
      </c>
    </row>
    <row r="1128" spans="1:11" x14ac:dyDescent="0.35">
      <c r="A1128" s="10" t="s">
        <v>1284</v>
      </c>
      <c r="B1128" s="255">
        <v>8</v>
      </c>
      <c r="C1128" s="10" t="s">
        <v>219</v>
      </c>
      <c r="D1128" s="10">
        <v>4</v>
      </c>
      <c r="E1128" s="10">
        <v>88</v>
      </c>
      <c r="F1128" s="10" t="s">
        <v>38</v>
      </c>
      <c r="G1128" s="10" t="s">
        <v>695</v>
      </c>
      <c r="H1128" s="10" t="str" cm="1">
        <f t="array" aca="1" ref="H1128" ca="1">IF(INDEX(I1128:Z1128,$H$1)=0,"",INDEX(I1128:Z1128,$H$1))</f>
        <v>Gas</v>
      </c>
      <c r="I1128" s="17" t="s">
        <v>154</v>
      </c>
      <c r="J1128" s="17" t="s">
        <v>864</v>
      </c>
      <c r="K1128" s="27" t="s">
        <v>154</v>
      </c>
    </row>
    <row r="1129" spans="1:11" x14ac:dyDescent="0.35">
      <c r="A1129" s="10" t="s">
        <v>1284</v>
      </c>
      <c r="B1129" s="255">
        <v>8</v>
      </c>
      <c r="C1129" s="10" t="s">
        <v>219</v>
      </c>
      <c r="D1129" s="10">
        <v>4</v>
      </c>
      <c r="E1129" s="10">
        <v>89</v>
      </c>
      <c r="F1129" s="10" t="s">
        <v>38</v>
      </c>
      <c r="G1129" s="10" t="s">
        <v>695</v>
      </c>
      <c r="H1129" s="10" t="str" cm="1">
        <f t="array" aca="1" ref="H1129" ca="1">IF(INDEX(I1129:Z1129,$H$1)=0,"",INDEX(I1129:Z1129,$H$1))</f>
        <v>Light Liquid</v>
      </c>
      <c r="I1129" s="17" t="s">
        <v>155</v>
      </c>
      <c r="J1129" s="17" t="s">
        <v>865</v>
      </c>
      <c r="K1129" s="27" t="s">
        <v>1540</v>
      </c>
    </row>
    <row r="1130" spans="1:11" x14ac:dyDescent="0.35">
      <c r="A1130" s="10" t="s">
        <v>1284</v>
      </c>
      <c r="B1130" s="255">
        <v>8</v>
      </c>
      <c r="C1130" s="10" t="s">
        <v>219</v>
      </c>
      <c r="D1130" s="10">
        <v>4</v>
      </c>
      <c r="E1130" s="10">
        <v>90</v>
      </c>
      <c r="F1130" s="10" t="s">
        <v>38</v>
      </c>
      <c r="G1130" s="10" t="s">
        <v>695</v>
      </c>
      <c r="H1130" s="10" t="str" cm="1">
        <f t="array" aca="1" ref="H1130" ca="1">IF(INDEX(I1130:Z1130,$H$1)=0,"",INDEX(I1130:Z1130,$H$1))</f>
        <v>Heavy Liquid</v>
      </c>
      <c r="I1130" s="17" t="s">
        <v>156</v>
      </c>
      <c r="J1130" s="17" t="s">
        <v>866</v>
      </c>
      <c r="K1130" s="27" t="s">
        <v>1541</v>
      </c>
    </row>
    <row r="1131" spans="1:11" x14ac:dyDescent="0.35">
      <c r="A1131" s="10" t="s">
        <v>1284</v>
      </c>
      <c r="B1131" s="255">
        <v>8</v>
      </c>
      <c r="C1131" s="10" t="s">
        <v>219</v>
      </c>
      <c r="D1131" s="10">
        <v>4</v>
      </c>
      <c r="E1131" s="10">
        <v>91</v>
      </c>
      <c r="F1131" s="10" t="s">
        <v>690</v>
      </c>
      <c r="G1131" s="10" t="s">
        <v>695</v>
      </c>
      <c r="H1131" s="10" t="str" cm="1">
        <f t="array" aca="1" ref="H1131" ca="1">IF(INDEX(I1131:Z1131,$H$1)=0,"",INDEX(I1131:Z1131,$H$1))</f>
        <v>Valves (Block)</v>
      </c>
      <c r="I1131" s="17" t="s">
        <v>221</v>
      </c>
      <c r="J1131" s="17" t="s">
        <v>853</v>
      </c>
      <c r="K1131" s="27" t="s">
        <v>1542</v>
      </c>
    </row>
    <row r="1132" spans="1:11" x14ac:dyDescent="0.35">
      <c r="A1132" s="10" t="s">
        <v>1284</v>
      </c>
      <c r="B1132" s="255">
        <v>8</v>
      </c>
      <c r="C1132" s="10" t="s">
        <v>219</v>
      </c>
      <c r="D1132" s="10">
        <v>4</v>
      </c>
      <c r="E1132" s="10">
        <v>91</v>
      </c>
      <c r="F1132" s="10" t="s">
        <v>38</v>
      </c>
      <c r="G1132" s="10" t="s">
        <v>695</v>
      </c>
      <c r="H1132" s="10" t="str" cm="1">
        <f t="array" aca="1" ref="H1132" ca="1">IF(INDEX(I1132:Z1132,$H$1)=0,"",INDEX(I1132:Z1132,$H$1))</f>
        <v>Gas</v>
      </c>
      <c r="I1132" s="17" t="s">
        <v>154</v>
      </c>
      <c r="J1132" s="17" t="s">
        <v>864</v>
      </c>
      <c r="K1132" s="27" t="s">
        <v>154</v>
      </c>
    </row>
    <row r="1133" spans="1:11" x14ac:dyDescent="0.35">
      <c r="A1133" s="10" t="s">
        <v>1284</v>
      </c>
      <c r="B1133" s="255">
        <v>8</v>
      </c>
      <c r="C1133" s="10" t="s">
        <v>219</v>
      </c>
      <c r="D1133" s="10">
        <v>4</v>
      </c>
      <c r="E1133" s="10">
        <v>92</v>
      </c>
      <c r="F1133" s="10" t="s">
        <v>690</v>
      </c>
      <c r="G1133" s="10" t="s">
        <v>695</v>
      </c>
      <c r="H1133" s="10" t="str" cm="1">
        <f t="array" aca="1" ref="H1133" ca="1">IF(INDEX(I1133:Z1133,$H$1)=0,"",INDEX(I1133:Z1133,$H$1))</f>
        <v>Valves (Control)</v>
      </c>
      <c r="I1133" s="17" t="s">
        <v>222</v>
      </c>
      <c r="J1133" s="17" t="s">
        <v>854</v>
      </c>
      <c r="K1133" s="27" t="s">
        <v>1543</v>
      </c>
    </row>
    <row r="1134" spans="1:11" x14ac:dyDescent="0.35">
      <c r="A1134" s="10" t="s">
        <v>1284</v>
      </c>
      <c r="B1134" s="255">
        <v>8</v>
      </c>
      <c r="C1134" s="10" t="s">
        <v>219</v>
      </c>
      <c r="D1134" s="10">
        <v>4</v>
      </c>
      <c r="E1134" s="10">
        <v>92</v>
      </c>
      <c r="F1134" s="10" t="s">
        <v>38</v>
      </c>
      <c r="G1134" s="10" t="s">
        <v>695</v>
      </c>
      <c r="H1134" s="10" t="str" cm="1">
        <f t="array" aca="1" ref="H1134" ca="1">IF(INDEX(I1134:Z1134,$H$1)=0,"",INDEX(I1134:Z1134,$H$1))</f>
        <v>Gas</v>
      </c>
      <c r="I1134" s="17" t="s">
        <v>154</v>
      </c>
      <c r="J1134" s="17" t="s">
        <v>864</v>
      </c>
      <c r="K1134" s="27" t="s">
        <v>154</v>
      </c>
    </row>
    <row r="1135" spans="1:11" x14ac:dyDescent="0.35">
      <c r="A1135" s="10" t="s">
        <v>1284</v>
      </c>
      <c r="B1135" s="255">
        <v>8</v>
      </c>
      <c r="C1135" s="10" t="s">
        <v>219</v>
      </c>
      <c r="D1135" s="10">
        <v>4</v>
      </c>
      <c r="E1135" s="10">
        <v>93</v>
      </c>
      <c r="F1135" s="10" t="s">
        <v>690</v>
      </c>
      <c r="G1135" s="10" t="s">
        <v>695</v>
      </c>
      <c r="H1135" s="10" t="str" cm="1">
        <f t="array" aca="1" ref="H1135" ca="1">IF(INDEX(I1135:Z1135,$H$1)=0,"",INDEX(I1135:Z1135,$H$1))</f>
        <v>Pump Seals</v>
      </c>
      <c r="I1135" s="17" t="s">
        <v>157</v>
      </c>
      <c r="J1135" s="17" t="s">
        <v>855</v>
      </c>
      <c r="K1135" s="27" t="s">
        <v>1544</v>
      </c>
    </row>
    <row r="1136" spans="1:11" x14ac:dyDescent="0.35">
      <c r="A1136" s="10" t="s">
        <v>1284</v>
      </c>
      <c r="B1136" s="255">
        <v>8</v>
      </c>
      <c r="C1136" s="10" t="s">
        <v>219</v>
      </c>
      <c r="D1136" s="10">
        <v>4</v>
      </c>
      <c r="E1136" s="10">
        <v>93</v>
      </c>
      <c r="F1136" s="10" t="s">
        <v>38</v>
      </c>
      <c r="G1136" s="10" t="s">
        <v>695</v>
      </c>
      <c r="H1136" s="10" t="str" cm="1">
        <f t="array" aca="1" ref="H1136" ca="1">IF(INDEX(I1136:Z1136,$H$1)=0,"",INDEX(I1136:Z1136,$H$1))</f>
        <v>Light Liquid</v>
      </c>
      <c r="I1136" s="17" t="s">
        <v>155</v>
      </c>
      <c r="J1136" s="17" t="s">
        <v>865</v>
      </c>
      <c r="K1136" s="27" t="s">
        <v>1540</v>
      </c>
    </row>
    <row r="1137" spans="1:14" x14ac:dyDescent="0.35">
      <c r="A1137" s="10" t="s">
        <v>1284</v>
      </c>
      <c r="B1137" s="255">
        <v>8</v>
      </c>
      <c r="C1137" s="10" t="s">
        <v>219</v>
      </c>
      <c r="D1137" s="10">
        <v>4</v>
      </c>
      <c r="E1137" s="10">
        <v>94</v>
      </c>
      <c r="F1137" s="10" t="s">
        <v>38</v>
      </c>
      <c r="G1137" s="10" t="s">
        <v>695</v>
      </c>
      <c r="H1137" s="10" t="str" cm="1">
        <f t="array" aca="1" ref="H1137" ca="1">IF(INDEX(I1137:Z1137,$H$1)=0,"",INDEX(I1137:Z1137,$H$1))</f>
        <v>Heavy Liquid</v>
      </c>
      <c r="I1137" s="17" t="s">
        <v>156</v>
      </c>
      <c r="J1137" s="17" t="s">
        <v>866</v>
      </c>
      <c r="K1137" s="27" t="s">
        <v>1541</v>
      </c>
    </row>
    <row r="1138" spans="1:14" x14ac:dyDescent="0.35">
      <c r="A1138" s="10" t="s">
        <v>1284</v>
      </c>
      <c r="B1138" s="255">
        <v>8</v>
      </c>
      <c r="C1138" s="10" t="s">
        <v>219</v>
      </c>
      <c r="D1138" s="10">
        <v>4</v>
      </c>
      <c r="E1138" s="10">
        <v>95</v>
      </c>
      <c r="F1138" s="10" t="s">
        <v>690</v>
      </c>
      <c r="G1138" s="10" t="s">
        <v>695</v>
      </c>
      <c r="H1138" s="10" t="str" cm="1">
        <f t="array" aca="1" ref="H1138" ca="1">IF(INDEX(I1138:Z1138,$H$1)=0,"",INDEX(I1138:Z1138,$H$1))</f>
        <v xml:space="preserve">Compressor Seals (Reciprocating - Operating) </v>
      </c>
      <c r="I1138" s="17" t="s">
        <v>229</v>
      </c>
      <c r="J1138" s="17" t="s">
        <v>1216</v>
      </c>
      <c r="K1138" s="27" t="s">
        <v>1545</v>
      </c>
    </row>
    <row r="1139" spans="1:14" x14ac:dyDescent="0.35">
      <c r="A1139" s="10" t="s">
        <v>1284</v>
      </c>
      <c r="B1139" s="255">
        <v>8</v>
      </c>
      <c r="C1139" s="10" t="s">
        <v>219</v>
      </c>
      <c r="D1139" s="10">
        <v>4</v>
      </c>
      <c r="E1139" s="10">
        <v>95</v>
      </c>
      <c r="F1139" s="10" t="s">
        <v>38</v>
      </c>
      <c r="G1139" s="10" t="s">
        <v>695</v>
      </c>
      <c r="H1139" s="10" t="str" cm="1">
        <f t="array" aca="1" ref="H1139" ca="1">IF(INDEX(I1139:Z1139,$H$1)=0,"",INDEX(I1139:Z1139,$H$1))</f>
        <v>Gas</v>
      </c>
      <c r="I1139" s="17" t="s">
        <v>154</v>
      </c>
      <c r="J1139" s="17" t="s">
        <v>864</v>
      </c>
      <c r="K1139" s="27" t="s">
        <v>154</v>
      </c>
    </row>
    <row r="1140" spans="1:14" x14ac:dyDescent="0.35">
      <c r="A1140" s="10" t="s">
        <v>1284</v>
      </c>
      <c r="B1140" s="255">
        <v>8</v>
      </c>
      <c r="C1140" s="10" t="s">
        <v>219</v>
      </c>
      <c r="D1140" s="10">
        <v>4</v>
      </c>
      <c r="E1140" s="10">
        <v>96</v>
      </c>
      <c r="F1140" s="10" t="s">
        <v>690</v>
      </c>
      <c r="G1140" s="10" t="s">
        <v>695</v>
      </c>
      <c r="H1140" s="10" t="str" cm="1">
        <f t="array" aca="1" ref="H1140" ca="1">IF(INDEX(I1140:Z1140,$H$1)=0,"",INDEX(I1140:Z1140,$H$1))</f>
        <v>Compressor Seals (Reciprocating - Standby &amp; Pressurized)</v>
      </c>
      <c r="I1140" s="17" t="s">
        <v>276</v>
      </c>
      <c r="J1140" s="17" t="s">
        <v>1217</v>
      </c>
      <c r="K1140" s="27" t="s">
        <v>1546</v>
      </c>
    </row>
    <row r="1141" spans="1:14" x14ac:dyDescent="0.35">
      <c r="A1141" s="10" t="s">
        <v>1284</v>
      </c>
      <c r="B1141" s="255">
        <v>8</v>
      </c>
      <c r="C1141" s="10" t="s">
        <v>219</v>
      </c>
      <c r="D1141" s="10">
        <v>4</v>
      </c>
      <c r="E1141" s="10">
        <v>96</v>
      </c>
      <c r="F1141" s="10" t="s">
        <v>38</v>
      </c>
      <c r="G1141" s="10" t="s">
        <v>695</v>
      </c>
      <c r="H1141" s="10" t="str" cm="1">
        <f t="array" aca="1" ref="H1141" ca="1">IF(INDEX(I1141:Z1141,$H$1)=0,"",INDEX(I1141:Z1141,$H$1))</f>
        <v>Gas</v>
      </c>
      <c r="I1141" s="17" t="s">
        <v>154</v>
      </c>
      <c r="J1141" s="17" t="s">
        <v>864</v>
      </c>
      <c r="K1141" s="27" t="s">
        <v>154</v>
      </c>
      <c r="N1141" s="23"/>
    </row>
    <row r="1142" spans="1:14" x14ac:dyDescent="0.35">
      <c r="A1142" s="10" t="s">
        <v>1284</v>
      </c>
      <c r="B1142" s="255">
        <v>8</v>
      </c>
      <c r="C1142" s="10" t="s">
        <v>219</v>
      </c>
      <c r="D1142" s="10">
        <v>4</v>
      </c>
      <c r="E1142" s="10">
        <v>97</v>
      </c>
      <c r="F1142" s="10" t="s">
        <v>690</v>
      </c>
      <c r="G1142" s="10" t="s">
        <v>695</v>
      </c>
      <c r="H1142" s="10" t="str" cm="1">
        <f t="array" aca="1" ref="H1142" ca="1">IF(INDEX(I1142:Z1142,$H$1)=0,"",INDEX(I1142:Z1142,$H$1))</f>
        <v>Compressor Seals (Reciprocating - Depressurized)</v>
      </c>
      <c r="I1142" s="17" t="s">
        <v>277</v>
      </c>
      <c r="J1142" s="17" t="s">
        <v>1215</v>
      </c>
      <c r="K1142" s="27" t="s">
        <v>1547</v>
      </c>
    </row>
    <row r="1143" spans="1:14" x14ac:dyDescent="0.35">
      <c r="A1143" s="10" t="s">
        <v>1284</v>
      </c>
      <c r="B1143" s="255">
        <v>8</v>
      </c>
      <c r="C1143" s="10" t="s">
        <v>219</v>
      </c>
      <c r="D1143" s="10">
        <v>4</v>
      </c>
      <c r="E1143" s="10">
        <v>97</v>
      </c>
      <c r="F1143" s="10" t="s">
        <v>38</v>
      </c>
      <c r="G1143" s="10" t="s">
        <v>695</v>
      </c>
      <c r="H1143" s="10" t="str" cm="1">
        <f t="array" aca="1" ref="H1143" ca="1">IF(INDEX(I1143:Z1143,$H$1)=0,"",INDEX(I1143:Z1143,$H$1))</f>
        <v>Gas</v>
      </c>
      <c r="I1143" s="17" t="s">
        <v>154</v>
      </c>
      <c r="J1143" s="17" t="s">
        <v>864</v>
      </c>
      <c r="K1143" s="27" t="s">
        <v>154</v>
      </c>
    </row>
    <row r="1144" spans="1:14" x14ac:dyDescent="0.35">
      <c r="A1144" s="10" t="s">
        <v>1284</v>
      </c>
      <c r="B1144" s="255">
        <v>8</v>
      </c>
      <c r="C1144" s="10" t="s">
        <v>219</v>
      </c>
      <c r="D1144" s="10">
        <v>4</v>
      </c>
      <c r="E1144" s="10">
        <v>98</v>
      </c>
      <c r="F1144" s="10" t="s">
        <v>690</v>
      </c>
      <c r="G1144" s="10" t="s">
        <v>695</v>
      </c>
      <c r="H1144" s="10" t="str" cm="1">
        <f t="array" aca="1" ref="H1144" ca="1">IF(INDEX(I1144:Z1144,$H$1)=0,"",INDEX(I1144:Z1144,$H$1))</f>
        <v>Compressor Wet Seals (Centrifugal - Operating)</v>
      </c>
      <c r="I1144" s="17" t="s">
        <v>3213</v>
      </c>
      <c r="J1144" s="17" t="s">
        <v>3213</v>
      </c>
      <c r="K1144" s="17" t="s">
        <v>3213</v>
      </c>
    </row>
    <row r="1145" spans="1:14" x14ac:dyDescent="0.35">
      <c r="A1145" s="10" t="s">
        <v>1284</v>
      </c>
      <c r="B1145" s="255">
        <v>8</v>
      </c>
      <c r="C1145" s="10" t="s">
        <v>219</v>
      </c>
      <c r="D1145" s="10">
        <v>4</v>
      </c>
      <c r="E1145" s="10">
        <v>98</v>
      </c>
      <c r="F1145" s="10" t="s">
        <v>38</v>
      </c>
      <c r="G1145" s="10" t="s">
        <v>695</v>
      </c>
      <c r="H1145" s="10" t="str" cm="1">
        <f t="array" aca="1" ref="H1145" ca="1">IF(INDEX(I1145:Z1145,$H$1)=0,"",INDEX(I1145:Z1145,$H$1))</f>
        <v>Compressor Wet Seals (Centrifugal - Standby &amp; Pressurized)</v>
      </c>
      <c r="I1145" s="17" t="s">
        <v>3215</v>
      </c>
      <c r="J1145" s="17" t="s">
        <v>3215</v>
      </c>
      <c r="K1145" s="17" t="s">
        <v>3215</v>
      </c>
    </row>
    <row r="1146" spans="1:14" x14ac:dyDescent="0.35">
      <c r="A1146" s="10" t="s">
        <v>1284</v>
      </c>
      <c r="B1146" s="255">
        <v>8</v>
      </c>
      <c r="C1146" s="10" t="s">
        <v>219</v>
      </c>
      <c r="D1146" s="10">
        <v>4</v>
      </c>
      <c r="E1146" s="10">
        <v>99</v>
      </c>
      <c r="F1146" s="10" t="s">
        <v>690</v>
      </c>
      <c r="G1146" s="10" t="s">
        <v>695</v>
      </c>
      <c r="H1146" s="10" t="str" cm="1">
        <f t="array" aca="1" ref="H1146" ca="1">IF(INDEX(I1146:Z1146,$H$1)=0,"",INDEX(I1146:Z1146,$H$1))</f>
        <v>Compressor Wet Seals (Centrifugal - Depressurized)</v>
      </c>
      <c r="I1146" s="17" t="s">
        <v>3216</v>
      </c>
      <c r="J1146" s="17" t="s">
        <v>3216</v>
      </c>
      <c r="K1146" s="17" t="s">
        <v>3216</v>
      </c>
    </row>
    <row r="1147" spans="1:14" x14ac:dyDescent="0.35">
      <c r="A1147" s="10" t="s">
        <v>1284</v>
      </c>
      <c r="B1147" s="255">
        <v>8</v>
      </c>
      <c r="C1147" s="10" t="s">
        <v>219</v>
      </c>
      <c r="D1147" s="10">
        <v>4</v>
      </c>
      <c r="E1147" s="10">
        <v>99</v>
      </c>
      <c r="F1147" s="10" t="s">
        <v>38</v>
      </c>
      <c r="G1147" s="10" t="s">
        <v>695</v>
      </c>
      <c r="H1147" s="10" t="str" cm="1">
        <f t="array" aca="1" ref="H1147" ca="1">IF(INDEX(I1147:Z1147,$H$1)=0,"",INDEX(I1147:Z1147,$H$1))</f>
        <v>Compressor Dry Seals (Centrifugal - Operating)</v>
      </c>
      <c r="I1147" s="17" t="s">
        <v>3217</v>
      </c>
      <c r="J1147" s="17" t="s">
        <v>3217</v>
      </c>
      <c r="K1147" s="17" t="s">
        <v>3217</v>
      </c>
    </row>
    <row r="1148" spans="1:14" x14ac:dyDescent="0.35">
      <c r="A1148" s="10" t="s">
        <v>1284</v>
      </c>
      <c r="B1148" s="255">
        <v>8</v>
      </c>
      <c r="C1148" s="10" t="s">
        <v>219</v>
      </c>
      <c r="D1148" s="10">
        <v>4</v>
      </c>
      <c r="E1148" s="10">
        <v>100</v>
      </c>
      <c r="F1148" s="10" t="s">
        <v>690</v>
      </c>
      <c r="G1148" s="10" t="s">
        <v>695</v>
      </c>
      <c r="H1148" s="10" t="str" cm="1">
        <f t="array" aca="1" ref="H1148" ca="1">IF(INDEX(I1148:Z1148,$H$1)=0,"",INDEX(I1148:Z1148,$H$1))</f>
        <v>Compressor Dry Seals (Centrifugal - Standby &amp; Pressurized)</v>
      </c>
      <c r="I1148" s="17" t="s">
        <v>3214</v>
      </c>
      <c r="J1148" s="17" t="s">
        <v>3214</v>
      </c>
      <c r="K1148" s="17" t="s">
        <v>3214</v>
      </c>
    </row>
    <row r="1149" spans="1:14" x14ac:dyDescent="0.35">
      <c r="A1149" s="10" t="s">
        <v>1284</v>
      </c>
      <c r="B1149" s="255">
        <v>8</v>
      </c>
      <c r="C1149" s="10" t="s">
        <v>219</v>
      </c>
      <c r="D1149" s="10">
        <v>4</v>
      </c>
      <c r="E1149" s="10">
        <v>100</v>
      </c>
      <c r="F1149" s="10" t="s">
        <v>38</v>
      </c>
      <c r="G1149" s="10" t="s">
        <v>695</v>
      </c>
      <c r="H1149" s="10" t="str" cm="1">
        <f t="array" aca="1" ref="H1149" ca="1">IF(INDEX(I1149:Z1149,$H$1)=0,"",INDEX(I1149:Z1149,$H$1))</f>
        <v>Compressor Dry Seals (Centrifugal - Depressurized)</v>
      </c>
      <c r="I1149" s="17" t="s">
        <v>3218</v>
      </c>
      <c r="J1149" s="17" t="s">
        <v>3218</v>
      </c>
      <c r="K1149" s="17" t="s">
        <v>3218</v>
      </c>
    </row>
    <row r="1150" spans="1:14" x14ac:dyDescent="0.35">
      <c r="A1150" s="10" t="s">
        <v>1284</v>
      </c>
      <c r="B1150" s="255">
        <v>8</v>
      </c>
      <c r="C1150" s="10" t="s">
        <v>219</v>
      </c>
      <c r="D1150" s="10">
        <v>4</v>
      </c>
      <c r="E1150" s="10">
        <v>102</v>
      </c>
      <c r="F1150" s="10" t="s">
        <v>690</v>
      </c>
      <c r="G1150" s="10" t="s">
        <v>695</v>
      </c>
      <c r="H1150" s="10" t="str" cm="1">
        <f t="array" aca="1" ref="H1150" ca="1">IF(INDEX(I1150:Z1150,$H$1)=0,"",INDEX(I1150:Z1150,$H$1))</f>
        <v>Compressor (Reciprocating - Crankcase Vent)</v>
      </c>
      <c r="I1150" s="17" t="s">
        <v>278</v>
      </c>
      <c r="J1150" s="17" t="s">
        <v>1211</v>
      </c>
      <c r="K1150" s="27" t="s">
        <v>1551</v>
      </c>
    </row>
    <row r="1151" spans="1:14" x14ac:dyDescent="0.35">
      <c r="A1151" s="10" t="s">
        <v>1284</v>
      </c>
      <c r="B1151" s="255">
        <v>8</v>
      </c>
      <c r="C1151" s="10" t="s">
        <v>219</v>
      </c>
      <c r="D1151" s="10">
        <v>4</v>
      </c>
      <c r="E1151" s="10">
        <v>102</v>
      </c>
      <c r="F1151" s="10" t="s">
        <v>38</v>
      </c>
      <c r="G1151" s="10" t="s">
        <v>695</v>
      </c>
      <c r="H1151" s="10" t="str" cm="1">
        <f t="array" aca="1" ref="H1151" ca="1">IF(INDEX(I1151:Z1151,$H$1)=0,"",INDEX(I1151:Z1151,$H$1))</f>
        <v>Gas</v>
      </c>
      <c r="I1151" s="17" t="s">
        <v>154</v>
      </c>
      <c r="J1151" s="17" t="s">
        <v>864</v>
      </c>
      <c r="K1151" s="27" t="s">
        <v>154</v>
      </c>
    </row>
    <row r="1152" spans="1:14" x14ac:dyDescent="0.35">
      <c r="A1152" s="10" t="s">
        <v>1284</v>
      </c>
      <c r="B1152" s="255">
        <v>8</v>
      </c>
      <c r="C1152" s="10" t="s">
        <v>219</v>
      </c>
      <c r="D1152" s="10">
        <v>4</v>
      </c>
      <c r="E1152" s="10">
        <v>103</v>
      </c>
      <c r="F1152" s="10" t="s">
        <v>690</v>
      </c>
      <c r="G1152" s="10" t="s">
        <v>695</v>
      </c>
      <c r="H1152" s="10" t="str" cm="1">
        <f t="array" aca="1" ref="H1152" ca="1">IF(INDEX(I1152:Z1152,$H$1)=0,"",INDEX(I1152:Z1152,$H$1))</f>
        <v>Pressure Relief Valves</v>
      </c>
      <c r="I1152" s="17" t="s">
        <v>159</v>
      </c>
      <c r="J1152" s="17" t="s">
        <v>856</v>
      </c>
      <c r="K1152" s="27" t="s">
        <v>1552</v>
      </c>
    </row>
    <row r="1153" spans="1:11" x14ac:dyDescent="0.35">
      <c r="A1153" s="10" t="s">
        <v>1284</v>
      </c>
      <c r="B1153" s="255">
        <v>8</v>
      </c>
      <c r="C1153" s="10" t="s">
        <v>219</v>
      </c>
      <c r="D1153" s="10">
        <v>4</v>
      </c>
      <c r="E1153" s="10">
        <v>103</v>
      </c>
      <c r="F1153" s="10" t="s">
        <v>38</v>
      </c>
      <c r="G1153" s="10" t="s">
        <v>695</v>
      </c>
      <c r="H1153" s="10" t="str" cm="1">
        <f t="array" aca="1" ref="H1153" ca="1">IF(INDEX(I1153:Z1153,$H$1)=0,"",INDEX(I1153:Z1153,$H$1))</f>
        <v>Gas</v>
      </c>
      <c r="I1153" s="17" t="s">
        <v>154</v>
      </c>
      <c r="J1153" s="17" t="s">
        <v>864</v>
      </c>
      <c r="K1153" s="27" t="s">
        <v>154</v>
      </c>
    </row>
    <row r="1154" spans="1:11" x14ac:dyDescent="0.35">
      <c r="A1154" s="10" t="s">
        <v>1284</v>
      </c>
      <c r="B1154" s="255">
        <v>8</v>
      </c>
      <c r="C1154" s="10" t="s">
        <v>219</v>
      </c>
      <c r="D1154" s="10">
        <v>4</v>
      </c>
      <c r="E1154" s="10">
        <v>104</v>
      </c>
      <c r="F1154" s="10" t="s">
        <v>690</v>
      </c>
      <c r="G1154" s="10" t="s">
        <v>695</v>
      </c>
      <c r="H1154" s="10" t="str" cm="1">
        <f t="array" aca="1" ref="H1154" ca="1">IF(INDEX(I1154:Z1154,$H$1)=0,"",INDEX(I1154:Z1154,$H$1))</f>
        <v>Regulators</v>
      </c>
      <c r="I1154" s="17" t="s">
        <v>165</v>
      </c>
      <c r="J1154" s="17" t="s">
        <v>857</v>
      </c>
      <c r="K1154" s="27" t="s">
        <v>1553</v>
      </c>
    </row>
    <row r="1155" spans="1:11" x14ac:dyDescent="0.35">
      <c r="A1155" s="10" t="s">
        <v>1284</v>
      </c>
      <c r="B1155" s="255">
        <v>8</v>
      </c>
      <c r="C1155" s="10" t="s">
        <v>219</v>
      </c>
      <c r="D1155" s="10">
        <v>4</v>
      </c>
      <c r="E1155" s="10">
        <v>104</v>
      </c>
      <c r="F1155" s="10" t="s">
        <v>38</v>
      </c>
      <c r="G1155" s="10" t="s">
        <v>695</v>
      </c>
      <c r="H1155" s="10" t="str" cm="1">
        <f t="array" aca="1" ref="H1155" ca="1">IF(INDEX(I1155:Z1155,$H$1)=0,"",INDEX(I1155:Z1155,$H$1))</f>
        <v>Gas</v>
      </c>
      <c r="I1155" s="17" t="s">
        <v>154</v>
      </c>
      <c r="J1155" s="17" t="s">
        <v>864</v>
      </c>
      <c r="K1155" s="27" t="s">
        <v>154</v>
      </c>
    </row>
    <row r="1156" spans="1:11" x14ac:dyDescent="0.35">
      <c r="A1156" s="10" t="s">
        <v>1284</v>
      </c>
      <c r="B1156" s="255">
        <v>8</v>
      </c>
      <c r="C1156" s="10" t="s">
        <v>219</v>
      </c>
      <c r="D1156" s="10">
        <v>4</v>
      </c>
      <c r="E1156" s="10">
        <v>105</v>
      </c>
      <c r="F1156" s="10" t="s">
        <v>690</v>
      </c>
      <c r="G1156" s="10" t="s">
        <v>695</v>
      </c>
      <c r="H1156" s="10" t="str" cm="1">
        <f t="array" aca="1" ref="H1156" ca="1">IF(INDEX(I1156:Z1156,$H$1)=0,"",INDEX(I1156:Z1156,$H$1))</f>
        <v>Connectors</v>
      </c>
      <c r="I1156" s="17" t="s">
        <v>160</v>
      </c>
      <c r="J1156" s="17" t="s">
        <v>858</v>
      </c>
      <c r="K1156" s="27" t="s">
        <v>1554</v>
      </c>
    </row>
    <row r="1157" spans="1:11" x14ac:dyDescent="0.35">
      <c r="A1157" s="10" t="s">
        <v>1284</v>
      </c>
      <c r="B1157" s="255">
        <v>8</v>
      </c>
      <c r="C1157" s="10" t="s">
        <v>219</v>
      </c>
      <c r="D1157" s="10">
        <v>4</v>
      </c>
      <c r="E1157" s="10">
        <v>105</v>
      </c>
      <c r="F1157" s="10" t="s">
        <v>38</v>
      </c>
      <c r="G1157" s="10" t="s">
        <v>695</v>
      </c>
      <c r="H1157" s="10" t="str" cm="1">
        <f t="array" aca="1" ref="H1157" ca="1">IF(INDEX(I1157:Z1157,$H$1)=0,"",INDEX(I1157:Z1157,$H$1))</f>
        <v>Gas</v>
      </c>
      <c r="I1157" s="17" t="s">
        <v>154</v>
      </c>
      <c r="J1157" s="17" t="s">
        <v>864</v>
      </c>
      <c r="K1157" s="27" t="s">
        <v>154</v>
      </c>
    </row>
    <row r="1158" spans="1:11" x14ac:dyDescent="0.35">
      <c r="A1158" s="10" t="s">
        <v>1284</v>
      </c>
      <c r="B1158" s="255">
        <v>8</v>
      </c>
      <c r="C1158" s="10" t="s">
        <v>219</v>
      </c>
      <c r="D1158" s="10">
        <v>4</v>
      </c>
      <c r="E1158" s="10">
        <v>106</v>
      </c>
      <c r="F1158" s="10" t="s">
        <v>38</v>
      </c>
      <c r="G1158" s="10" t="s">
        <v>695</v>
      </c>
      <c r="H1158" s="10" t="str" cm="1">
        <f t="array" aca="1" ref="H1158" ca="1">IF(INDEX(I1158:Z1158,$H$1)=0,"",INDEX(I1158:Z1158,$H$1))</f>
        <v>Light Liquid</v>
      </c>
      <c r="I1158" s="17" t="s">
        <v>155</v>
      </c>
      <c r="J1158" s="17" t="s">
        <v>865</v>
      </c>
      <c r="K1158" s="27" t="s">
        <v>1540</v>
      </c>
    </row>
    <row r="1159" spans="1:11" x14ac:dyDescent="0.35">
      <c r="A1159" s="10" t="s">
        <v>1284</v>
      </c>
      <c r="B1159" s="255">
        <v>8</v>
      </c>
      <c r="C1159" s="10" t="s">
        <v>219</v>
      </c>
      <c r="D1159" s="10">
        <v>4</v>
      </c>
      <c r="E1159" s="10">
        <v>107</v>
      </c>
      <c r="F1159" s="10" t="s">
        <v>38</v>
      </c>
      <c r="G1159" s="10" t="s">
        <v>695</v>
      </c>
      <c r="H1159" s="10" t="str" cm="1">
        <f t="array" aca="1" ref="H1159" ca="1">IF(INDEX(I1159:Z1159,$H$1)=0,"",INDEX(I1159:Z1159,$H$1))</f>
        <v>Heavy Liquid</v>
      </c>
      <c r="I1159" s="17" t="s">
        <v>156</v>
      </c>
      <c r="J1159" s="17" t="s">
        <v>866</v>
      </c>
      <c r="K1159" s="27" t="s">
        <v>1541</v>
      </c>
    </row>
    <row r="1160" spans="1:11" x14ac:dyDescent="0.35">
      <c r="A1160" s="10" t="s">
        <v>1284</v>
      </c>
      <c r="B1160" s="255">
        <v>8</v>
      </c>
      <c r="C1160" s="10" t="s">
        <v>219</v>
      </c>
      <c r="D1160" s="10">
        <v>4</v>
      </c>
      <c r="E1160" s="10">
        <v>108</v>
      </c>
      <c r="F1160" s="10" t="s">
        <v>690</v>
      </c>
      <c r="G1160" s="10" t="s">
        <v>695</v>
      </c>
      <c r="H1160" s="10" t="str" cm="1">
        <f t="array" aca="1" ref="H1160" ca="1">IF(INDEX(I1160:Z1160,$H$1)=0,"",INDEX(I1160:Z1160,$H$1))</f>
        <v>Open-ended Lines</v>
      </c>
      <c r="I1160" s="17" t="s">
        <v>161</v>
      </c>
      <c r="J1160" s="17" t="s">
        <v>859</v>
      </c>
      <c r="K1160" s="27" t="s">
        <v>1555</v>
      </c>
    </row>
    <row r="1161" spans="1:11" x14ac:dyDescent="0.35">
      <c r="A1161" s="10" t="s">
        <v>1284</v>
      </c>
      <c r="B1161" s="255">
        <v>8</v>
      </c>
      <c r="C1161" s="10" t="s">
        <v>219</v>
      </c>
      <c r="D1161" s="10">
        <v>4</v>
      </c>
      <c r="E1161" s="10">
        <v>108</v>
      </c>
      <c r="F1161" s="10" t="s">
        <v>38</v>
      </c>
      <c r="G1161" s="10" t="s">
        <v>695</v>
      </c>
      <c r="H1161" s="10" t="str" cm="1">
        <f t="array" aca="1" ref="H1161" ca="1">IF(INDEX(I1161:Z1161,$H$1)=0,"",INDEX(I1161:Z1161,$H$1))</f>
        <v>Gas</v>
      </c>
      <c r="I1161" s="17" t="s">
        <v>154</v>
      </c>
      <c r="J1161" s="17" t="s">
        <v>864</v>
      </c>
      <c r="K1161" s="27" t="s">
        <v>154</v>
      </c>
    </row>
    <row r="1162" spans="1:11" x14ac:dyDescent="0.35">
      <c r="A1162" s="10" t="s">
        <v>1284</v>
      </c>
      <c r="B1162" s="255">
        <v>8</v>
      </c>
      <c r="C1162" s="10" t="s">
        <v>219</v>
      </c>
      <c r="D1162" s="10">
        <v>4</v>
      </c>
      <c r="E1162" s="10">
        <v>109</v>
      </c>
      <c r="F1162" s="10" t="s">
        <v>38</v>
      </c>
      <c r="G1162" s="10" t="s">
        <v>695</v>
      </c>
      <c r="H1162" s="10" t="str" cm="1">
        <f t="array" aca="1" ref="H1162" ca="1">IF(INDEX(I1162:Z1162,$H$1)=0,"",INDEX(I1162:Z1162,$H$1))</f>
        <v>Light Liquid</v>
      </c>
      <c r="I1162" s="17" t="s">
        <v>155</v>
      </c>
      <c r="J1162" s="17" t="s">
        <v>865</v>
      </c>
      <c r="K1162" s="27" t="s">
        <v>1540</v>
      </c>
    </row>
    <row r="1163" spans="1:11" x14ac:dyDescent="0.35">
      <c r="A1163" s="10" t="s">
        <v>1284</v>
      </c>
      <c r="B1163" s="255">
        <v>8</v>
      </c>
      <c r="C1163" s="10" t="s">
        <v>219</v>
      </c>
      <c r="D1163" s="10">
        <v>4</v>
      </c>
      <c r="E1163" s="10">
        <v>110</v>
      </c>
      <c r="F1163" s="10" t="s">
        <v>38</v>
      </c>
      <c r="G1163" s="10" t="s">
        <v>695</v>
      </c>
      <c r="H1163" s="10" t="str" cm="1">
        <f t="array" aca="1" ref="H1163" ca="1">IF(INDEX(I1163:Z1163,$H$1)=0,"",INDEX(I1163:Z1163,$H$1))</f>
        <v>Heavy Liquid</v>
      </c>
      <c r="I1163" s="17" t="s">
        <v>156</v>
      </c>
      <c r="J1163" s="17" t="s">
        <v>866</v>
      </c>
      <c r="K1163" s="27" t="s">
        <v>1541</v>
      </c>
    </row>
    <row r="1164" spans="1:11" x14ac:dyDescent="0.35">
      <c r="A1164" s="10" t="s">
        <v>1284</v>
      </c>
      <c r="B1164" s="255">
        <v>8</v>
      </c>
      <c r="C1164" s="10" t="s">
        <v>219</v>
      </c>
      <c r="D1164" s="10">
        <v>4</v>
      </c>
      <c r="E1164" s="10">
        <v>111</v>
      </c>
      <c r="F1164" s="10" t="s">
        <v>690</v>
      </c>
      <c r="G1164" s="10" t="s">
        <v>695</v>
      </c>
      <c r="H1164" s="10" t="str" cm="1">
        <f t="array" aca="1" ref="H1164" ca="1">IF(INDEX(I1164:Z1164,$H$1)=0,"",INDEX(I1164:Z1164,$H$1))</f>
        <v>Sampling Connections</v>
      </c>
      <c r="I1164" s="17" t="s">
        <v>162</v>
      </c>
      <c r="J1164" s="17" t="s">
        <v>860</v>
      </c>
      <c r="K1164" s="27" t="s">
        <v>1556</v>
      </c>
    </row>
    <row r="1165" spans="1:11" x14ac:dyDescent="0.35">
      <c r="A1165" s="10" t="s">
        <v>1284</v>
      </c>
      <c r="B1165" s="255">
        <v>8</v>
      </c>
      <c r="C1165" s="10" t="s">
        <v>219</v>
      </c>
      <c r="D1165" s="10">
        <v>4</v>
      </c>
      <c r="E1165" s="10">
        <v>111</v>
      </c>
      <c r="F1165" s="10" t="s">
        <v>38</v>
      </c>
      <c r="G1165" s="10" t="s">
        <v>695</v>
      </c>
      <c r="H1165" s="10" t="str" cm="1">
        <f t="array" aca="1" ref="H1165" ca="1">IF(INDEX(I1165:Z1165,$H$1)=0,"",INDEX(I1165:Z1165,$H$1))</f>
        <v>All</v>
      </c>
      <c r="I1165" s="17" t="s">
        <v>49</v>
      </c>
      <c r="J1165" s="17" t="s">
        <v>867</v>
      </c>
      <c r="K1165" s="27" t="s">
        <v>1557</v>
      </c>
    </row>
    <row r="1166" spans="1:11" x14ac:dyDescent="0.35">
      <c r="A1166" s="10" t="s">
        <v>1284</v>
      </c>
      <c r="B1166" s="255">
        <v>8</v>
      </c>
      <c r="C1166" s="10" t="s">
        <v>219</v>
      </c>
      <c r="D1166" s="10">
        <v>4</v>
      </c>
      <c r="E1166" s="10">
        <v>112</v>
      </c>
      <c r="F1166" s="10" t="s">
        <v>690</v>
      </c>
      <c r="G1166" s="10" t="s">
        <v>695</v>
      </c>
      <c r="H1166" s="10" t="str" cm="1">
        <f t="array" aca="1" ref="H1166" ca="1">IF(INDEX(I1166:Z1166,$H$1)=0,"",INDEX(I1166:Z1166,$H$1))</f>
        <v>Drains</v>
      </c>
      <c r="I1166" s="17" t="s">
        <v>163</v>
      </c>
      <c r="J1166" s="17" t="s">
        <v>1226</v>
      </c>
      <c r="K1166" s="27" t="s">
        <v>1558</v>
      </c>
    </row>
    <row r="1167" spans="1:11" x14ac:dyDescent="0.35">
      <c r="A1167" s="10" t="s">
        <v>1284</v>
      </c>
      <c r="B1167" s="255">
        <v>8</v>
      </c>
      <c r="C1167" s="10" t="s">
        <v>219</v>
      </c>
      <c r="D1167" s="10">
        <v>4</v>
      </c>
      <c r="E1167" s="10">
        <v>112</v>
      </c>
      <c r="F1167" s="10" t="s">
        <v>38</v>
      </c>
      <c r="G1167" s="10" t="s">
        <v>695</v>
      </c>
      <c r="H1167" s="10" t="str" cm="1">
        <f t="array" aca="1" ref="H1167" ca="1">IF(INDEX(I1167:Z1167,$H$1)=0,"",INDEX(I1167:Z1167,$H$1))</f>
        <v>All</v>
      </c>
      <c r="I1167" s="17" t="s">
        <v>49</v>
      </c>
      <c r="J1167" s="17" t="s">
        <v>867</v>
      </c>
      <c r="K1167" s="27" t="s">
        <v>1557</v>
      </c>
    </row>
    <row r="1168" spans="1:11" x14ac:dyDescent="0.35">
      <c r="A1168" s="10" t="s">
        <v>1284</v>
      </c>
      <c r="B1168" s="255">
        <v>8</v>
      </c>
      <c r="C1168" s="10" t="s">
        <v>219</v>
      </c>
      <c r="D1168" s="10">
        <v>4</v>
      </c>
      <c r="E1168" s="10">
        <v>113</v>
      </c>
      <c r="F1168" s="10" t="s">
        <v>690</v>
      </c>
      <c r="G1168" s="10" t="s">
        <v>695</v>
      </c>
      <c r="H1168" s="10" t="str" cm="1">
        <f t="array" aca="1" ref="H1168" ca="1">IF(INDEX(I1168:Z1168,$H$1)=0,"",INDEX(I1168:Z1168,$H$1))</f>
        <v>Meter (Orifice)</v>
      </c>
      <c r="I1168" s="17" t="s">
        <v>224</v>
      </c>
      <c r="J1168" s="17" t="s">
        <v>1263</v>
      </c>
      <c r="K1168" s="27" t="s">
        <v>1559</v>
      </c>
    </row>
    <row r="1169" spans="1:12" x14ac:dyDescent="0.35">
      <c r="A1169" s="10" t="s">
        <v>1284</v>
      </c>
      <c r="B1169" s="255">
        <v>8</v>
      </c>
      <c r="C1169" s="10" t="s">
        <v>219</v>
      </c>
      <c r="D1169" s="10">
        <v>4</v>
      </c>
      <c r="E1169" s="10">
        <v>113</v>
      </c>
      <c r="F1169" s="10" t="s">
        <v>38</v>
      </c>
      <c r="G1169" s="10" t="s">
        <v>695</v>
      </c>
      <c r="H1169" s="10" t="str" cm="1">
        <f t="array" aca="1" ref="H1169" ca="1">IF(INDEX(I1169:Z1169,$H$1)=0,"",INDEX(I1169:Z1169,$H$1))</f>
        <v>Gas</v>
      </c>
      <c r="I1169" s="17" t="s">
        <v>154</v>
      </c>
      <c r="J1169" s="17" t="s">
        <v>864</v>
      </c>
      <c r="K1169" s="27" t="s">
        <v>154</v>
      </c>
    </row>
    <row r="1170" spans="1:12" x14ac:dyDescent="0.35">
      <c r="A1170" s="10" t="s">
        <v>1284</v>
      </c>
      <c r="B1170" s="255">
        <v>8</v>
      </c>
      <c r="C1170" s="10" t="s">
        <v>219</v>
      </c>
      <c r="D1170" s="10">
        <v>4</v>
      </c>
      <c r="E1170" s="10">
        <v>114</v>
      </c>
      <c r="F1170" s="10" t="s">
        <v>690</v>
      </c>
      <c r="G1170" s="10" t="s">
        <v>695</v>
      </c>
      <c r="H1170" s="10" t="str" cm="1">
        <f t="array" aca="1" ref="H1170" ca="1">IF(INDEX(I1170:Z1170,$H$1)=0,"",INDEX(I1170:Z1170,$H$1))</f>
        <v>Meter (Other)</v>
      </c>
      <c r="I1170" s="17" t="s">
        <v>225</v>
      </c>
      <c r="J1170" s="17" t="s">
        <v>861</v>
      </c>
      <c r="K1170" s="27" t="s">
        <v>1560</v>
      </c>
    </row>
    <row r="1171" spans="1:12" x14ac:dyDescent="0.35">
      <c r="A1171" s="10" t="s">
        <v>1284</v>
      </c>
      <c r="B1171" s="255">
        <v>8</v>
      </c>
      <c r="C1171" s="10" t="s">
        <v>219</v>
      </c>
      <c r="D1171" s="10">
        <v>4</v>
      </c>
      <c r="E1171" s="10">
        <v>114</v>
      </c>
      <c r="F1171" s="10" t="s">
        <v>38</v>
      </c>
      <c r="G1171" s="10" t="s">
        <v>695</v>
      </c>
      <c r="H1171" s="10" t="str" cm="1">
        <f t="array" aca="1" ref="H1171" ca="1">IF(INDEX(I1171:Z1171,$H$1)=0,"",INDEX(I1171:Z1171,$H$1))</f>
        <v>Gas</v>
      </c>
      <c r="I1171" s="17" t="s">
        <v>154</v>
      </c>
      <c r="J1171" s="17" t="s">
        <v>864</v>
      </c>
      <c r="K1171" s="27" t="s">
        <v>154</v>
      </c>
    </row>
    <row r="1172" spans="1:12" x14ac:dyDescent="0.35">
      <c r="A1172" s="10" t="s">
        <v>1284</v>
      </c>
      <c r="B1172" s="255">
        <v>8</v>
      </c>
      <c r="C1172" s="10" t="s">
        <v>219</v>
      </c>
      <c r="D1172" s="10">
        <v>4</v>
      </c>
      <c r="E1172" s="10">
        <v>115</v>
      </c>
      <c r="F1172" s="10" t="s">
        <v>690</v>
      </c>
      <c r="G1172" s="10" t="s">
        <v>695</v>
      </c>
      <c r="H1172" s="10" t="str" cm="1">
        <f t="array" aca="1" ref="H1172" ca="1">IF(INDEX(I1172:Z1172,$H$1)=0,"",INDEX(I1172:Z1172,$H$1))</f>
        <v>Blowdown System</v>
      </c>
      <c r="I1172" s="17" t="s">
        <v>226</v>
      </c>
      <c r="J1172" s="17" t="s">
        <v>862</v>
      </c>
      <c r="K1172" s="27" t="s">
        <v>1561</v>
      </c>
    </row>
    <row r="1173" spans="1:12" x14ac:dyDescent="0.35">
      <c r="A1173" s="10" t="s">
        <v>1284</v>
      </c>
      <c r="B1173" s="255">
        <v>8</v>
      </c>
      <c r="C1173" s="10" t="s">
        <v>219</v>
      </c>
      <c r="D1173" s="10">
        <v>4</v>
      </c>
      <c r="E1173" s="10">
        <v>115</v>
      </c>
      <c r="F1173" s="10" t="s">
        <v>38</v>
      </c>
      <c r="G1173" s="10" t="s">
        <v>695</v>
      </c>
      <c r="H1173" s="10" t="str" cm="1">
        <f t="array" aca="1" ref="H1173" ca="1">IF(INDEX(I1173:Z1173,$H$1)=0,"",INDEX(I1173:Z1173,$H$1))</f>
        <v>Gas</v>
      </c>
      <c r="I1173" s="17" t="s">
        <v>154</v>
      </c>
      <c r="J1173" s="17" t="s">
        <v>864</v>
      </c>
      <c r="K1173" s="27" t="s">
        <v>154</v>
      </c>
    </row>
    <row r="1174" spans="1:12" x14ac:dyDescent="0.35">
      <c r="A1174" s="10" t="s">
        <v>1284</v>
      </c>
      <c r="B1174" s="255">
        <v>8</v>
      </c>
      <c r="C1174" s="10" t="s">
        <v>219</v>
      </c>
      <c r="D1174" s="10">
        <v>4</v>
      </c>
      <c r="E1174" s="10">
        <v>116</v>
      </c>
      <c r="F1174" s="10" t="s">
        <v>690</v>
      </c>
      <c r="G1174" s="10" t="s">
        <v>695</v>
      </c>
      <c r="H1174" s="10" t="str" cm="1">
        <f t="array" aca="1" ref="H1174" ca="1">IF(INDEX(I1174:Z1174,$H$1)=0,"",INDEX(I1174:Z1174,$H$1))</f>
        <v>Others</v>
      </c>
      <c r="I1174" s="17" t="s">
        <v>166</v>
      </c>
      <c r="J1174" s="17" t="s">
        <v>863</v>
      </c>
      <c r="K1174" s="27" t="s">
        <v>1562</v>
      </c>
    </row>
    <row r="1175" spans="1:12" x14ac:dyDescent="0.35">
      <c r="A1175" s="10" t="s">
        <v>1284</v>
      </c>
      <c r="B1175" s="255">
        <v>8</v>
      </c>
      <c r="C1175" s="10" t="s">
        <v>219</v>
      </c>
      <c r="D1175" s="10">
        <v>4</v>
      </c>
      <c r="E1175" s="10">
        <v>116</v>
      </c>
      <c r="F1175" s="10" t="s">
        <v>38</v>
      </c>
      <c r="G1175" s="10" t="s">
        <v>695</v>
      </c>
      <c r="H1175" s="10" t="str" cm="1">
        <f t="array" aca="1" ref="H1175" ca="1">IF(INDEX(I1175:Z1175,$H$1)=0,"",INDEX(I1175:Z1175,$H$1))</f>
        <v>Gas</v>
      </c>
      <c r="I1175" s="17" t="s">
        <v>154</v>
      </c>
      <c r="J1175" s="17" t="s">
        <v>864</v>
      </c>
      <c r="K1175" s="27" t="s">
        <v>154</v>
      </c>
    </row>
    <row r="1176" spans="1:12" x14ac:dyDescent="0.35">
      <c r="A1176" s="10" t="s">
        <v>1284</v>
      </c>
      <c r="B1176" s="255">
        <v>8</v>
      </c>
      <c r="C1176" s="10" t="s">
        <v>219</v>
      </c>
      <c r="D1176" s="10">
        <v>4</v>
      </c>
      <c r="E1176" s="10">
        <v>117</v>
      </c>
      <c r="F1176" s="10" t="s">
        <v>38</v>
      </c>
      <c r="G1176" s="10" t="s">
        <v>695</v>
      </c>
      <c r="H1176" s="10" t="str" cm="1">
        <f t="array" aca="1" ref="H1176" ca="1">IF(INDEX(I1176:Z1176,$H$1)=0,"",INDEX(I1176:Z1176,$H$1))</f>
        <v>Light Liquid</v>
      </c>
      <c r="I1176" s="17" t="s">
        <v>155</v>
      </c>
      <c r="J1176" s="17" t="s">
        <v>865</v>
      </c>
      <c r="K1176" s="27" t="s">
        <v>1540</v>
      </c>
    </row>
    <row r="1177" spans="1:12" x14ac:dyDescent="0.35">
      <c r="A1177" s="10" t="s">
        <v>1284</v>
      </c>
      <c r="B1177" s="255">
        <v>8</v>
      </c>
      <c r="C1177" s="10" t="s">
        <v>219</v>
      </c>
      <c r="D1177" s="10">
        <v>4</v>
      </c>
      <c r="E1177" s="10">
        <v>118</v>
      </c>
      <c r="F1177" s="10" t="s">
        <v>38</v>
      </c>
      <c r="G1177" s="10" t="s">
        <v>695</v>
      </c>
      <c r="H1177" s="10" t="str" cm="1">
        <f t="array" aca="1" ref="H1177" ca="1">IF(INDEX(I1177:Z1177,$H$1)=0,"",INDEX(I1177:Z1177,$H$1))</f>
        <v>Heavy Liquid</v>
      </c>
      <c r="I1177" s="17" t="s">
        <v>156</v>
      </c>
      <c r="J1177" s="17" t="s">
        <v>866</v>
      </c>
      <c r="K1177" s="27" t="s">
        <v>1541</v>
      </c>
    </row>
    <row r="1178" spans="1:12" x14ac:dyDescent="0.35">
      <c r="A1178" s="10" t="s">
        <v>1284</v>
      </c>
      <c r="B1178" s="255">
        <v>8</v>
      </c>
      <c r="C1178" s="10" t="s">
        <v>227</v>
      </c>
      <c r="D1178" s="10">
        <v>5</v>
      </c>
      <c r="E1178" s="10">
        <v>122</v>
      </c>
      <c r="F1178" s="10" t="s">
        <v>690</v>
      </c>
      <c r="G1178" s="10" t="s">
        <v>688</v>
      </c>
      <c r="H1178" s="10" t="str" cm="1">
        <f t="array" aca="1" ref="H1178" ca="1">IF(INDEX(I1178:Z1178,$H$1)=0,"",INDEX(I1178:Z1178,$H$1))</f>
        <v>Natural Gas Distribution (Commercial Meter Sites)</v>
      </c>
      <c r="I1178" s="10" t="s">
        <v>227</v>
      </c>
      <c r="J1178" s="10" t="s">
        <v>928</v>
      </c>
      <c r="K1178" s="27" t="s">
        <v>1671</v>
      </c>
    </row>
    <row r="1179" spans="1:12" x14ac:dyDescent="0.35">
      <c r="A1179" s="10" t="s">
        <v>1284</v>
      </c>
      <c r="B1179" s="255">
        <v>8</v>
      </c>
      <c r="C1179" s="10" t="s">
        <v>227</v>
      </c>
      <c r="D1179" s="10">
        <v>5</v>
      </c>
      <c r="E1179" s="10">
        <v>123</v>
      </c>
      <c r="F1179" s="10" t="s">
        <v>690</v>
      </c>
      <c r="G1179" s="10" t="s">
        <v>696</v>
      </c>
      <c r="H1179" s="10" t="str" cm="1">
        <f t="array" aca="1" ref="H1179" ca="1">IF(INDEX(I1179:Z1179,$H$1)=0,"",INDEX(I1179:Z1179,$H$1))</f>
        <v>Equipment Component Type</v>
      </c>
      <c r="I1179" s="10" t="s">
        <v>172</v>
      </c>
      <c r="J1179" s="10" t="s">
        <v>1229</v>
      </c>
      <c r="K1179" s="27" t="s">
        <v>1516</v>
      </c>
    </row>
    <row r="1180" spans="1:12" x14ac:dyDescent="0.35">
      <c r="A1180" s="10" t="s">
        <v>1284</v>
      </c>
      <c r="B1180" s="255">
        <v>8</v>
      </c>
      <c r="C1180" s="10" t="s">
        <v>227</v>
      </c>
      <c r="D1180" s="10">
        <v>5</v>
      </c>
      <c r="E1180" s="10">
        <v>123</v>
      </c>
      <c r="F1180" s="10" t="s">
        <v>38</v>
      </c>
      <c r="G1180" s="10" t="s">
        <v>696</v>
      </c>
      <c r="H1180" s="10" t="str" cm="1">
        <f t="array" aca="1" ref="H1180" ca="1">IF(INDEX(I1180:Z1180,$H$1)=0,"",INDEX(I1180:Z1180,$H$1))</f>
        <v>Service</v>
      </c>
      <c r="I1180" s="10" t="s">
        <v>133</v>
      </c>
      <c r="J1180" s="10" t="s">
        <v>832</v>
      </c>
      <c r="K1180" s="27" t="s">
        <v>1517</v>
      </c>
    </row>
    <row r="1181" spans="1:12" x14ac:dyDescent="0.35">
      <c r="A1181" s="10" t="s">
        <v>1284</v>
      </c>
      <c r="B1181" s="255">
        <v>8</v>
      </c>
      <c r="C1181" s="10" t="s">
        <v>227</v>
      </c>
      <c r="D1181" s="10">
        <v>5</v>
      </c>
      <c r="E1181" s="10">
        <v>123</v>
      </c>
      <c r="F1181" s="10" t="s">
        <v>692</v>
      </c>
      <c r="G1181" s="10" t="s">
        <v>696</v>
      </c>
      <c r="H1181" s="10" t="str" cm="1">
        <f t="array" aca="1" ref="H1181" ca="1">IF(INDEX(I1181:Z1181,$H$1)=0,"",INDEX(I1181:Z1181,$H$1))</f>
        <v>CEPEI (2016) Factors</v>
      </c>
      <c r="I1181" s="10" t="s">
        <v>220</v>
      </c>
      <c r="J1181" s="10" t="s">
        <v>924</v>
      </c>
      <c r="K1181" s="27" t="s">
        <v>1667</v>
      </c>
    </row>
    <row r="1182" spans="1:12" x14ac:dyDescent="0.35">
      <c r="A1182" s="10" t="s">
        <v>1284</v>
      </c>
      <c r="B1182" s="255">
        <v>8</v>
      </c>
      <c r="C1182" s="10" t="s">
        <v>227</v>
      </c>
      <c r="D1182" s="10">
        <v>5</v>
      </c>
      <c r="E1182" s="10">
        <v>123</v>
      </c>
      <c r="F1182" s="10" t="s">
        <v>591</v>
      </c>
      <c r="G1182" s="10" t="s">
        <v>696</v>
      </c>
      <c r="H1182" s="10" t="str" cm="1">
        <f t="array" aca="1" ref="H1182" ca="1">IF(INDEX(I1182:Z1182,$H$1)=0,"",INDEX(I1182:Z1182,$H$1))</f>
        <v>Developed Average Emission Factor</v>
      </c>
      <c r="I1182" s="10" t="s">
        <v>271</v>
      </c>
      <c r="J1182" s="10" t="s">
        <v>1223</v>
      </c>
      <c r="K1182" s="27" t="s">
        <v>1641</v>
      </c>
    </row>
    <row r="1183" spans="1:12" x14ac:dyDescent="0.35">
      <c r="A1183" s="10" t="s">
        <v>1284</v>
      </c>
      <c r="B1183" s="255">
        <v>8</v>
      </c>
      <c r="C1183" s="10" t="s">
        <v>227</v>
      </c>
      <c r="D1183" s="10">
        <v>5</v>
      </c>
      <c r="E1183" s="10">
        <v>124</v>
      </c>
      <c r="F1183" s="10" t="s">
        <v>692</v>
      </c>
      <c r="G1183" s="10" t="s">
        <v>696</v>
      </c>
      <c r="H1183" s="10" t="str" cm="1">
        <f t="array" aca="1" ref="H1183" ca="1">IF(INDEX(I1183:Z1183,$H$1)=0,"",INDEX(I1183:Z1183,$H$1))</f>
        <v>Implied Leak</v>
      </c>
      <c r="I1183" s="10" t="s">
        <v>167</v>
      </c>
      <c r="J1183" s="10" t="s">
        <v>900</v>
      </c>
      <c r="K1183" s="27" t="s">
        <v>1642</v>
      </c>
      <c r="L1183" s="15"/>
    </row>
    <row r="1184" spans="1:12" x14ac:dyDescent="0.35">
      <c r="A1184" s="10" t="s">
        <v>1284</v>
      </c>
      <c r="B1184" s="255">
        <v>8</v>
      </c>
      <c r="C1184" s="10" t="s">
        <v>227</v>
      </c>
      <c r="D1184" s="10">
        <v>5</v>
      </c>
      <c r="E1184" s="10">
        <v>124</v>
      </c>
      <c r="F1184" s="10" t="s">
        <v>693</v>
      </c>
      <c r="G1184" s="10" t="s">
        <v>696</v>
      </c>
      <c r="H1184" s="10" t="str" cm="1">
        <f t="array" aca="1" ref="H1184" ca="1">IF(INDEX(I1184:Z1184,$H$1)=0,"",INDEX(I1184:Z1184,$H$1))</f>
        <v>Average</v>
      </c>
      <c r="I1184" s="10" t="s">
        <v>135</v>
      </c>
      <c r="J1184" s="10" t="s">
        <v>901</v>
      </c>
      <c r="K1184" s="27" t="s">
        <v>1643</v>
      </c>
    </row>
    <row r="1185" spans="1:11" x14ac:dyDescent="0.35">
      <c r="A1185" s="10" t="s">
        <v>1284</v>
      </c>
      <c r="B1185" s="255">
        <v>8</v>
      </c>
      <c r="C1185" s="10" t="s">
        <v>227</v>
      </c>
      <c r="D1185" s="10">
        <v>5</v>
      </c>
      <c r="E1185" s="10">
        <v>124</v>
      </c>
      <c r="F1185" s="10" t="s">
        <v>694</v>
      </c>
      <c r="G1185" s="10" t="s">
        <v>696</v>
      </c>
      <c r="H1185" s="10" t="str" cm="1">
        <f t="array" aca="1" ref="H1185" ca="1">IF(INDEX(I1185:Z1185,$H$1)=0,"",INDEX(I1185:Z1185,$H$1))</f>
        <v>Leak</v>
      </c>
      <c r="I1185" s="10" t="s">
        <v>136</v>
      </c>
      <c r="J1185" s="10" t="s">
        <v>1259</v>
      </c>
      <c r="K1185" s="27" t="s">
        <v>1644</v>
      </c>
    </row>
    <row r="1186" spans="1:11" x14ac:dyDescent="0.35">
      <c r="A1186" s="10" t="s">
        <v>1284</v>
      </c>
      <c r="B1186" s="255">
        <v>8</v>
      </c>
      <c r="C1186" s="10" t="s">
        <v>227</v>
      </c>
      <c r="D1186" s="10">
        <v>5</v>
      </c>
      <c r="E1186" s="10">
        <v>124</v>
      </c>
      <c r="F1186" s="10" t="s">
        <v>711</v>
      </c>
      <c r="G1186" s="10" t="s">
        <v>696</v>
      </c>
      <c r="H1186" s="10" t="str" cm="1">
        <f t="array" aca="1" ref="H1186" ca="1">IF(INDEX(I1186:Z1186,$H$1)=0,"",INDEX(I1186:Z1186,$H$1))</f>
        <v>No-Leak</v>
      </c>
      <c r="I1186" s="10" t="s">
        <v>137</v>
      </c>
      <c r="J1186" s="10" t="s">
        <v>902</v>
      </c>
      <c r="K1186" s="27" t="s">
        <v>1645</v>
      </c>
    </row>
    <row r="1187" spans="1:11" x14ac:dyDescent="0.35">
      <c r="A1187" s="10" t="s">
        <v>1284</v>
      </c>
      <c r="B1187" s="255">
        <v>8</v>
      </c>
      <c r="C1187" s="10" t="s">
        <v>227</v>
      </c>
      <c r="D1187" s="10">
        <v>5</v>
      </c>
      <c r="E1187" s="10">
        <v>124</v>
      </c>
      <c r="F1187" s="10" t="s">
        <v>591</v>
      </c>
      <c r="G1187" s="10" t="s">
        <v>696</v>
      </c>
      <c r="H1187" s="10" t="str" cm="1">
        <f t="array" aca="1" ref="H1187" ca="1">IF(INDEX(I1187:Z1187,$H$1)=0,"",INDEX(I1187:Z1187,$H$1))</f>
        <v xml:space="preserve">Leak </v>
      </c>
      <c r="I1187" s="10" t="s">
        <v>138</v>
      </c>
      <c r="J1187" s="10" t="s">
        <v>1259</v>
      </c>
      <c r="K1187" s="27" t="s">
        <v>1644</v>
      </c>
    </row>
    <row r="1188" spans="1:11" x14ac:dyDescent="0.35">
      <c r="A1188" s="10" t="s">
        <v>1284</v>
      </c>
      <c r="B1188" s="255">
        <v>8</v>
      </c>
      <c r="C1188" s="10" t="s">
        <v>227</v>
      </c>
      <c r="D1188" s="10">
        <v>5</v>
      </c>
      <c r="E1188" s="10">
        <v>124</v>
      </c>
      <c r="F1188" s="10" t="s">
        <v>712</v>
      </c>
      <c r="G1188" s="10" t="s">
        <v>696</v>
      </c>
      <c r="H1188" s="10" t="str" cm="1">
        <f t="array" aca="1" ref="H1188" ca="1">IF(INDEX(I1188:Z1188,$H$1)=0,"",INDEX(I1188:Z1188,$H$1))</f>
        <v>Uncontrolled</v>
      </c>
      <c r="I1188" s="10" t="s">
        <v>139</v>
      </c>
      <c r="J1188" s="10" t="s">
        <v>903</v>
      </c>
      <c r="K1188" s="27" t="s">
        <v>1646</v>
      </c>
    </row>
    <row r="1189" spans="1:11" x14ac:dyDescent="0.35">
      <c r="A1189" s="10" t="s">
        <v>1284</v>
      </c>
      <c r="B1189" s="255">
        <v>8</v>
      </c>
      <c r="C1189" s="10" t="s">
        <v>227</v>
      </c>
      <c r="D1189" s="10">
        <v>5</v>
      </c>
      <c r="E1189" s="10">
        <v>124</v>
      </c>
      <c r="F1189" s="10" t="s">
        <v>713</v>
      </c>
      <c r="G1189" s="10" t="s">
        <v>696</v>
      </c>
      <c r="H1189" s="10" t="str" cm="1">
        <f t="array" aca="1" ref="H1189" ca="1">IF(INDEX(I1189:Z1189,$H$1)=0,"",INDEX(I1189:Z1189,$H$1))</f>
        <v>Control</v>
      </c>
      <c r="I1189" s="10" t="s">
        <v>140</v>
      </c>
      <c r="J1189" s="10" t="s">
        <v>904</v>
      </c>
      <c r="K1189" s="27" t="s">
        <v>140</v>
      </c>
    </row>
    <row r="1190" spans="1:11" x14ac:dyDescent="0.35">
      <c r="A1190" s="10" t="s">
        <v>1284</v>
      </c>
      <c r="B1190" s="255">
        <v>8</v>
      </c>
      <c r="C1190" s="10" t="s">
        <v>227</v>
      </c>
      <c r="D1190" s="10">
        <v>5</v>
      </c>
      <c r="E1190" s="10">
        <v>124</v>
      </c>
      <c r="F1190" s="10" t="s">
        <v>772</v>
      </c>
      <c r="G1190" s="10" t="s">
        <v>696</v>
      </c>
      <c r="H1190" s="10" t="str" cm="1">
        <f t="array" aca="1" ref="H1190" ca="1">IF(INDEX(I1190:Z1190,$H$1)=0,"",INDEX(I1190:Z1190,$H$1))</f>
        <v>Controlled</v>
      </c>
      <c r="I1190" s="10" t="s">
        <v>141</v>
      </c>
      <c r="J1190" s="10" t="s">
        <v>905</v>
      </c>
      <c r="K1190" s="27" t="s">
        <v>1647</v>
      </c>
    </row>
    <row r="1191" spans="1:11" x14ac:dyDescent="0.35">
      <c r="A1191" s="10" t="s">
        <v>1284</v>
      </c>
      <c r="B1191" s="255">
        <v>8</v>
      </c>
      <c r="C1191" s="10" t="s">
        <v>227</v>
      </c>
      <c r="D1191" s="10">
        <v>5</v>
      </c>
      <c r="E1191" s="10">
        <v>124</v>
      </c>
      <c r="F1191" s="10" t="s">
        <v>594</v>
      </c>
      <c r="G1191" s="10" t="s">
        <v>696</v>
      </c>
      <c r="H1191" s="10" t="str" cm="1">
        <f t="array" aca="1" ref="H1191" ca="1">IF(INDEX(I1191:Z1191,$H$1)=0,"",INDEX(I1191:Z1191,$H$1))</f>
        <v xml:space="preserve">Specified Leak </v>
      </c>
      <c r="I1191" s="10" t="s">
        <v>142</v>
      </c>
      <c r="J1191" s="10" t="s">
        <v>906</v>
      </c>
      <c r="K1191" s="27" t="s">
        <v>1648</v>
      </c>
    </row>
    <row r="1192" spans="1:11" x14ac:dyDescent="0.35">
      <c r="A1192" s="10" t="s">
        <v>1284</v>
      </c>
      <c r="B1192" s="255">
        <v>8</v>
      </c>
      <c r="C1192" s="10" t="s">
        <v>227</v>
      </c>
      <c r="D1192" s="10">
        <v>5</v>
      </c>
      <c r="E1192" s="10">
        <v>124</v>
      </c>
      <c r="F1192" s="10" t="s">
        <v>775</v>
      </c>
      <c r="G1192" s="10" t="s">
        <v>696</v>
      </c>
      <c r="H1192" s="10" t="str" cm="1">
        <f t="array" aca="1" ref="H1192" ca="1">IF(INDEX(I1192:Z1192,$H$1)=0,"",INDEX(I1192:Z1192,$H$1))</f>
        <v xml:space="preserve">Equipment Modification </v>
      </c>
      <c r="I1192" s="10" t="s">
        <v>171</v>
      </c>
      <c r="J1192" s="10" t="s">
        <v>907</v>
      </c>
      <c r="K1192" s="27" t="s">
        <v>1649</v>
      </c>
    </row>
    <row r="1193" spans="1:11" x14ac:dyDescent="0.35">
      <c r="A1193" s="10" t="s">
        <v>1284</v>
      </c>
      <c r="B1193" s="255">
        <v>8</v>
      </c>
      <c r="C1193" s="10" t="s">
        <v>227</v>
      </c>
      <c r="D1193" s="10">
        <v>5</v>
      </c>
      <c r="E1193" s="10">
        <v>125</v>
      </c>
      <c r="F1193" s="10" t="s">
        <v>692</v>
      </c>
      <c r="G1193" s="10" t="s">
        <v>696</v>
      </c>
      <c r="H1193" s="10" t="str" cm="1">
        <f t="array" aca="1" ref="H1193" ca="1">IF(INDEX(I1193:Z1193,$H$1)=0,"",INDEX(I1193:Z1193,$H$1))</f>
        <v>Frequency</v>
      </c>
      <c r="I1193" s="10" t="s">
        <v>143</v>
      </c>
      <c r="J1193" s="10" t="s">
        <v>908</v>
      </c>
      <c r="K1193" s="27" t="s">
        <v>1650</v>
      </c>
    </row>
    <row r="1194" spans="1:11" x14ac:dyDescent="0.35">
      <c r="A1194" s="10" t="s">
        <v>1284</v>
      </c>
      <c r="B1194" s="255">
        <v>8</v>
      </c>
      <c r="C1194" s="10" t="s">
        <v>227</v>
      </c>
      <c r="D1194" s="10">
        <v>5</v>
      </c>
      <c r="E1194" s="10">
        <v>125</v>
      </c>
      <c r="F1194" s="10" t="s">
        <v>693</v>
      </c>
      <c r="G1194" s="10" t="s">
        <v>696</v>
      </c>
      <c r="H1194" s="10" t="str" cm="1">
        <f t="array" aca="1" ref="H1194" ca="1">IF(INDEX(I1194:Z1194,$H$1)=0,"",INDEX(I1194:Z1194,$H$1))</f>
        <v>(kg/h/source)</v>
      </c>
      <c r="I1194" s="10" t="s">
        <v>144</v>
      </c>
      <c r="J1194" s="10" t="s">
        <v>909</v>
      </c>
      <c r="K1194" s="27" t="s">
        <v>1651</v>
      </c>
    </row>
    <row r="1195" spans="1:11" x14ac:dyDescent="0.35">
      <c r="A1195" s="10" t="s">
        <v>1284</v>
      </c>
      <c r="B1195" s="255">
        <v>8</v>
      </c>
      <c r="C1195" s="10" t="s">
        <v>227</v>
      </c>
      <c r="D1195" s="10">
        <v>5</v>
      </c>
      <c r="E1195" s="10">
        <v>125</v>
      </c>
      <c r="F1195" s="10" t="s">
        <v>694</v>
      </c>
      <c r="G1195" s="10" t="s">
        <v>696</v>
      </c>
      <c r="H1195" s="10" t="str" cm="1">
        <f t="array" aca="1" ref="H1195" ca="1">IF(INDEX(I1195:Z1195,$H$1)=0,"",INDEX(I1195:Z1195,$H$1))</f>
        <v>(kg/h/source)</v>
      </c>
      <c r="I1195" s="10" t="s">
        <v>144</v>
      </c>
      <c r="J1195" s="10" t="s">
        <v>909</v>
      </c>
      <c r="K1195" s="27" t="s">
        <v>1651</v>
      </c>
    </row>
    <row r="1196" spans="1:11" x14ac:dyDescent="0.35">
      <c r="A1196" s="10" t="s">
        <v>1284</v>
      </c>
      <c r="B1196" s="255">
        <v>8</v>
      </c>
      <c r="C1196" s="10" t="s">
        <v>227</v>
      </c>
      <c r="D1196" s="10">
        <v>5</v>
      </c>
      <c r="E1196" s="10">
        <v>125</v>
      </c>
      <c r="F1196" s="10" t="s">
        <v>711</v>
      </c>
      <c r="G1196" s="10" t="s">
        <v>696</v>
      </c>
      <c r="H1196" s="10" t="str" cm="1">
        <f t="array" aca="1" ref="H1196" ca="1">IF(INDEX(I1196:Z1196,$H$1)=0,"",INDEX(I1196:Z1196,$H$1))</f>
        <v>(kg/h/source)</v>
      </c>
      <c r="I1196" s="10" t="s">
        <v>144</v>
      </c>
      <c r="J1196" s="10" t="s">
        <v>909</v>
      </c>
      <c r="K1196" s="27" t="s">
        <v>1651</v>
      </c>
    </row>
    <row r="1197" spans="1:11" x14ac:dyDescent="0.35">
      <c r="A1197" s="10" t="s">
        <v>1284</v>
      </c>
      <c r="B1197" s="255">
        <v>8</v>
      </c>
      <c r="C1197" s="10" t="s">
        <v>227</v>
      </c>
      <c r="D1197" s="10">
        <v>5</v>
      </c>
      <c r="E1197" s="10">
        <v>125</v>
      </c>
      <c r="F1197" s="10" t="s">
        <v>591</v>
      </c>
      <c r="G1197" s="10" t="s">
        <v>696</v>
      </c>
      <c r="H1197" s="10" t="str" cm="1">
        <f t="array" aca="1" ref="H1197" ca="1">IF(INDEX(I1197:Z1197,$H$1)=0,"",INDEX(I1197:Z1197,$H$1))</f>
        <v>Frequency</v>
      </c>
      <c r="I1197" s="10" t="s">
        <v>143</v>
      </c>
      <c r="J1197" s="10" t="s">
        <v>908</v>
      </c>
      <c r="K1197" s="27" t="s">
        <v>1650</v>
      </c>
    </row>
    <row r="1198" spans="1:11" x14ac:dyDescent="0.35">
      <c r="A1198" s="10" t="s">
        <v>1284</v>
      </c>
      <c r="B1198" s="255">
        <v>8</v>
      </c>
      <c r="C1198" s="10" t="s">
        <v>227</v>
      </c>
      <c r="D1198" s="10">
        <v>5</v>
      </c>
      <c r="E1198" s="10">
        <v>125</v>
      </c>
      <c r="F1198" s="10" t="s">
        <v>712</v>
      </c>
      <c r="G1198" s="10" t="s">
        <v>696</v>
      </c>
      <c r="H1198" s="10" t="str" cm="1">
        <f t="array" aca="1" ref="H1198" ca="1">IF(INDEX(I1198:Z1198,$H$1)=0,"",INDEX(I1198:Z1198,$H$1))</f>
        <v>Emission Factor</v>
      </c>
      <c r="I1198" s="10" t="s">
        <v>145</v>
      </c>
      <c r="J1198" s="10" t="s">
        <v>910</v>
      </c>
      <c r="K1198" s="27" t="s">
        <v>1583</v>
      </c>
    </row>
    <row r="1199" spans="1:11" x14ac:dyDescent="0.35">
      <c r="A1199" s="10" t="s">
        <v>1284</v>
      </c>
      <c r="B1199" s="255">
        <v>8</v>
      </c>
      <c r="C1199" s="10" t="s">
        <v>227</v>
      </c>
      <c r="D1199" s="10">
        <v>5</v>
      </c>
      <c r="E1199" s="10">
        <v>125</v>
      </c>
      <c r="F1199" s="10" t="s">
        <v>713</v>
      </c>
      <c r="G1199" s="10" t="s">
        <v>696</v>
      </c>
      <c r="H1199" s="10" t="str" cm="1">
        <f t="array" aca="1" ref="H1199" ca="1">IF(INDEX(I1199:Z1199,$H$1)=0,"",INDEX(I1199:Z1199,$H$1))</f>
        <v>Adjustment</v>
      </c>
      <c r="I1199" s="10" t="s">
        <v>334</v>
      </c>
      <c r="J1199" s="10" t="s">
        <v>911</v>
      </c>
      <c r="K1199" s="27" t="s">
        <v>1652</v>
      </c>
    </row>
    <row r="1200" spans="1:11" x14ac:dyDescent="0.35">
      <c r="A1200" s="10" t="s">
        <v>1284</v>
      </c>
      <c r="B1200" s="255">
        <v>8</v>
      </c>
      <c r="C1200" s="10" t="s">
        <v>227</v>
      </c>
      <c r="D1200" s="10">
        <v>5</v>
      </c>
      <c r="E1200" s="10">
        <v>125</v>
      </c>
      <c r="F1200" s="10" t="s">
        <v>772</v>
      </c>
      <c r="G1200" s="10" t="s">
        <v>696</v>
      </c>
      <c r="H1200" s="10" t="str" cm="1">
        <f t="array" aca="1" ref="H1200" ca="1">IF(INDEX(I1200:Z1200,$H$1)=0,"",INDEX(I1200:Z1200,$H$1))</f>
        <v>Emission Factor</v>
      </c>
      <c r="I1200" s="10" t="s">
        <v>145</v>
      </c>
      <c r="J1200" s="10" t="s">
        <v>910</v>
      </c>
      <c r="K1200" s="27" t="s">
        <v>1583</v>
      </c>
    </row>
    <row r="1201" spans="1:11" x14ac:dyDescent="0.35">
      <c r="A1201" s="10" t="s">
        <v>1284</v>
      </c>
      <c r="B1201" s="255">
        <v>8</v>
      </c>
      <c r="C1201" s="10" t="s">
        <v>227</v>
      </c>
      <c r="D1201" s="10">
        <v>5</v>
      </c>
      <c r="E1201" s="10">
        <v>125</v>
      </c>
      <c r="F1201" s="10" t="s">
        <v>594</v>
      </c>
      <c r="G1201" s="10" t="s">
        <v>696</v>
      </c>
      <c r="H1201" s="10" t="str" cm="1">
        <f t="array" aca="1" ref="H1201" ca="1">IF(INDEX(I1201:Z1201,$H$1)=0,"",INDEX(I1201:Z1201,$H$1))</f>
        <v>Frequency</v>
      </c>
      <c r="I1201" s="10" t="s">
        <v>143</v>
      </c>
      <c r="J1201" s="10" t="s">
        <v>908</v>
      </c>
      <c r="K1201" s="27" t="s">
        <v>1650</v>
      </c>
    </row>
    <row r="1202" spans="1:11" x14ac:dyDescent="0.35">
      <c r="A1202" s="10" t="s">
        <v>1284</v>
      </c>
      <c r="B1202" s="255">
        <v>8</v>
      </c>
      <c r="C1202" s="10" t="s">
        <v>227</v>
      </c>
      <c r="D1202" s="10">
        <v>5</v>
      </c>
      <c r="E1202" s="10">
        <v>125</v>
      </c>
      <c r="F1202" s="10" t="s">
        <v>775</v>
      </c>
      <c r="G1202" s="10" t="s">
        <v>696</v>
      </c>
      <c r="H1202" s="10" t="str" cm="1">
        <f t="array" aca="1" ref="H1202" ca="1">IF(INDEX(I1202:Z1202,$H$1)=0,"",INDEX(I1202:Z1202,$H$1))</f>
        <v>Modification</v>
      </c>
      <c r="I1202" s="10" t="s">
        <v>168</v>
      </c>
      <c r="J1202" s="10" t="s">
        <v>912</v>
      </c>
      <c r="K1202" s="27" t="s">
        <v>1653</v>
      </c>
    </row>
    <row r="1203" spans="1:11" x14ac:dyDescent="0.35">
      <c r="A1203" s="10" t="s">
        <v>1284</v>
      </c>
      <c r="B1203" s="255">
        <v>8</v>
      </c>
      <c r="C1203" s="10" t="s">
        <v>227</v>
      </c>
      <c r="D1203" s="10">
        <v>5</v>
      </c>
      <c r="E1203" s="10">
        <v>125</v>
      </c>
      <c r="F1203" s="10" t="s">
        <v>777</v>
      </c>
      <c r="G1203" s="10" t="s">
        <v>696</v>
      </c>
      <c r="H1203" s="10" t="str" cm="1">
        <f t="array" aca="1" ref="H1203" ca="1">IF(INDEX(I1203:Z1203,$H$1)=0,"",INDEX(I1203:Z1203,$H$1))</f>
        <v xml:space="preserve">Percent of </v>
      </c>
      <c r="I1203" s="10" t="s">
        <v>169</v>
      </c>
      <c r="J1203" s="10" t="s">
        <v>913</v>
      </c>
      <c r="K1203" s="27" t="s">
        <v>1654</v>
      </c>
    </row>
    <row r="1204" spans="1:11" x14ac:dyDescent="0.35">
      <c r="A1204" s="10" t="s">
        <v>1284</v>
      </c>
      <c r="B1204" s="255">
        <v>8</v>
      </c>
      <c r="C1204" s="10" t="s">
        <v>227</v>
      </c>
      <c r="D1204" s="10">
        <v>5</v>
      </c>
      <c r="E1204" s="10">
        <v>125</v>
      </c>
      <c r="F1204" s="10" t="s">
        <v>718</v>
      </c>
      <c r="G1204" s="10" t="s">
        <v>696</v>
      </c>
      <c r="H1204" s="10" t="str" cm="1">
        <f t="array" aca="1" ref="H1204" ca="1">IF(INDEX(I1204:Z1204,$H$1)=0,"",INDEX(I1204:Z1204,$H$1))</f>
        <v>Control Factor</v>
      </c>
      <c r="I1204" s="10" t="s">
        <v>170</v>
      </c>
      <c r="J1204" s="10" t="s">
        <v>914</v>
      </c>
      <c r="K1204" s="27" t="s">
        <v>1655</v>
      </c>
    </row>
    <row r="1205" spans="1:11" x14ac:dyDescent="0.35">
      <c r="A1205" s="10" t="s">
        <v>1284</v>
      </c>
      <c r="B1205" s="255">
        <v>8</v>
      </c>
      <c r="C1205" s="10" t="s">
        <v>227</v>
      </c>
      <c r="D1205" s="10">
        <v>5</v>
      </c>
      <c r="E1205" s="10">
        <v>126</v>
      </c>
      <c r="F1205" s="10" t="s">
        <v>692</v>
      </c>
      <c r="G1205" s="10" t="s">
        <v>696</v>
      </c>
      <c r="H1205" s="10" t="str" cm="1">
        <f t="array" aca="1" ref="H1205" ca="1">IF(INDEX(I1205:Z1205,$H$1)=0,"",INDEX(I1205:Z1205,$H$1))</f>
        <v>(%)</v>
      </c>
      <c r="I1205" s="10" t="s">
        <v>146</v>
      </c>
      <c r="J1205" s="10" t="s">
        <v>146</v>
      </c>
      <c r="K1205" s="27" t="s">
        <v>146</v>
      </c>
    </row>
    <row r="1206" spans="1:11" x14ac:dyDescent="0.35">
      <c r="A1206" s="10" t="s">
        <v>1284</v>
      </c>
      <c r="B1206" s="255">
        <v>8</v>
      </c>
      <c r="C1206" s="10" t="s">
        <v>227</v>
      </c>
      <c r="D1206" s="10">
        <v>5</v>
      </c>
      <c r="E1206" s="10">
        <v>126</v>
      </c>
      <c r="F1206" s="10" t="s">
        <v>591</v>
      </c>
      <c r="G1206" s="10" t="s">
        <v>696</v>
      </c>
      <c r="H1206" s="10" t="str" cm="1">
        <f t="array" aca="1" ref="H1206" ca="1">IF(INDEX(I1206:Z1206,$H$1)=0,"",INDEX(I1206:Z1206,$H$1))</f>
        <v>(%)</v>
      </c>
      <c r="I1206" s="10" t="s">
        <v>146</v>
      </c>
      <c r="J1206" s="10" t="s">
        <v>146</v>
      </c>
      <c r="K1206" s="27" t="s">
        <v>146</v>
      </c>
    </row>
    <row r="1207" spans="1:11" x14ac:dyDescent="0.35">
      <c r="A1207" s="10" t="s">
        <v>1284</v>
      </c>
      <c r="B1207" s="255">
        <v>8</v>
      </c>
      <c r="C1207" s="10" t="s">
        <v>227</v>
      </c>
      <c r="D1207" s="10">
        <v>5</v>
      </c>
      <c r="E1207" s="10">
        <v>126</v>
      </c>
      <c r="F1207" s="10" t="s">
        <v>712</v>
      </c>
      <c r="G1207" s="10" t="s">
        <v>696</v>
      </c>
      <c r="H1207" s="10" t="str" cm="1">
        <f t="array" aca="1" ref="H1207" ca="1">IF(INDEX(I1207:Z1207,$H$1)=0,"",INDEX(I1207:Z1207,$H$1))</f>
        <v>(kg/h/source)</v>
      </c>
      <c r="I1207" s="10" t="s">
        <v>144</v>
      </c>
      <c r="J1207" s="10" t="s">
        <v>909</v>
      </c>
      <c r="K1207" s="27" t="s">
        <v>1651</v>
      </c>
    </row>
    <row r="1208" spans="1:11" x14ac:dyDescent="0.35">
      <c r="A1208" s="10" t="s">
        <v>1284</v>
      </c>
      <c r="B1208" s="255">
        <v>8</v>
      </c>
      <c r="C1208" s="10" t="s">
        <v>227</v>
      </c>
      <c r="D1208" s="10">
        <v>5</v>
      </c>
      <c r="E1208" s="10">
        <v>126</v>
      </c>
      <c r="F1208" s="10" t="s">
        <v>713</v>
      </c>
      <c r="G1208" s="10" t="s">
        <v>696</v>
      </c>
      <c r="H1208" s="10" t="str" cm="1">
        <f t="array" aca="1" ref="H1208" ca="1">IF(INDEX(I1208:Z1208,$H$1)=0,"",INDEX(I1208:Z1208,$H$1))</f>
        <v>(%)</v>
      </c>
      <c r="I1208" s="10" t="s">
        <v>146</v>
      </c>
      <c r="J1208" s="10" t="s">
        <v>146</v>
      </c>
      <c r="K1208" s="27" t="s">
        <v>146</v>
      </c>
    </row>
    <row r="1209" spans="1:11" x14ac:dyDescent="0.35">
      <c r="A1209" s="10" t="s">
        <v>1284</v>
      </c>
      <c r="B1209" s="255">
        <v>8</v>
      </c>
      <c r="C1209" s="10" t="s">
        <v>227</v>
      </c>
      <c r="D1209" s="10">
        <v>5</v>
      </c>
      <c r="E1209" s="10">
        <v>126</v>
      </c>
      <c r="F1209" s="10" t="s">
        <v>772</v>
      </c>
      <c r="G1209" s="10" t="s">
        <v>696</v>
      </c>
      <c r="H1209" s="10" t="str" cm="1">
        <f t="array" aca="1" ref="H1209" ca="1">IF(INDEX(I1209:Z1209,$H$1)=0,"",INDEX(I1209:Z1209,$H$1))</f>
        <v>(kg/h/source)</v>
      </c>
      <c r="I1209" s="10" t="s">
        <v>144</v>
      </c>
      <c r="J1209" s="10" t="s">
        <v>909</v>
      </c>
      <c r="K1209" s="27" t="s">
        <v>1651</v>
      </c>
    </row>
    <row r="1210" spans="1:11" x14ac:dyDescent="0.35">
      <c r="A1210" s="10" t="s">
        <v>1284</v>
      </c>
      <c r="B1210" s="255">
        <v>8</v>
      </c>
      <c r="C1210" s="10" t="s">
        <v>227</v>
      </c>
      <c r="D1210" s="10">
        <v>5</v>
      </c>
      <c r="E1210" s="10">
        <v>126</v>
      </c>
      <c r="F1210" s="10" t="s">
        <v>773</v>
      </c>
      <c r="G1210" s="10" t="s">
        <v>696</v>
      </c>
      <c r="H1210" s="10" t="str" cm="1">
        <f t="array" aca="1" ref="H1210" ca="1">IF(INDEX(I1210:Z1210,$H$1)=0,"",INDEX(I1210:Z1210,$H$1))</f>
        <v>(Nm3/h/source)</v>
      </c>
      <c r="I1210" s="10" t="s">
        <v>896</v>
      </c>
      <c r="J1210" s="10" t="s">
        <v>915</v>
      </c>
      <c r="K1210" s="27" t="s">
        <v>1656</v>
      </c>
    </row>
    <row r="1211" spans="1:11" x14ac:dyDescent="0.35">
      <c r="A1211" s="10" t="s">
        <v>1284</v>
      </c>
      <c r="B1211" s="255">
        <v>8</v>
      </c>
      <c r="C1211" s="10" t="s">
        <v>227</v>
      </c>
      <c r="D1211" s="10">
        <v>5</v>
      </c>
      <c r="E1211" s="10">
        <v>126</v>
      </c>
      <c r="F1211" s="10" t="s">
        <v>771</v>
      </c>
      <c r="G1211" s="10" t="s">
        <v>696</v>
      </c>
      <c r="H1211" s="10" t="str" cm="1">
        <f t="array" aca="1" ref="H1211" ca="1">IF(INDEX(I1211:Z1211,$H$1)=0,"",INDEX(I1211:Z1211,$H$1))</f>
        <v>(Nm3 CH4/h/source)</v>
      </c>
      <c r="I1211" s="10" t="s">
        <v>897</v>
      </c>
      <c r="J1211" s="10" t="s">
        <v>916</v>
      </c>
      <c r="K1211" s="27" t="s">
        <v>1657</v>
      </c>
    </row>
    <row r="1212" spans="1:11" x14ac:dyDescent="0.35">
      <c r="A1212" s="10" t="s">
        <v>1284</v>
      </c>
      <c r="B1212" s="255">
        <v>8</v>
      </c>
      <c r="C1212" s="10" t="s">
        <v>227</v>
      </c>
      <c r="D1212" s="10">
        <v>5</v>
      </c>
      <c r="E1212" s="10">
        <v>126</v>
      </c>
      <c r="F1212" s="10" t="s">
        <v>594</v>
      </c>
      <c r="G1212" s="10" t="s">
        <v>696</v>
      </c>
      <c r="H1212" s="10" t="str" cm="1">
        <f t="array" aca="1" ref="H1212" ca="1">IF(INDEX(I1212:Z1212,$H$1)=0,"",INDEX(I1212:Z1212,$H$1))</f>
        <v>(%)</v>
      </c>
      <c r="I1212" s="10" t="s">
        <v>146</v>
      </c>
      <c r="J1212" s="10" t="s">
        <v>146</v>
      </c>
      <c r="K1212" s="27" t="s">
        <v>146</v>
      </c>
    </row>
    <row r="1213" spans="1:11" x14ac:dyDescent="0.35">
      <c r="A1213" s="10" t="s">
        <v>1284</v>
      </c>
      <c r="B1213" s="255">
        <v>8</v>
      </c>
      <c r="C1213" s="10" t="s">
        <v>227</v>
      </c>
      <c r="D1213" s="10">
        <v>5</v>
      </c>
      <c r="E1213" s="10">
        <v>126</v>
      </c>
      <c r="F1213" s="10" t="s">
        <v>777</v>
      </c>
      <c r="G1213" s="10" t="s">
        <v>696</v>
      </c>
      <c r="H1213" s="10" t="str" cm="1">
        <f t="array" aca="1" ref="H1213" ca="1">IF(INDEX(I1213:Z1213,$H$1)=0,"",INDEX(I1213:Z1213,$H$1))</f>
        <v>Components Controlled</v>
      </c>
      <c r="I1213" s="10" t="s">
        <v>183</v>
      </c>
      <c r="J1213" s="10" t="s">
        <v>1210</v>
      </c>
      <c r="K1213" s="27" t="s">
        <v>1658</v>
      </c>
    </row>
    <row r="1214" spans="1:11" x14ac:dyDescent="0.35">
      <c r="A1214" s="10" t="s">
        <v>1284</v>
      </c>
      <c r="B1214" s="255">
        <v>8</v>
      </c>
      <c r="C1214" s="10" t="s">
        <v>227</v>
      </c>
      <c r="D1214" s="10">
        <v>5</v>
      </c>
      <c r="E1214" s="10">
        <v>126</v>
      </c>
      <c r="F1214" s="10" t="s">
        <v>718</v>
      </c>
      <c r="G1214" s="10" t="s">
        <v>696</v>
      </c>
      <c r="H1214" s="10" t="str" cm="1">
        <f t="array" aca="1" ref="H1214" ca="1">IF(INDEX(I1214:Z1214,$H$1)=0,"",INDEX(I1214:Z1214,$H$1))</f>
        <v>(%)</v>
      </c>
      <c r="I1214" s="10" t="s">
        <v>146</v>
      </c>
      <c r="J1214" s="10" t="s">
        <v>146</v>
      </c>
      <c r="K1214" s="27" t="s">
        <v>146</v>
      </c>
    </row>
    <row r="1215" spans="1:11" x14ac:dyDescent="0.35">
      <c r="A1215" s="10" t="s">
        <v>1284</v>
      </c>
      <c r="B1215" s="255">
        <v>8</v>
      </c>
      <c r="C1215" s="10" t="s">
        <v>227</v>
      </c>
      <c r="D1215" s="10">
        <v>5</v>
      </c>
      <c r="E1215" s="10">
        <v>127</v>
      </c>
      <c r="F1215" s="10" t="s">
        <v>692</v>
      </c>
      <c r="G1215" s="10" t="s">
        <v>696</v>
      </c>
      <c r="H1215" s="10" t="str" cm="1">
        <f t="array" aca="1" ref="H1215" ca="1">IF(INDEX(I1215:Z1215,$H$1)=0,"",INDEX(I1215:Z1215,$H$1))</f>
        <v>Calculated (use as default)</v>
      </c>
      <c r="I1215" s="10" t="s">
        <v>147</v>
      </c>
      <c r="J1215" s="10" t="s">
        <v>917</v>
      </c>
      <c r="K1215" s="27" t="s">
        <v>1659</v>
      </c>
    </row>
    <row r="1216" spans="1:11" x14ac:dyDescent="0.35">
      <c r="A1216" s="10" t="s">
        <v>1284</v>
      </c>
      <c r="B1216" s="255">
        <v>8</v>
      </c>
      <c r="C1216" s="10" t="s">
        <v>227</v>
      </c>
      <c r="D1216" s="10">
        <v>5</v>
      </c>
      <c r="E1216" s="10">
        <v>127</v>
      </c>
      <c r="F1216" s="10" t="s">
        <v>712</v>
      </c>
      <c r="G1216" s="10" t="s">
        <v>696</v>
      </c>
      <c r="H1216" s="10" t="str" cm="1">
        <f t="array" aca="1" ref="H1216" ca="1">IF(INDEX(I1216:Z1216,$H$1)=0,"",INDEX(I1216:Z1216,$H$1))</f>
        <v>Calculated based on Leak, No-Leak factors and adjustable leak frequency</v>
      </c>
      <c r="I1216" s="10" t="s">
        <v>150</v>
      </c>
      <c r="J1216" s="10" t="s">
        <v>920</v>
      </c>
      <c r="K1216" s="27" t="s">
        <v>1662</v>
      </c>
    </row>
    <row r="1217" spans="1:11" x14ac:dyDescent="0.35">
      <c r="A1217" s="10" t="s">
        <v>1284</v>
      </c>
      <c r="B1217" s="255">
        <v>8</v>
      </c>
      <c r="C1217" s="10" t="s">
        <v>227</v>
      </c>
      <c r="D1217" s="10">
        <v>5</v>
      </c>
      <c r="E1217" s="10">
        <v>127</v>
      </c>
      <c r="F1217" s="10" t="s">
        <v>772</v>
      </c>
      <c r="G1217" s="10" t="s">
        <v>696</v>
      </c>
      <c r="H1217" s="10" t="str" cm="1">
        <f t="array" aca="1" ref="H1217" ca="1">IF(INDEX(I1217:Z1217,$H$1)=0,"",INDEX(I1217:Z1217,$H$1))</f>
        <v>Calculated based on uncontrolled factors and adjustable control factor</v>
      </c>
      <c r="I1217" s="10" t="s">
        <v>151</v>
      </c>
      <c r="J1217" s="10" t="s">
        <v>1206</v>
      </c>
      <c r="K1217" s="27" t="s">
        <v>1663</v>
      </c>
    </row>
    <row r="1218" spans="1:11" x14ac:dyDescent="0.35">
      <c r="A1218" s="10" t="s">
        <v>1284</v>
      </c>
      <c r="B1218" s="255">
        <v>8</v>
      </c>
      <c r="C1218" s="10" t="s">
        <v>227</v>
      </c>
      <c r="D1218" s="10">
        <v>5</v>
      </c>
      <c r="E1218" s="10">
        <v>127</v>
      </c>
      <c r="F1218" s="10" t="s">
        <v>773</v>
      </c>
      <c r="G1218" s="10" t="s">
        <v>696</v>
      </c>
      <c r="H1218" s="10" t="str" cm="1">
        <f t="array" aca="1" ref="H1218" ca="1">IF(INDEX(I1218:Z1218,$H$1)=0,"",INDEX(I1218:Z1218,$H$1))</f>
        <v>Calculated based on uncontrolled factors and adjustable control factor</v>
      </c>
      <c r="I1218" s="10" t="s">
        <v>151</v>
      </c>
      <c r="J1218" s="10" t="s">
        <v>1206</v>
      </c>
      <c r="K1218" s="27" t="s">
        <v>1663</v>
      </c>
    </row>
    <row r="1219" spans="1:11" x14ac:dyDescent="0.35">
      <c r="A1219" s="10" t="s">
        <v>1284</v>
      </c>
      <c r="B1219" s="255">
        <v>8</v>
      </c>
      <c r="C1219" s="10" t="s">
        <v>227</v>
      </c>
      <c r="D1219" s="10">
        <v>5</v>
      </c>
      <c r="E1219" s="10">
        <v>127</v>
      </c>
      <c r="F1219" s="10" t="s">
        <v>771</v>
      </c>
      <c r="G1219" s="10" t="s">
        <v>696</v>
      </c>
      <c r="H1219" s="10" t="str" cm="1">
        <f t="array" aca="1" ref="H1219" ca="1">IF(INDEX(I1219:Z1219,$H$1)=0,"",INDEX(I1219:Z1219,$H$1))</f>
        <v>Calculated based on uncontrolled factors and adjustable control factor</v>
      </c>
      <c r="I1219" s="10" t="s">
        <v>151</v>
      </c>
      <c r="J1219" s="10" t="s">
        <v>1206</v>
      </c>
      <c r="K1219" s="27" t="s">
        <v>1663</v>
      </c>
    </row>
    <row r="1220" spans="1:11" x14ac:dyDescent="0.35">
      <c r="A1220" s="10" t="s">
        <v>1284</v>
      </c>
      <c r="B1220" s="255">
        <v>8</v>
      </c>
      <c r="C1220" s="10" t="s">
        <v>227</v>
      </c>
      <c r="D1220" s="10">
        <v>5</v>
      </c>
      <c r="E1220" s="10">
        <v>127</v>
      </c>
      <c r="F1220" s="10" t="s">
        <v>594</v>
      </c>
      <c r="G1220" s="10" t="s">
        <v>696</v>
      </c>
      <c r="H1220" s="10" t="str" cm="1">
        <f t="array" aca="1" ref="H1220" ca="1">IF(INDEX(I1220:Z1220,$H$1)=0,"",INDEX(I1220:Z1220,$H$1))</f>
        <v>Adjustable Input (Assume to be zero if not entered)</v>
      </c>
      <c r="I1220" s="10" t="s">
        <v>152</v>
      </c>
      <c r="J1220" s="10" t="s">
        <v>921</v>
      </c>
      <c r="K1220" s="27" t="s">
        <v>1664</v>
      </c>
    </row>
    <row r="1221" spans="1:11" x14ac:dyDescent="0.35">
      <c r="A1221" s="10" t="s">
        <v>1284</v>
      </c>
      <c r="B1221" s="255">
        <v>8</v>
      </c>
      <c r="C1221" s="10" t="s">
        <v>227</v>
      </c>
      <c r="D1221" s="10">
        <v>5</v>
      </c>
      <c r="E1221" s="10">
        <v>127</v>
      </c>
      <c r="F1221" s="10" t="s">
        <v>775</v>
      </c>
      <c r="G1221" s="10" t="s">
        <v>696</v>
      </c>
      <c r="H1221" s="10" t="str" cm="1">
        <f t="array" aca="1" ref="H1221" ca="1">IF(INDEX(I1221:Z1221,$H$1)=0,"",INDEX(I1221:Z1221,$H$1))</f>
        <v>Adjustable Input (Assume to be zero if not entered)</v>
      </c>
      <c r="I1221" s="10" t="s">
        <v>152</v>
      </c>
      <c r="J1221" s="10" t="s">
        <v>921</v>
      </c>
      <c r="K1221" s="27" t="s">
        <v>1664</v>
      </c>
    </row>
    <row r="1222" spans="1:11" x14ac:dyDescent="0.35">
      <c r="A1222" s="10" t="s">
        <v>1284</v>
      </c>
      <c r="B1222" s="255">
        <v>8</v>
      </c>
      <c r="C1222" s="10" t="s">
        <v>227</v>
      </c>
      <c r="D1222" s="10">
        <v>5</v>
      </c>
      <c r="E1222" s="10">
        <v>127</v>
      </c>
      <c r="F1222" s="10" t="s">
        <v>777</v>
      </c>
      <c r="G1222" s="10" t="s">
        <v>696</v>
      </c>
      <c r="H1222" s="10" t="str" cm="1">
        <f t="array" aca="1" ref="H1222" ca="1">IF(INDEX(I1222:Z1222,$H$1)=0,"",INDEX(I1222:Z1222,$H$1))</f>
        <v>Adjustable Input (Assume to be zero if not entered)</v>
      </c>
      <c r="I1222" s="10" t="s">
        <v>152</v>
      </c>
      <c r="J1222" s="10" t="s">
        <v>921</v>
      </c>
      <c r="K1222" s="27" t="s">
        <v>1664</v>
      </c>
    </row>
    <row r="1223" spans="1:11" x14ac:dyDescent="0.35">
      <c r="A1223" s="10" t="s">
        <v>1284</v>
      </c>
      <c r="B1223" s="255">
        <v>8</v>
      </c>
      <c r="C1223" s="10" t="s">
        <v>227</v>
      </c>
      <c r="D1223" s="10">
        <v>5</v>
      </c>
      <c r="E1223" s="10">
        <v>127</v>
      </c>
      <c r="F1223" s="10" t="s">
        <v>718</v>
      </c>
      <c r="G1223" s="10" t="s">
        <v>696</v>
      </c>
      <c r="H1223" s="10" t="str" cm="1">
        <f t="array" aca="1" ref="H1223" ca="1">IF(INDEX(I1223:Z1223,$H$1)=0,"",INDEX(I1223:Z1223,$H$1))</f>
        <v>Determined from Lookup Table</v>
      </c>
      <c r="I1223" s="10" t="s">
        <v>247</v>
      </c>
      <c r="J1223" s="10" t="s">
        <v>922</v>
      </c>
      <c r="K1223" s="27" t="s">
        <v>1668</v>
      </c>
    </row>
    <row r="1224" spans="1:11" x14ac:dyDescent="0.35">
      <c r="A1224" s="10" t="s">
        <v>1284</v>
      </c>
      <c r="B1224" s="255">
        <v>8</v>
      </c>
      <c r="C1224" s="10" t="s">
        <v>227</v>
      </c>
      <c r="D1224" s="10">
        <v>5</v>
      </c>
      <c r="E1224" s="10">
        <v>127</v>
      </c>
      <c r="F1224" s="10" t="s">
        <v>690</v>
      </c>
      <c r="G1224" s="10" t="s">
        <v>696</v>
      </c>
      <c r="H1224" s="10" t="str" cm="1">
        <f t="array" aca="1" ref="H1224" ca="1">IF(INDEX(I1224:Z1224,$H$1)=0,"",INDEX(I1224:Z1224,$H$1))</f>
        <v>Calculation Method</v>
      </c>
      <c r="I1224" s="10" t="s">
        <v>2252</v>
      </c>
      <c r="J1224" s="10" t="s">
        <v>2254</v>
      </c>
      <c r="K1224" s="27" t="s">
        <v>2253</v>
      </c>
    </row>
    <row r="1225" spans="1:11" x14ac:dyDescent="0.35">
      <c r="A1225" s="10" t="s">
        <v>1284</v>
      </c>
      <c r="B1225" s="255">
        <v>8</v>
      </c>
      <c r="C1225" s="10" t="s">
        <v>227</v>
      </c>
      <c r="D1225" s="10">
        <v>5</v>
      </c>
      <c r="E1225" s="10">
        <v>128</v>
      </c>
      <c r="F1225" s="10" t="s">
        <v>690</v>
      </c>
      <c r="G1225" s="10" t="s">
        <v>695</v>
      </c>
      <c r="H1225" s="10" t="str" cm="1">
        <f t="array" aca="1" ref="H1225" ca="1">IF(INDEX(I1225:Z1225,$H$1)=0,"",INDEX(I1225:Z1225,$H$1))</f>
        <v>Valves (All)</v>
      </c>
      <c r="I1225" s="17" t="s">
        <v>223</v>
      </c>
      <c r="J1225" s="17" t="s">
        <v>927</v>
      </c>
      <c r="K1225" s="27" t="s">
        <v>1669</v>
      </c>
    </row>
    <row r="1226" spans="1:11" x14ac:dyDescent="0.35">
      <c r="A1226" s="10" t="s">
        <v>1284</v>
      </c>
      <c r="B1226" s="255">
        <v>8</v>
      </c>
      <c r="C1226" s="10" t="s">
        <v>227</v>
      </c>
      <c r="D1226" s="10">
        <v>5</v>
      </c>
      <c r="E1226" s="10">
        <v>128</v>
      </c>
      <c r="F1226" s="10" t="s">
        <v>38</v>
      </c>
      <c r="G1226" s="10" t="s">
        <v>695</v>
      </c>
      <c r="H1226" s="10" t="str" cm="1">
        <f t="array" aca="1" ref="H1226" ca="1">IF(INDEX(I1226:Z1226,$H$1)=0,"",INDEX(I1226:Z1226,$H$1))</f>
        <v>Gas</v>
      </c>
      <c r="I1226" s="17" t="s">
        <v>154</v>
      </c>
      <c r="J1226" s="17" t="s">
        <v>864</v>
      </c>
      <c r="K1226" s="27" t="s">
        <v>154</v>
      </c>
    </row>
    <row r="1227" spans="1:11" x14ac:dyDescent="0.35">
      <c r="A1227" s="10" t="s">
        <v>1284</v>
      </c>
      <c r="B1227" s="255">
        <v>8</v>
      </c>
      <c r="C1227" s="10" t="s">
        <v>227</v>
      </c>
      <c r="D1227" s="10">
        <v>5</v>
      </c>
      <c r="E1227" s="10">
        <v>129</v>
      </c>
      <c r="F1227" s="10" t="s">
        <v>38</v>
      </c>
      <c r="G1227" s="10" t="s">
        <v>695</v>
      </c>
      <c r="H1227" s="10" t="str" cm="1">
        <f t="array" aca="1" ref="H1227" ca="1">IF(INDEX(I1227:Z1227,$H$1)=0,"",INDEX(I1227:Z1227,$H$1))</f>
        <v>Light Liquid</v>
      </c>
      <c r="I1227" s="17" t="s">
        <v>155</v>
      </c>
      <c r="J1227" s="17" t="s">
        <v>865</v>
      </c>
      <c r="K1227" s="27" t="s">
        <v>1540</v>
      </c>
    </row>
    <row r="1228" spans="1:11" x14ac:dyDescent="0.35">
      <c r="A1228" s="10" t="s">
        <v>1284</v>
      </c>
      <c r="B1228" s="255">
        <v>8</v>
      </c>
      <c r="C1228" s="10" t="s">
        <v>227</v>
      </c>
      <c r="D1228" s="10">
        <v>5</v>
      </c>
      <c r="E1228" s="10">
        <v>130</v>
      </c>
      <c r="F1228" s="10" t="s">
        <v>38</v>
      </c>
      <c r="G1228" s="10" t="s">
        <v>695</v>
      </c>
      <c r="H1228" s="10" t="str" cm="1">
        <f t="array" aca="1" ref="H1228" ca="1">IF(INDEX(I1228:Z1228,$H$1)=0,"",INDEX(I1228:Z1228,$H$1))</f>
        <v>Heavy Liquid</v>
      </c>
      <c r="I1228" s="17" t="s">
        <v>156</v>
      </c>
      <c r="J1228" s="17" t="s">
        <v>866</v>
      </c>
      <c r="K1228" s="27" t="s">
        <v>1541</v>
      </c>
    </row>
    <row r="1229" spans="1:11" x14ac:dyDescent="0.35">
      <c r="A1229" s="10" t="s">
        <v>1284</v>
      </c>
      <c r="B1229" s="255">
        <v>8</v>
      </c>
      <c r="C1229" s="10" t="s">
        <v>227</v>
      </c>
      <c r="D1229" s="10">
        <v>5</v>
      </c>
      <c r="E1229" s="10">
        <v>131</v>
      </c>
      <c r="F1229" s="10" t="s">
        <v>690</v>
      </c>
      <c r="G1229" s="10" t="s">
        <v>695</v>
      </c>
      <c r="H1229" s="10" t="str" cm="1">
        <f t="array" aca="1" ref="H1229" ca="1">IF(INDEX(I1229:Z1229,$H$1)=0,"",INDEX(I1229:Z1229,$H$1))</f>
        <v>Valves (Block)</v>
      </c>
      <c r="I1229" s="17" t="s">
        <v>221</v>
      </c>
      <c r="J1229" s="17" t="s">
        <v>853</v>
      </c>
      <c r="K1229" s="27" t="s">
        <v>1542</v>
      </c>
    </row>
    <row r="1230" spans="1:11" x14ac:dyDescent="0.35">
      <c r="A1230" s="10" t="s">
        <v>1284</v>
      </c>
      <c r="B1230" s="255">
        <v>8</v>
      </c>
      <c r="C1230" s="10" t="s">
        <v>227</v>
      </c>
      <c r="D1230" s="10">
        <v>5</v>
      </c>
      <c r="E1230" s="10">
        <v>131</v>
      </c>
      <c r="F1230" s="10" t="s">
        <v>38</v>
      </c>
      <c r="G1230" s="10" t="s">
        <v>695</v>
      </c>
      <c r="H1230" s="10" t="str" cm="1">
        <f t="array" aca="1" ref="H1230" ca="1">IF(INDEX(I1230:Z1230,$H$1)=0,"",INDEX(I1230:Z1230,$H$1))</f>
        <v>Gas</v>
      </c>
      <c r="I1230" s="17" t="s">
        <v>154</v>
      </c>
      <c r="J1230" s="17" t="s">
        <v>864</v>
      </c>
      <c r="K1230" s="27" t="s">
        <v>154</v>
      </c>
    </row>
    <row r="1231" spans="1:11" x14ac:dyDescent="0.35">
      <c r="A1231" s="10" t="s">
        <v>1284</v>
      </c>
      <c r="B1231" s="255">
        <v>8</v>
      </c>
      <c r="C1231" s="10" t="s">
        <v>227</v>
      </c>
      <c r="D1231" s="10">
        <v>5</v>
      </c>
      <c r="E1231" s="10">
        <v>132</v>
      </c>
      <c r="F1231" s="10" t="s">
        <v>690</v>
      </c>
      <c r="G1231" s="10" t="s">
        <v>695</v>
      </c>
      <c r="H1231" s="10" t="str" cm="1">
        <f t="array" aca="1" ref="H1231" ca="1">IF(INDEX(I1231:Z1231,$H$1)=0,"",INDEX(I1231:Z1231,$H$1))</f>
        <v>Valves (Control)</v>
      </c>
      <c r="I1231" s="17" t="s">
        <v>222</v>
      </c>
      <c r="J1231" s="17" t="s">
        <v>854</v>
      </c>
      <c r="K1231" s="27" t="s">
        <v>1543</v>
      </c>
    </row>
    <row r="1232" spans="1:11" x14ac:dyDescent="0.35">
      <c r="A1232" s="10" t="s">
        <v>1284</v>
      </c>
      <c r="B1232" s="255">
        <v>8</v>
      </c>
      <c r="C1232" s="10" t="s">
        <v>227</v>
      </c>
      <c r="D1232" s="10">
        <v>5</v>
      </c>
      <c r="E1232" s="10">
        <v>132</v>
      </c>
      <c r="F1232" s="10" t="s">
        <v>38</v>
      </c>
      <c r="G1232" s="10" t="s">
        <v>695</v>
      </c>
      <c r="H1232" s="10" t="str" cm="1">
        <f t="array" aca="1" ref="H1232" ca="1">IF(INDEX(I1232:Z1232,$H$1)=0,"",INDEX(I1232:Z1232,$H$1))</f>
        <v>Gas</v>
      </c>
      <c r="I1232" s="17" t="s">
        <v>154</v>
      </c>
      <c r="J1232" s="17" t="s">
        <v>864</v>
      </c>
      <c r="K1232" s="27" t="s">
        <v>154</v>
      </c>
    </row>
    <row r="1233" spans="1:11" x14ac:dyDescent="0.35">
      <c r="A1233" s="10" t="s">
        <v>1284</v>
      </c>
      <c r="B1233" s="255">
        <v>8</v>
      </c>
      <c r="C1233" s="10" t="s">
        <v>227</v>
      </c>
      <c r="D1233" s="10">
        <v>5</v>
      </c>
      <c r="E1233" s="10">
        <v>133</v>
      </c>
      <c r="F1233" s="10" t="s">
        <v>690</v>
      </c>
      <c r="G1233" s="10" t="s">
        <v>695</v>
      </c>
      <c r="H1233" s="10" t="str" cm="1">
        <f t="array" aca="1" ref="H1233" ca="1">IF(INDEX(I1233:Z1233,$H$1)=0,"",INDEX(I1233:Z1233,$H$1))</f>
        <v>Pump Seals</v>
      </c>
      <c r="I1233" s="17" t="s">
        <v>157</v>
      </c>
      <c r="J1233" s="17" t="s">
        <v>855</v>
      </c>
      <c r="K1233" s="27" t="s">
        <v>1544</v>
      </c>
    </row>
    <row r="1234" spans="1:11" x14ac:dyDescent="0.35">
      <c r="A1234" s="10" t="s">
        <v>1284</v>
      </c>
      <c r="B1234" s="255">
        <v>8</v>
      </c>
      <c r="C1234" s="10" t="s">
        <v>227</v>
      </c>
      <c r="D1234" s="10">
        <v>5</v>
      </c>
      <c r="E1234" s="10">
        <v>133</v>
      </c>
      <c r="F1234" s="10" t="s">
        <v>38</v>
      </c>
      <c r="G1234" s="10" t="s">
        <v>695</v>
      </c>
      <c r="H1234" s="10" t="str" cm="1">
        <f t="array" aca="1" ref="H1234" ca="1">IF(INDEX(I1234:Z1234,$H$1)=0,"",INDEX(I1234:Z1234,$H$1))</f>
        <v>Light Liquid</v>
      </c>
      <c r="I1234" s="17" t="s">
        <v>155</v>
      </c>
      <c r="J1234" s="17" t="s">
        <v>865</v>
      </c>
      <c r="K1234" s="27" t="s">
        <v>1540</v>
      </c>
    </row>
    <row r="1235" spans="1:11" x14ac:dyDescent="0.35">
      <c r="A1235" s="10" t="s">
        <v>1284</v>
      </c>
      <c r="B1235" s="255">
        <v>8</v>
      </c>
      <c r="C1235" s="10" t="s">
        <v>227</v>
      </c>
      <c r="D1235" s="10">
        <v>5</v>
      </c>
      <c r="E1235" s="10">
        <v>134</v>
      </c>
      <c r="F1235" s="10" t="s">
        <v>38</v>
      </c>
      <c r="G1235" s="10" t="s">
        <v>695</v>
      </c>
      <c r="H1235" s="10" t="str" cm="1">
        <f t="array" aca="1" ref="H1235" ca="1">IF(INDEX(I1235:Z1235,$H$1)=0,"",INDEX(I1235:Z1235,$H$1))</f>
        <v>Heavy Liquid</v>
      </c>
      <c r="I1235" s="17" t="s">
        <v>156</v>
      </c>
      <c r="J1235" s="17" t="s">
        <v>866</v>
      </c>
      <c r="K1235" s="27" t="s">
        <v>1541</v>
      </c>
    </row>
    <row r="1236" spans="1:11" x14ac:dyDescent="0.35">
      <c r="A1236" s="10" t="s">
        <v>1284</v>
      </c>
      <c r="B1236" s="255">
        <v>8</v>
      </c>
      <c r="C1236" s="10" t="s">
        <v>227</v>
      </c>
      <c r="D1236" s="10">
        <v>5</v>
      </c>
      <c r="E1236" s="10">
        <v>135</v>
      </c>
      <c r="F1236" s="10" t="s">
        <v>690</v>
      </c>
      <c r="G1236" s="10" t="s">
        <v>695</v>
      </c>
      <c r="H1236" s="10" t="str" cm="1">
        <f t="array" aca="1" ref="H1236" ca="1">IF(INDEX(I1236:Z1236,$H$1)=0,"",INDEX(I1236:Z1236,$H$1))</f>
        <v xml:space="preserve">Compressor Seals (Reciprocating - Operating) </v>
      </c>
      <c r="I1236" s="17" t="s">
        <v>229</v>
      </c>
      <c r="J1236" s="17" t="s">
        <v>1216</v>
      </c>
      <c r="K1236" s="27" t="s">
        <v>1545</v>
      </c>
    </row>
    <row r="1237" spans="1:11" x14ac:dyDescent="0.35">
      <c r="A1237" s="10" t="s">
        <v>1284</v>
      </c>
      <c r="B1237" s="255">
        <v>8</v>
      </c>
      <c r="C1237" s="10" t="s">
        <v>227</v>
      </c>
      <c r="D1237" s="10">
        <v>5</v>
      </c>
      <c r="E1237" s="10">
        <v>135</v>
      </c>
      <c r="F1237" s="10" t="s">
        <v>38</v>
      </c>
      <c r="G1237" s="10" t="s">
        <v>695</v>
      </c>
      <c r="H1237" s="10" t="str" cm="1">
        <f t="array" aca="1" ref="H1237" ca="1">IF(INDEX(I1237:Z1237,$H$1)=0,"",INDEX(I1237:Z1237,$H$1))</f>
        <v>Gas</v>
      </c>
      <c r="I1237" s="17" t="s">
        <v>154</v>
      </c>
      <c r="J1237" s="17" t="s">
        <v>864</v>
      </c>
      <c r="K1237" s="27" t="s">
        <v>154</v>
      </c>
    </row>
    <row r="1238" spans="1:11" x14ac:dyDescent="0.35">
      <c r="A1238" s="10" t="s">
        <v>1284</v>
      </c>
      <c r="B1238" s="255">
        <v>8</v>
      </c>
      <c r="C1238" s="10" t="s">
        <v>227</v>
      </c>
      <c r="D1238" s="10">
        <v>5</v>
      </c>
      <c r="E1238" s="10">
        <v>136</v>
      </c>
      <c r="F1238" s="10" t="s">
        <v>690</v>
      </c>
      <c r="G1238" s="10" t="s">
        <v>695</v>
      </c>
      <c r="H1238" s="10" t="str" cm="1">
        <f t="array" aca="1" ref="H1238" ca="1">IF(INDEX(I1238:Z1238,$H$1)=0,"",INDEX(I1238:Z1238,$H$1))</f>
        <v>Compressor Seals (Reciprocating - Standby &amp; Pressurized)</v>
      </c>
      <c r="I1238" s="17" t="s">
        <v>276</v>
      </c>
      <c r="J1238" s="17" t="s">
        <v>1217</v>
      </c>
      <c r="K1238" s="27" t="s">
        <v>1546</v>
      </c>
    </row>
    <row r="1239" spans="1:11" x14ac:dyDescent="0.35">
      <c r="A1239" s="10" t="s">
        <v>1284</v>
      </c>
      <c r="B1239" s="255">
        <v>8</v>
      </c>
      <c r="C1239" s="10" t="s">
        <v>227</v>
      </c>
      <c r="D1239" s="10">
        <v>5</v>
      </c>
      <c r="E1239" s="10">
        <v>136</v>
      </c>
      <c r="F1239" s="10" t="s">
        <v>38</v>
      </c>
      <c r="G1239" s="10" t="s">
        <v>695</v>
      </c>
      <c r="H1239" s="10" t="str" cm="1">
        <f t="array" aca="1" ref="H1239" ca="1">IF(INDEX(I1239:Z1239,$H$1)=0,"",INDEX(I1239:Z1239,$H$1))</f>
        <v>Gas</v>
      </c>
      <c r="I1239" s="17" t="s">
        <v>154</v>
      </c>
      <c r="J1239" s="17" t="s">
        <v>864</v>
      </c>
      <c r="K1239" s="27" t="s">
        <v>154</v>
      </c>
    </row>
    <row r="1240" spans="1:11" x14ac:dyDescent="0.35">
      <c r="A1240" s="10" t="s">
        <v>1284</v>
      </c>
      <c r="B1240" s="255">
        <v>8</v>
      </c>
      <c r="C1240" s="10" t="s">
        <v>227</v>
      </c>
      <c r="D1240" s="10">
        <v>5</v>
      </c>
      <c r="E1240" s="10">
        <v>137</v>
      </c>
      <c r="F1240" s="10" t="s">
        <v>690</v>
      </c>
      <c r="G1240" s="10" t="s">
        <v>695</v>
      </c>
      <c r="H1240" s="10" t="str" cm="1">
        <f t="array" aca="1" ref="H1240" ca="1">IF(INDEX(I1240:Z1240,$H$1)=0,"",INDEX(I1240:Z1240,$H$1))</f>
        <v>Compressor Seals (Reciprocating - Depressurized)</v>
      </c>
      <c r="I1240" s="17" t="s">
        <v>277</v>
      </c>
      <c r="J1240" s="17" t="s">
        <v>1215</v>
      </c>
      <c r="K1240" s="27" t="s">
        <v>1547</v>
      </c>
    </row>
    <row r="1241" spans="1:11" x14ac:dyDescent="0.35">
      <c r="A1241" s="10" t="s">
        <v>1284</v>
      </c>
      <c r="B1241" s="255">
        <v>8</v>
      </c>
      <c r="C1241" s="10" t="s">
        <v>227</v>
      </c>
      <c r="D1241" s="10">
        <v>5</v>
      </c>
      <c r="E1241" s="10">
        <v>137</v>
      </c>
      <c r="F1241" s="10" t="s">
        <v>38</v>
      </c>
      <c r="G1241" s="10" t="s">
        <v>695</v>
      </c>
      <c r="H1241" s="10" t="str" cm="1">
        <f t="array" aca="1" ref="H1241" ca="1">IF(INDEX(I1241:Z1241,$H$1)=0,"",INDEX(I1241:Z1241,$H$1))</f>
        <v>Compressor Wet Seals (Centrifugal - Operating)</v>
      </c>
      <c r="I1241" s="17" t="s">
        <v>3213</v>
      </c>
      <c r="J1241" s="17"/>
      <c r="K1241" s="27"/>
    </row>
    <row r="1242" spans="1:11" x14ac:dyDescent="0.35">
      <c r="A1242" s="10" t="s">
        <v>1284</v>
      </c>
      <c r="B1242" s="255">
        <v>8</v>
      </c>
      <c r="C1242" s="10" t="s">
        <v>227</v>
      </c>
      <c r="D1242" s="10">
        <v>5</v>
      </c>
      <c r="E1242" s="10">
        <v>138</v>
      </c>
      <c r="F1242" s="10" t="s">
        <v>690</v>
      </c>
      <c r="G1242" s="10" t="s">
        <v>695</v>
      </c>
      <c r="H1242" s="10" t="str" cm="1">
        <f t="array" aca="1" ref="H1242" ca="1">IF(INDEX(I1242:Z1242,$H$1)=0,"",INDEX(I1242:Z1242,$H$1))</f>
        <v>Compressor Wet Seals (Centrifugal - Standby &amp; Pressurized)</v>
      </c>
      <c r="I1242" s="17" t="s">
        <v>3215</v>
      </c>
      <c r="J1242" s="17"/>
      <c r="K1242" s="27"/>
    </row>
    <row r="1243" spans="1:11" x14ac:dyDescent="0.35">
      <c r="A1243" s="10" t="s">
        <v>1284</v>
      </c>
      <c r="B1243" s="255">
        <v>8</v>
      </c>
      <c r="C1243" s="10" t="s">
        <v>227</v>
      </c>
      <c r="D1243" s="10">
        <v>5</v>
      </c>
      <c r="E1243" s="10">
        <v>138</v>
      </c>
      <c r="F1243" s="10" t="s">
        <v>38</v>
      </c>
      <c r="G1243" s="10" t="s">
        <v>695</v>
      </c>
      <c r="H1243" s="10" t="str" cm="1">
        <f t="array" aca="1" ref="H1243" ca="1">IF(INDEX(I1243:Z1243,$H$1)=0,"",INDEX(I1243:Z1243,$H$1))</f>
        <v>Compressor Wet Seals (Centrifugal - Depressurized)</v>
      </c>
      <c r="I1243" s="17" t="s">
        <v>3216</v>
      </c>
      <c r="J1243" s="17"/>
      <c r="K1243" s="27"/>
    </row>
    <row r="1244" spans="1:11" x14ac:dyDescent="0.35">
      <c r="A1244" s="10" t="s">
        <v>1284</v>
      </c>
      <c r="B1244" s="255">
        <v>8</v>
      </c>
      <c r="C1244" s="10" t="s">
        <v>227</v>
      </c>
      <c r="D1244" s="10">
        <v>5</v>
      </c>
      <c r="E1244" s="10">
        <v>139</v>
      </c>
      <c r="F1244" s="10" t="s">
        <v>690</v>
      </c>
      <c r="G1244" s="10" t="s">
        <v>695</v>
      </c>
      <c r="H1244" s="10" t="str" cm="1">
        <f t="array" aca="1" ref="H1244" ca="1">IF(INDEX(I1244:Z1244,$H$1)=0,"",INDEX(I1244:Z1244,$H$1))</f>
        <v>Compressor Dry Seals (Centrifugal - Operating)</v>
      </c>
      <c r="I1244" s="17" t="s">
        <v>3217</v>
      </c>
      <c r="J1244" s="17"/>
      <c r="K1244" s="27"/>
    </row>
    <row r="1245" spans="1:11" x14ac:dyDescent="0.35">
      <c r="A1245" s="10" t="s">
        <v>1284</v>
      </c>
      <c r="B1245" s="255">
        <v>8</v>
      </c>
      <c r="C1245" s="10" t="s">
        <v>227</v>
      </c>
      <c r="D1245" s="10">
        <v>5</v>
      </c>
      <c r="E1245" s="10">
        <v>139</v>
      </c>
      <c r="F1245" s="10" t="s">
        <v>38</v>
      </c>
      <c r="G1245" s="10" t="s">
        <v>695</v>
      </c>
      <c r="H1245" s="10" t="str" cm="1">
        <f t="array" aca="1" ref="H1245" ca="1">IF(INDEX(I1245:Z1245,$H$1)=0,"",INDEX(I1245:Z1245,$H$1))</f>
        <v>Compressor Dry Seals (Centrifugal - Standby &amp; Pressurized)</v>
      </c>
      <c r="I1245" s="17" t="s">
        <v>3214</v>
      </c>
      <c r="J1245" s="17"/>
      <c r="K1245" s="27"/>
    </row>
    <row r="1246" spans="1:11" x14ac:dyDescent="0.35">
      <c r="A1246" s="10" t="s">
        <v>1284</v>
      </c>
      <c r="B1246" s="255">
        <v>8</v>
      </c>
      <c r="C1246" s="10" t="s">
        <v>227</v>
      </c>
      <c r="D1246" s="10">
        <v>5</v>
      </c>
      <c r="E1246" s="10">
        <v>140</v>
      </c>
      <c r="F1246" s="10" t="s">
        <v>690</v>
      </c>
      <c r="G1246" s="10" t="s">
        <v>695</v>
      </c>
      <c r="H1246" s="10" t="str" cm="1">
        <f t="array" aca="1" ref="H1246" ca="1">IF(INDEX(I1246:Z1246,$H$1)=0,"",INDEX(I1246:Z1246,$H$1))</f>
        <v>Compressor Dry Seals (Centrifugal - Depressurized)</v>
      </c>
      <c r="I1246" s="17" t="s">
        <v>3218</v>
      </c>
      <c r="J1246" s="17"/>
      <c r="K1246" s="27"/>
    </row>
    <row r="1247" spans="1:11" x14ac:dyDescent="0.35">
      <c r="A1247" s="10" t="s">
        <v>1284</v>
      </c>
      <c r="B1247" s="255">
        <v>8</v>
      </c>
      <c r="C1247" s="10" t="s">
        <v>227</v>
      </c>
      <c r="D1247" s="10">
        <v>5</v>
      </c>
      <c r="E1247" s="10">
        <v>142</v>
      </c>
      <c r="F1247" s="10" t="s">
        <v>690</v>
      </c>
      <c r="G1247" s="10" t="s">
        <v>695</v>
      </c>
      <c r="H1247" s="10" t="str" cm="1">
        <f t="array" aca="1" ref="H1247" ca="1">IF(INDEX(I1247:Z1247,$H$1)=0,"",INDEX(I1247:Z1247,$H$1))</f>
        <v>Compressor (Reciprocating - Crankcase Vent)</v>
      </c>
      <c r="I1247" s="17" t="s">
        <v>278</v>
      </c>
      <c r="J1247" s="17" t="s">
        <v>1211</v>
      </c>
      <c r="K1247" s="27" t="s">
        <v>1551</v>
      </c>
    </row>
    <row r="1248" spans="1:11" x14ac:dyDescent="0.35">
      <c r="A1248" s="10" t="s">
        <v>1284</v>
      </c>
      <c r="B1248" s="255">
        <v>8</v>
      </c>
      <c r="C1248" s="10" t="s">
        <v>227</v>
      </c>
      <c r="D1248" s="10">
        <v>5</v>
      </c>
      <c r="E1248" s="10">
        <v>142</v>
      </c>
      <c r="F1248" s="10" t="s">
        <v>38</v>
      </c>
      <c r="G1248" s="10" t="s">
        <v>695</v>
      </c>
      <c r="H1248" s="10" t="str" cm="1">
        <f t="array" aca="1" ref="H1248" ca="1">IF(INDEX(I1248:Z1248,$H$1)=0,"",INDEX(I1248:Z1248,$H$1))</f>
        <v>Gas</v>
      </c>
      <c r="I1248" s="17" t="s">
        <v>154</v>
      </c>
      <c r="J1248" s="17" t="s">
        <v>864</v>
      </c>
      <c r="K1248" s="27" t="s">
        <v>154</v>
      </c>
    </row>
    <row r="1249" spans="1:11" x14ac:dyDescent="0.35">
      <c r="A1249" s="10" t="s">
        <v>1284</v>
      </c>
      <c r="B1249" s="255">
        <v>8</v>
      </c>
      <c r="C1249" s="10" t="s">
        <v>227</v>
      </c>
      <c r="D1249" s="10">
        <v>5</v>
      </c>
      <c r="E1249" s="10">
        <v>143</v>
      </c>
      <c r="F1249" s="10" t="s">
        <v>690</v>
      </c>
      <c r="G1249" s="10" t="s">
        <v>695</v>
      </c>
      <c r="H1249" s="10" t="str" cm="1">
        <f t="array" aca="1" ref="H1249" ca="1">IF(INDEX(I1249:Z1249,$H$1)=0,"",INDEX(I1249:Z1249,$H$1))</f>
        <v>Pressure Relief Valves</v>
      </c>
      <c r="I1249" s="17" t="s">
        <v>159</v>
      </c>
      <c r="J1249" s="17" t="s">
        <v>856</v>
      </c>
      <c r="K1249" s="27" t="s">
        <v>1552</v>
      </c>
    </row>
    <row r="1250" spans="1:11" x14ac:dyDescent="0.35">
      <c r="A1250" s="10" t="s">
        <v>1284</v>
      </c>
      <c r="B1250" s="255">
        <v>8</v>
      </c>
      <c r="C1250" s="10" t="s">
        <v>227</v>
      </c>
      <c r="D1250" s="10">
        <v>5</v>
      </c>
      <c r="E1250" s="10">
        <v>143</v>
      </c>
      <c r="F1250" s="10" t="s">
        <v>38</v>
      </c>
      <c r="G1250" s="10" t="s">
        <v>695</v>
      </c>
      <c r="H1250" s="10" t="str" cm="1">
        <f t="array" aca="1" ref="H1250" ca="1">IF(INDEX(I1250:Z1250,$H$1)=0,"",INDEX(I1250:Z1250,$H$1))</f>
        <v>Gas</v>
      </c>
      <c r="I1250" s="17" t="s">
        <v>154</v>
      </c>
      <c r="J1250" s="17" t="s">
        <v>864</v>
      </c>
      <c r="K1250" s="27" t="s">
        <v>154</v>
      </c>
    </row>
    <row r="1251" spans="1:11" x14ac:dyDescent="0.35">
      <c r="A1251" s="10" t="s">
        <v>1284</v>
      </c>
      <c r="B1251" s="255">
        <v>8</v>
      </c>
      <c r="C1251" s="10" t="s">
        <v>227</v>
      </c>
      <c r="D1251" s="10">
        <v>5</v>
      </c>
      <c r="E1251" s="10">
        <v>144</v>
      </c>
      <c r="F1251" s="10" t="s">
        <v>690</v>
      </c>
      <c r="G1251" s="10" t="s">
        <v>695</v>
      </c>
      <c r="H1251" s="10" t="str" cm="1">
        <f t="array" aca="1" ref="H1251" ca="1">IF(INDEX(I1251:Z1251,$H$1)=0,"",INDEX(I1251:Z1251,$H$1))</f>
        <v>Regulators</v>
      </c>
      <c r="I1251" s="17" t="s">
        <v>165</v>
      </c>
      <c r="J1251" s="17" t="s">
        <v>857</v>
      </c>
      <c r="K1251" s="27" t="s">
        <v>1553</v>
      </c>
    </row>
    <row r="1252" spans="1:11" x14ac:dyDescent="0.35">
      <c r="A1252" s="10" t="s">
        <v>1284</v>
      </c>
      <c r="B1252" s="255">
        <v>8</v>
      </c>
      <c r="C1252" s="10" t="s">
        <v>227</v>
      </c>
      <c r="D1252" s="10">
        <v>5</v>
      </c>
      <c r="E1252" s="10">
        <v>144</v>
      </c>
      <c r="F1252" s="10" t="s">
        <v>38</v>
      </c>
      <c r="G1252" s="10" t="s">
        <v>695</v>
      </c>
      <c r="H1252" s="10" t="str" cm="1">
        <f t="array" aca="1" ref="H1252" ca="1">IF(INDEX(I1252:Z1252,$H$1)=0,"",INDEX(I1252:Z1252,$H$1))</f>
        <v>Gas</v>
      </c>
      <c r="I1252" s="17" t="s">
        <v>154</v>
      </c>
      <c r="J1252" s="17" t="s">
        <v>864</v>
      </c>
      <c r="K1252" s="27" t="s">
        <v>154</v>
      </c>
    </row>
    <row r="1253" spans="1:11" x14ac:dyDescent="0.35">
      <c r="A1253" s="10" t="s">
        <v>1284</v>
      </c>
      <c r="B1253" s="255">
        <v>8</v>
      </c>
      <c r="C1253" s="10" t="s">
        <v>227</v>
      </c>
      <c r="D1253" s="10">
        <v>5</v>
      </c>
      <c r="E1253" s="10">
        <v>145</v>
      </c>
      <c r="F1253" s="10" t="s">
        <v>690</v>
      </c>
      <c r="G1253" s="10" t="s">
        <v>695</v>
      </c>
      <c r="H1253" s="10" t="str" cm="1">
        <f t="array" aca="1" ref="H1253" ca="1">IF(INDEX(I1253:Z1253,$H$1)=0,"",INDEX(I1253:Z1253,$H$1))</f>
        <v>Connectors</v>
      </c>
      <c r="I1253" s="17" t="s">
        <v>160</v>
      </c>
      <c r="J1253" s="17" t="s">
        <v>858</v>
      </c>
      <c r="K1253" s="27" t="s">
        <v>1554</v>
      </c>
    </row>
    <row r="1254" spans="1:11" x14ac:dyDescent="0.35">
      <c r="A1254" s="10" t="s">
        <v>1284</v>
      </c>
      <c r="B1254" s="255">
        <v>8</v>
      </c>
      <c r="C1254" s="10" t="s">
        <v>227</v>
      </c>
      <c r="D1254" s="10">
        <v>5</v>
      </c>
      <c r="E1254" s="10">
        <v>145</v>
      </c>
      <c r="F1254" s="10" t="s">
        <v>38</v>
      </c>
      <c r="G1254" s="10" t="s">
        <v>695</v>
      </c>
      <c r="H1254" s="10" t="str" cm="1">
        <f t="array" aca="1" ref="H1254" ca="1">IF(INDEX(I1254:Z1254,$H$1)=0,"",INDEX(I1254:Z1254,$H$1))</f>
        <v>Gas</v>
      </c>
      <c r="I1254" s="17" t="s">
        <v>154</v>
      </c>
      <c r="J1254" s="17" t="s">
        <v>864</v>
      </c>
      <c r="K1254" s="27" t="s">
        <v>154</v>
      </c>
    </row>
    <row r="1255" spans="1:11" x14ac:dyDescent="0.35">
      <c r="A1255" s="10" t="s">
        <v>1284</v>
      </c>
      <c r="B1255" s="255">
        <v>8</v>
      </c>
      <c r="C1255" s="10" t="s">
        <v>227</v>
      </c>
      <c r="D1255" s="10">
        <v>5</v>
      </c>
      <c r="E1255" s="10">
        <v>146</v>
      </c>
      <c r="F1255" s="10" t="s">
        <v>38</v>
      </c>
      <c r="G1255" s="10" t="s">
        <v>695</v>
      </c>
      <c r="H1255" s="10" t="str" cm="1">
        <f t="array" aca="1" ref="H1255" ca="1">IF(INDEX(I1255:Z1255,$H$1)=0,"",INDEX(I1255:Z1255,$H$1))</f>
        <v>Light Liquid</v>
      </c>
      <c r="I1255" s="17" t="s">
        <v>155</v>
      </c>
      <c r="J1255" s="17" t="s">
        <v>865</v>
      </c>
      <c r="K1255" s="27" t="s">
        <v>1540</v>
      </c>
    </row>
    <row r="1256" spans="1:11" x14ac:dyDescent="0.35">
      <c r="A1256" s="10" t="s">
        <v>1284</v>
      </c>
      <c r="B1256" s="255">
        <v>8</v>
      </c>
      <c r="C1256" s="10" t="s">
        <v>227</v>
      </c>
      <c r="D1256" s="10">
        <v>5</v>
      </c>
      <c r="E1256" s="10">
        <v>147</v>
      </c>
      <c r="F1256" s="10" t="s">
        <v>38</v>
      </c>
      <c r="G1256" s="10" t="s">
        <v>695</v>
      </c>
      <c r="H1256" s="10" t="str" cm="1">
        <f t="array" aca="1" ref="H1256" ca="1">IF(INDEX(I1256:Z1256,$H$1)=0,"",INDEX(I1256:Z1256,$H$1))</f>
        <v>Heavy Liquid</v>
      </c>
      <c r="I1256" s="17" t="s">
        <v>156</v>
      </c>
      <c r="J1256" s="17" t="s">
        <v>866</v>
      </c>
      <c r="K1256" s="27" t="s">
        <v>1541</v>
      </c>
    </row>
    <row r="1257" spans="1:11" x14ac:dyDescent="0.35">
      <c r="A1257" s="10" t="s">
        <v>1284</v>
      </c>
      <c r="B1257" s="255">
        <v>8</v>
      </c>
      <c r="C1257" s="10" t="s">
        <v>227</v>
      </c>
      <c r="D1257" s="10">
        <v>5</v>
      </c>
      <c r="E1257" s="10">
        <v>148</v>
      </c>
      <c r="F1257" s="10" t="s">
        <v>690</v>
      </c>
      <c r="G1257" s="10" t="s">
        <v>695</v>
      </c>
      <c r="H1257" s="10" t="str" cm="1">
        <f t="array" aca="1" ref="H1257" ca="1">IF(INDEX(I1257:Z1257,$H$1)=0,"",INDEX(I1257:Z1257,$H$1))</f>
        <v>Open-ended Lines</v>
      </c>
      <c r="I1257" s="17" t="s">
        <v>161</v>
      </c>
      <c r="J1257" s="17" t="s">
        <v>859</v>
      </c>
      <c r="K1257" s="27" t="s">
        <v>1555</v>
      </c>
    </row>
    <row r="1258" spans="1:11" x14ac:dyDescent="0.35">
      <c r="A1258" s="10" t="s">
        <v>1284</v>
      </c>
      <c r="B1258" s="255">
        <v>8</v>
      </c>
      <c r="C1258" s="10" t="s">
        <v>227</v>
      </c>
      <c r="D1258" s="10">
        <v>5</v>
      </c>
      <c r="E1258" s="10">
        <v>148</v>
      </c>
      <c r="F1258" s="10" t="s">
        <v>38</v>
      </c>
      <c r="G1258" s="10" t="s">
        <v>695</v>
      </c>
      <c r="H1258" s="10" t="str" cm="1">
        <f t="array" aca="1" ref="H1258" ca="1">IF(INDEX(I1258:Z1258,$H$1)=0,"",INDEX(I1258:Z1258,$H$1))</f>
        <v>Gas</v>
      </c>
      <c r="I1258" s="17" t="s">
        <v>154</v>
      </c>
      <c r="J1258" s="17" t="s">
        <v>864</v>
      </c>
      <c r="K1258" s="27" t="s">
        <v>154</v>
      </c>
    </row>
    <row r="1259" spans="1:11" x14ac:dyDescent="0.35">
      <c r="A1259" s="10" t="s">
        <v>1284</v>
      </c>
      <c r="B1259" s="255">
        <v>8</v>
      </c>
      <c r="C1259" s="10" t="s">
        <v>227</v>
      </c>
      <c r="D1259" s="10">
        <v>5</v>
      </c>
      <c r="E1259" s="10">
        <v>149</v>
      </c>
      <c r="F1259" s="10" t="s">
        <v>38</v>
      </c>
      <c r="G1259" s="10" t="s">
        <v>695</v>
      </c>
      <c r="H1259" s="10" t="str" cm="1">
        <f t="array" aca="1" ref="H1259" ca="1">IF(INDEX(I1259:Z1259,$H$1)=0,"",INDEX(I1259:Z1259,$H$1))</f>
        <v>Light Liquid</v>
      </c>
      <c r="I1259" s="17" t="s">
        <v>155</v>
      </c>
      <c r="J1259" s="17" t="s">
        <v>865</v>
      </c>
      <c r="K1259" s="27" t="s">
        <v>1540</v>
      </c>
    </row>
    <row r="1260" spans="1:11" x14ac:dyDescent="0.35">
      <c r="A1260" s="10" t="s">
        <v>1284</v>
      </c>
      <c r="B1260" s="255">
        <v>8</v>
      </c>
      <c r="C1260" s="10" t="s">
        <v>227</v>
      </c>
      <c r="D1260" s="10">
        <v>5</v>
      </c>
      <c r="E1260" s="10">
        <v>150</v>
      </c>
      <c r="F1260" s="10" t="s">
        <v>38</v>
      </c>
      <c r="G1260" s="10" t="s">
        <v>695</v>
      </c>
      <c r="H1260" s="10" t="str" cm="1">
        <f t="array" aca="1" ref="H1260" ca="1">IF(INDEX(I1260:Z1260,$H$1)=0,"",INDEX(I1260:Z1260,$H$1))</f>
        <v>Heavy Liquid</v>
      </c>
      <c r="I1260" s="17" t="s">
        <v>156</v>
      </c>
      <c r="J1260" s="17" t="s">
        <v>866</v>
      </c>
      <c r="K1260" s="27" t="s">
        <v>1541</v>
      </c>
    </row>
    <row r="1261" spans="1:11" x14ac:dyDescent="0.35">
      <c r="A1261" s="10" t="s">
        <v>1284</v>
      </c>
      <c r="B1261" s="255">
        <v>8</v>
      </c>
      <c r="C1261" s="10" t="s">
        <v>227</v>
      </c>
      <c r="D1261" s="10">
        <v>5</v>
      </c>
      <c r="E1261" s="10">
        <v>151</v>
      </c>
      <c r="F1261" s="10" t="s">
        <v>690</v>
      </c>
      <c r="G1261" s="10" t="s">
        <v>695</v>
      </c>
      <c r="H1261" s="10" t="str" cm="1">
        <f t="array" aca="1" ref="H1261" ca="1">IF(INDEX(I1261:Z1261,$H$1)=0,"",INDEX(I1261:Z1261,$H$1))</f>
        <v>Sampling Connections</v>
      </c>
      <c r="I1261" s="17" t="s">
        <v>162</v>
      </c>
      <c r="J1261" s="17" t="s">
        <v>860</v>
      </c>
      <c r="K1261" s="27" t="s">
        <v>1556</v>
      </c>
    </row>
    <row r="1262" spans="1:11" x14ac:dyDescent="0.35">
      <c r="A1262" s="10" t="s">
        <v>1284</v>
      </c>
      <c r="B1262" s="255">
        <v>8</v>
      </c>
      <c r="C1262" s="10" t="s">
        <v>227</v>
      </c>
      <c r="D1262" s="10">
        <v>5</v>
      </c>
      <c r="E1262" s="10">
        <v>151</v>
      </c>
      <c r="F1262" s="10" t="s">
        <v>38</v>
      </c>
      <c r="G1262" s="10" t="s">
        <v>695</v>
      </c>
      <c r="H1262" s="10" t="str" cm="1">
        <f t="array" aca="1" ref="H1262" ca="1">IF(INDEX(I1262:Z1262,$H$1)=0,"",INDEX(I1262:Z1262,$H$1))</f>
        <v>All</v>
      </c>
      <c r="I1262" s="17" t="s">
        <v>49</v>
      </c>
      <c r="J1262" s="17" t="s">
        <v>867</v>
      </c>
      <c r="K1262" s="27" t="s">
        <v>1557</v>
      </c>
    </row>
    <row r="1263" spans="1:11" x14ac:dyDescent="0.35">
      <c r="A1263" s="10" t="s">
        <v>1284</v>
      </c>
      <c r="B1263" s="255">
        <v>8</v>
      </c>
      <c r="C1263" s="10" t="s">
        <v>227</v>
      </c>
      <c r="D1263" s="10">
        <v>5</v>
      </c>
      <c r="E1263" s="10">
        <v>152</v>
      </c>
      <c r="F1263" s="10" t="s">
        <v>690</v>
      </c>
      <c r="G1263" s="10" t="s">
        <v>695</v>
      </c>
      <c r="H1263" s="10" t="str" cm="1">
        <f t="array" aca="1" ref="H1263" ca="1">IF(INDEX(I1263:Z1263,$H$1)=0,"",INDEX(I1263:Z1263,$H$1))</f>
        <v>Drains</v>
      </c>
      <c r="I1263" s="17" t="s">
        <v>163</v>
      </c>
      <c r="J1263" s="17" t="s">
        <v>1226</v>
      </c>
      <c r="K1263" s="27" t="s">
        <v>1558</v>
      </c>
    </row>
    <row r="1264" spans="1:11" x14ac:dyDescent="0.35">
      <c r="A1264" s="10" t="s">
        <v>1284</v>
      </c>
      <c r="B1264" s="255">
        <v>8</v>
      </c>
      <c r="C1264" s="10" t="s">
        <v>227</v>
      </c>
      <c r="D1264" s="10">
        <v>5</v>
      </c>
      <c r="E1264" s="10">
        <v>152</v>
      </c>
      <c r="F1264" s="10" t="s">
        <v>38</v>
      </c>
      <c r="G1264" s="10" t="s">
        <v>695</v>
      </c>
      <c r="H1264" s="10" t="str" cm="1">
        <f t="array" aca="1" ref="H1264" ca="1">IF(INDEX(I1264:Z1264,$H$1)=0,"",INDEX(I1264:Z1264,$H$1))</f>
        <v>All</v>
      </c>
      <c r="I1264" s="17" t="s">
        <v>49</v>
      </c>
      <c r="J1264" s="17" t="s">
        <v>867</v>
      </c>
      <c r="K1264" s="27" t="s">
        <v>1557</v>
      </c>
    </row>
    <row r="1265" spans="1:11" x14ac:dyDescent="0.35">
      <c r="A1265" s="10" t="s">
        <v>1284</v>
      </c>
      <c r="B1265" s="255">
        <v>8</v>
      </c>
      <c r="C1265" s="10" t="s">
        <v>227</v>
      </c>
      <c r="D1265" s="10">
        <v>5</v>
      </c>
      <c r="E1265" s="10">
        <v>153</v>
      </c>
      <c r="F1265" s="10" t="s">
        <v>690</v>
      </c>
      <c r="G1265" s="10" t="s">
        <v>695</v>
      </c>
      <c r="H1265" s="10" t="str" cm="1">
        <f t="array" aca="1" ref="H1265" ca="1">IF(INDEX(I1265:Z1265,$H$1)=0,"",INDEX(I1265:Z1265,$H$1))</f>
        <v>Meter (Orifice)</v>
      </c>
      <c r="I1265" s="17" t="s">
        <v>224</v>
      </c>
      <c r="J1265" s="17" t="s">
        <v>1263</v>
      </c>
      <c r="K1265" s="27" t="s">
        <v>1559</v>
      </c>
    </row>
    <row r="1266" spans="1:11" x14ac:dyDescent="0.35">
      <c r="A1266" s="10" t="s">
        <v>1284</v>
      </c>
      <c r="B1266" s="255">
        <v>8</v>
      </c>
      <c r="C1266" s="10" t="s">
        <v>227</v>
      </c>
      <c r="D1266" s="10">
        <v>5</v>
      </c>
      <c r="E1266" s="10">
        <v>153</v>
      </c>
      <c r="F1266" s="10" t="s">
        <v>38</v>
      </c>
      <c r="G1266" s="10" t="s">
        <v>695</v>
      </c>
      <c r="H1266" s="10" t="str" cm="1">
        <f t="array" aca="1" ref="H1266" ca="1">IF(INDEX(I1266:Z1266,$H$1)=0,"",INDEX(I1266:Z1266,$H$1))</f>
        <v>Gas</v>
      </c>
      <c r="I1266" s="17" t="s">
        <v>154</v>
      </c>
      <c r="J1266" s="17" t="s">
        <v>864</v>
      </c>
      <c r="K1266" s="27" t="s">
        <v>154</v>
      </c>
    </row>
    <row r="1267" spans="1:11" x14ac:dyDescent="0.35">
      <c r="A1267" s="10" t="s">
        <v>1284</v>
      </c>
      <c r="B1267" s="255">
        <v>8</v>
      </c>
      <c r="C1267" s="10" t="s">
        <v>227</v>
      </c>
      <c r="D1267" s="10">
        <v>5</v>
      </c>
      <c r="E1267" s="10">
        <v>154</v>
      </c>
      <c r="F1267" s="10" t="s">
        <v>690</v>
      </c>
      <c r="G1267" s="10" t="s">
        <v>695</v>
      </c>
      <c r="H1267" s="10" t="str" cm="1">
        <f t="array" aca="1" ref="H1267" ca="1">IF(INDEX(I1267:Z1267,$H$1)=0,"",INDEX(I1267:Z1267,$H$1))</f>
        <v>Meter (Other)</v>
      </c>
      <c r="I1267" s="17" t="s">
        <v>225</v>
      </c>
      <c r="J1267" s="17" t="s">
        <v>861</v>
      </c>
      <c r="K1267" s="27" t="s">
        <v>1560</v>
      </c>
    </row>
    <row r="1268" spans="1:11" x14ac:dyDescent="0.35">
      <c r="A1268" s="10" t="s">
        <v>1284</v>
      </c>
      <c r="B1268" s="255">
        <v>8</v>
      </c>
      <c r="C1268" s="10" t="s">
        <v>227</v>
      </c>
      <c r="D1268" s="10">
        <v>5</v>
      </c>
      <c r="E1268" s="10">
        <v>154</v>
      </c>
      <c r="F1268" s="10" t="s">
        <v>38</v>
      </c>
      <c r="G1268" s="10" t="s">
        <v>695</v>
      </c>
      <c r="H1268" s="10" t="str" cm="1">
        <f t="array" aca="1" ref="H1268" ca="1">IF(INDEX(I1268:Z1268,$H$1)=0,"",INDEX(I1268:Z1268,$H$1))</f>
        <v>Gas</v>
      </c>
      <c r="I1268" s="17" t="s">
        <v>154</v>
      </c>
      <c r="J1268" s="17" t="s">
        <v>864</v>
      </c>
      <c r="K1268" s="27" t="s">
        <v>154</v>
      </c>
    </row>
    <row r="1269" spans="1:11" x14ac:dyDescent="0.35">
      <c r="A1269" s="10" t="s">
        <v>1284</v>
      </c>
      <c r="B1269" s="255">
        <v>8</v>
      </c>
      <c r="C1269" s="10" t="s">
        <v>227</v>
      </c>
      <c r="D1269" s="10">
        <v>5</v>
      </c>
      <c r="E1269" s="10">
        <v>155</v>
      </c>
      <c r="F1269" s="10" t="s">
        <v>690</v>
      </c>
      <c r="G1269" s="10" t="s">
        <v>695</v>
      </c>
      <c r="H1269" s="10" t="str" cm="1">
        <f t="array" aca="1" ref="H1269" ca="1">IF(INDEX(I1269:Z1269,$H$1)=0,"",INDEX(I1269:Z1269,$H$1))</f>
        <v>Blowdown System</v>
      </c>
      <c r="I1269" s="17" t="s">
        <v>226</v>
      </c>
      <c r="J1269" s="17" t="s">
        <v>862</v>
      </c>
      <c r="K1269" s="27" t="s">
        <v>1561</v>
      </c>
    </row>
    <row r="1270" spans="1:11" x14ac:dyDescent="0.35">
      <c r="A1270" s="10" t="s">
        <v>1284</v>
      </c>
      <c r="B1270" s="255">
        <v>8</v>
      </c>
      <c r="C1270" s="10" t="s">
        <v>227</v>
      </c>
      <c r="D1270" s="10">
        <v>5</v>
      </c>
      <c r="E1270" s="10">
        <v>155</v>
      </c>
      <c r="F1270" s="10" t="s">
        <v>38</v>
      </c>
      <c r="G1270" s="10" t="s">
        <v>695</v>
      </c>
      <c r="H1270" s="10" t="str" cm="1">
        <f t="array" aca="1" ref="H1270" ca="1">IF(INDEX(I1270:Z1270,$H$1)=0,"",INDEX(I1270:Z1270,$H$1))</f>
        <v>Gas</v>
      </c>
      <c r="I1270" s="17" t="s">
        <v>154</v>
      </c>
      <c r="J1270" s="17" t="s">
        <v>864</v>
      </c>
      <c r="K1270" s="27" t="s">
        <v>154</v>
      </c>
    </row>
    <row r="1271" spans="1:11" x14ac:dyDescent="0.35">
      <c r="A1271" s="10" t="s">
        <v>1284</v>
      </c>
      <c r="B1271" s="255">
        <v>8</v>
      </c>
      <c r="C1271" s="10" t="s">
        <v>227</v>
      </c>
      <c r="D1271" s="10">
        <v>5</v>
      </c>
      <c r="E1271" s="10">
        <v>156</v>
      </c>
      <c r="F1271" s="10" t="s">
        <v>690</v>
      </c>
      <c r="G1271" s="10" t="s">
        <v>695</v>
      </c>
      <c r="H1271" s="10" t="str" cm="1">
        <f t="array" aca="1" ref="H1271" ca="1">IF(INDEX(I1271:Z1271,$H$1)=0,"",INDEX(I1271:Z1271,$H$1))</f>
        <v>Others</v>
      </c>
      <c r="I1271" s="17" t="s">
        <v>166</v>
      </c>
      <c r="J1271" s="17" t="s">
        <v>863</v>
      </c>
      <c r="K1271" s="27" t="s">
        <v>1562</v>
      </c>
    </row>
    <row r="1272" spans="1:11" x14ac:dyDescent="0.35">
      <c r="A1272" s="10" t="s">
        <v>1284</v>
      </c>
      <c r="B1272" s="255">
        <v>8</v>
      </c>
      <c r="C1272" s="10" t="s">
        <v>227</v>
      </c>
      <c r="D1272" s="10">
        <v>5</v>
      </c>
      <c r="E1272" s="10">
        <v>156</v>
      </c>
      <c r="F1272" s="10" t="s">
        <v>38</v>
      </c>
      <c r="G1272" s="10" t="s">
        <v>695</v>
      </c>
      <c r="H1272" s="10" t="str" cm="1">
        <f t="array" aca="1" ref="H1272" ca="1">IF(INDEX(I1272:Z1272,$H$1)=0,"",INDEX(I1272:Z1272,$H$1))</f>
        <v>Gas</v>
      </c>
      <c r="I1272" s="17" t="s">
        <v>154</v>
      </c>
      <c r="J1272" s="17" t="s">
        <v>864</v>
      </c>
      <c r="K1272" s="27" t="s">
        <v>154</v>
      </c>
    </row>
    <row r="1273" spans="1:11" x14ac:dyDescent="0.35">
      <c r="A1273" s="10" t="s">
        <v>1284</v>
      </c>
      <c r="B1273" s="255">
        <v>8</v>
      </c>
      <c r="C1273" s="10" t="s">
        <v>227</v>
      </c>
      <c r="D1273" s="10">
        <v>5</v>
      </c>
      <c r="E1273" s="10">
        <v>157</v>
      </c>
      <c r="F1273" s="10" t="s">
        <v>38</v>
      </c>
      <c r="G1273" s="10" t="s">
        <v>695</v>
      </c>
      <c r="H1273" s="10" t="str" cm="1">
        <f t="array" aca="1" ref="H1273" ca="1">IF(INDEX(I1273:Z1273,$H$1)=0,"",INDEX(I1273:Z1273,$H$1))</f>
        <v>Light Liquid</v>
      </c>
      <c r="I1273" s="17" t="s">
        <v>155</v>
      </c>
      <c r="J1273" s="17" t="s">
        <v>865</v>
      </c>
      <c r="K1273" s="27" t="s">
        <v>1540</v>
      </c>
    </row>
    <row r="1274" spans="1:11" x14ac:dyDescent="0.35">
      <c r="A1274" s="10" t="s">
        <v>1284</v>
      </c>
      <c r="B1274" s="255">
        <v>8</v>
      </c>
      <c r="C1274" s="10" t="s">
        <v>227</v>
      </c>
      <c r="D1274" s="10">
        <v>5</v>
      </c>
      <c r="E1274" s="10">
        <v>158</v>
      </c>
      <c r="F1274" s="10" t="s">
        <v>38</v>
      </c>
      <c r="G1274" s="10" t="s">
        <v>695</v>
      </c>
      <c r="H1274" s="10" t="str" cm="1">
        <f t="array" aca="1" ref="H1274" ca="1">IF(INDEX(I1274:Z1274,$H$1)=0,"",INDEX(I1274:Z1274,$H$1))</f>
        <v>Heavy Liquid</v>
      </c>
      <c r="I1274" s="17" t="s">
        <v>156</v>
      </c>
      <c r="J1274" s="17" t="s">
        <v>866</v>
      </c>
      <c r="K1274" s="27" t="s">
        <v>1541</v>
      </c>
    </row>
    <row r="1275" spans="1:11" x14ac:dyDescent="0.35">
      <c r="A1275" s="10" t="s">
        <v>1284</v>
      </c>
      <c r="B1275" s="255">
        <v>8</v>
      </c>
      <c r="C1275" s="10" t="s">
        <v>228</v>
      </c>
      <c r="D1275" s="10">
        <v>6</v>
      </c>
      <c r="E1275" s="10">
        <v>163</v>
      </c>
      <c r="F1275" s="10" t="s">
        <v>690</v>
      </c>
      <c r="G1275" s="10" t="s">
        <v>696</v>
      </c>
      <c r="H1275" s="10" t="str" cm="1">
        <f t="array" aca="1" ref="H1275" ca="1">IF(INDEX(I1275:Z1275,$H$1)=0,"",INDEX(I1275:Z1275,$H$1))</f>
        <v>Equipment Component Type</v>
      </c>
      <c r="I1275" s="10" t="s">
        <v>172</v>
      </c>
      <c r="J1275" s="10" t="s">
        <v>1229</v>
      </c>
      <c r="K1275" s="27" t="s">
        <v>1516</v>
      </c>
    </row>
    <row r="1276" spans="1:11" x14ac:dyDescent="0.35">
      <c r="A1276" s="10" t="s">
        <v>1284</v>
      </c>
      <c r="B1276" s="255">
        <v>8</v>
      </c>
      <c r="C1276" s="10" t="s">
        <v>228</v>
      </c>
      <c r="D1276" s="10">
        <v>6</v>
      </c>
      <c r="E1276" s="10">
        <v>163</v>
      </c>
      <c r="F1276" s="10" t="s">
        <v>38</v>
      </c>
      <c r="G1276" s="10" t="s">
        <v>696</v>
      </c>
      <c r="H1276" s="10" t="str" cm="1">
        <f t="array" aca="1" ref="H1276" ca="1">IF(INDEX(I1276:Z1276,$H$1)=0,"",INDEX(I1276:Z1276,$H$1))</f>
        <v>Service</v>
      </c>
      <c r="I1276" s="10" t="s">
        <v>133</v>
      </c>
      <c r="J1276" s="10" t="s">
        <v>832</v>
      </c>
      <c r="K1276" s="27" t="s">
        <v>1517</v>
      </c>
    </row>
    <row r="1277" spans="1:11" x14ac:dyDescent="0.35">
      <c r="A1277" s="10" t="s">
        <v>1284</v>
      </c>
      <c r="B1277" s="255">
        <v>8</v>
      </c>
      <c r="C1277" s="10" t="s">
        <v>228</v>
      </c>
      <c r="D1277" s="10">
        <v>6</v>
      </c>
      <c r="E1277" s="10">
        <v>163</v>
      </c>
      <c r="F1277" s="10" t="s">
        <v>692</v>
      </c>
      <c r="G1277" s="10" t="s">
        <v>696</v>
      </c>
      <c r="H1277" s="10" t="str" cm="1">
        <f t="array" aca="1" ref="H1277" ca="1">IF(INDEX(I1277:Z1277,$H$1)=0,"",INDEX(I1277:Z1277,$H$1))</f>
        <v>CEPEI (2016) Factors</v>
      </c>
      <c r="I1277" s="10" t="s">
        <v>220</v>
      </c>
      <c r="J1277" s="10" t="s">
        <v>924</v>
      </c>
      <c r="K1277" s="27" t="s">
        <v>1667</v>
      </c>
    </row>
    <row r="1278" spans="1:11" x14ac:dyDescent="0.35">
      <c r="A1278" s="10" t="s">
        <v>1284</v>
      </c>
      <c r="B1278" s="255">
        <v>8</v>
      </c>
      <c r="C1278" s="10" t="s">
        <v>228</v>
      </c>
      <c r="D1278" s="10">
        <v>6</v>
      </c>
      <c r="E1278" s="10">
        <v>163</v>
      </c>
      <c r="F1278" s="10" t="s">
        <v>591</v>
      </c>
      <c r="G1278" s="10" t="s">
        <v>696</v>
      </c>
      <c r="H1278" s="10" t="str" cm="1">
        <f t="array" aca="1" ref="H1278" ca="1">IF(INDEX(I1278:Z1278,$H$1)=0,"",INDEX(I1278:Z1278,$H$1))</f>
        <v>Developed Average Emission Factor</v>
      </c>
      <c r="I1278" s="10" t="s">
        <v>271</v>
      </c>
      <c r="J1278" s="10" t="s">
        <v>1223</v>
      </c>
      <c r="K1278" s="27" t="s">
        <v>1641</v>
      </c>
    </row>
    <row r="1279" spans="1:11" x14ac:dyDescent="0.35">
      <c r="A1279" s="10" t="s">
        <v>1284</v>
      </c>
      <c r="B1279" s="255">
        <v>8</v>
      </c>
      <c r="C1279" s="10" t="s">
        <v>228</v>
      </c>
      <c r="D1279" s="10">
        <v>6</v>
      </c>
      <c r="E1279" s="10">
        <v>164</v>
      </c>
      <c r="F1279" s="10" t="s">
        <v>690</v>
      </c>
      <c r="G1279" s="10" t="s">
        <v>688</v>
      </c>
      <c r="H1279" s="10" t="str" cm="1">
        <f t="array" aca="1" ref="H1279" ca="1">IF(INDEX(I1279:Z1279,$H$1)=0,"",INDEX(I1279:Z1279,$H$1))</f>
        <v>Natural Gas Distribution (Residential Meter Sites)</v>
      </c>
      <c r="I1279" s="10" t="s">
        <v>228</v>
      </c>
      <c r="J1279" s="10" t="s">
        <v>929</v>
      </c>
      <c r="K1279" s="27" t="s">
        <v>1672</v>
      </c>
    </row>
    <row r="1280" spans="1:11" x14ac:dyDescent="0.35">
      <c r="A1280" s="10" t="s">
        <v>1284</v>
      </c>
      <c r="B1280" s="255">
        <v>8</v>
      </c>
      <c r="C1280" s="10" t="s">
        <v>228</v>
      </c>
      <c r="D1280" s="10">
        <v>6</v>
      </c>
      <c r="E1280" s="10">
        <v>164</v>
      </c>
      <c r="F1280" s="10" t="s">
        <v>692</v>
      </c>
      <c r="G1280" s="10" t="s">
        <v>696</v>
      </c>
      <c r="H1280" s="10" t="str" cm="1">
        <f t="array" aca="1" ref="H1280" ca="1">IF(INDEX(I1280:Z1280,$H$1)=0,"",INDEX(I1280:Z1280,$H$1))</f>
        <v>Implied Leak</v>
      </c>
      <c r="I1280" s="10" t="s">
        <v>167</v>
      </c>
      <c r="J1280" s="10" t="s">
        <v>900</v>
      </c>
      <c r="K1280" s="27" t="s">
        <v>1642</v>
      </c>
    </row>
    <row r="1281" spans="1:11" x14ac:dyDescent="0.35">
      <c r="A1281" s="10" t="s">
        <v>1284</v>
      </c>
      <c r="B1281" s="255">
        <v>8</v>
      </c>
      <c r="C1281" s="10" t="s">
        <v>228</v>
      </c>
      <c r="D1281" s="10">
        <v>6</v>
      </c>
      <c r="E1281" s="10">
        <v>164</v>
      </c>
      <c r="F1281" s="10" t="s">
        <v>693</v>
      </c>
      <c r="G1281" s="10" t="s">
        <v>696</v>
      </c>
      <c r="H1281" s="10" t="str" cm="1">
        <f t="array" aca="1" ref="H1281" ca="1">IF(INDEX(I1281:Z1281,$H$1)=0,"",INDEX(I1281:Z1281,$H$1))</f>
        <v>Average</v>
      </c>
      <c r="I1281" s="10" t="s">
        <v>135</v>
      </c>
      <c r="J1281" s="10" t="s">
        <v>901</v>
      </c>
      <c r="K1281" s="27" t="s">
        <v>1643</v>
      </c>
    </row>
    <row r="1282" spans="1:11" x14ac:dyDescent="0.35">
      <c r="A1282" s="10" t="s">
        <v>1284</v>
      </c>
      <c r="B1282" s="255">
        <v>8</v>
      </c>
      <c r="C1282" s="10" t="s">
        <v>228</v>
      </c>
      <c r="D1282" s="10">
        <v>6</v>
      </c>
      <c r="E1282" s="10">
        <v>164</v>
      </c>
      <c r="F1282" s="10" t="s">
        <v>694</v>
      </c>
      <c r="G1282" s="10" t="s">
        <v>696</v>
      </c>
      <c r="H1282" s="10" t="str" cm="1">
        <f t="array" aca="1" ref="H1282" ca="1">IF(INDEX(I1282:Z1282,$H$1)=0,"",INDEX(I1282:Z1282,$H$1))</f>
        <v>Leak</v>
      </c>
      <c r="I1282" s="10" t="s">
        <v>136</v>
      </c>
      <c r="J1282" s="10" t="s">
        <v>1259</v>
      </c>
      <c r="K1282" s="27" t="s">
        <v>1644</v>
      </c>
    </row>
    <row r="1283" spans="1:11" x14ac:dyDescent="0.35">
      <c r="A1283" s="10" t="s">
        <v>1284</v>
      </c>
      <c r="B1283" s="255">
        <v>8</v>
      </c>
      <c r="C1283" s="10" t="s">
        <v>228</v>
      </c>
      <c r="D1283" s="10">
        <v>6</v>
      </c>
      <c r="E1283" s="10">
        <v>164</v>
      </c>
      <c r="F1283" s="10" t="s">
        <v>711</v>
      </c>
      <c r="G1283" s="10" t="s">
        <v>696</v>
      </c>
      <c r="H1283" s="10" t="str" cm="1">
        <f t="array" aca="1" ref="H1283" ca="1">IF(INDEX(I1283:Z1283,$H$1)=0,"",INDEX(I1283:Z1283,$H$1))</f>
        <v>No-Leak</v>
      </c>
      <c r="I1283" s="10" t="s">
        <v>137</v>
      </c>
      <c r="J1283" s="10" t="s">
        <v>902</v>
      </c>
      <c r="K1283" s="27" t="s">
        <v>1645</v>
      </c>
    </row>
    <row r="1284" spans="1:11" x14ac:dyDescent="0.35">
      <c r="A1284" s="10" t="s">
        <v>1284</v>
      </c>
      <c r="B1284" s="255">
        <v>8</v>
      </c>
      <c r="C1284" s="10" t="s">
        <v>228</v>
      </c>
      <c r="D1284" s="10">
        <v>6</v>
      </c>
      <c r="E1284" s="10">
        <v>164</v>
      </c>
      <c r="F1284" s="10" t="s">
        <v>591</v>
      </c>
      <c r="G1284" s="10" t="s">
        <v>696</v>
      </c>
      <c r="H1284" s="10" t="str" cm="1">
        <f t="array" aca="1" ref="H1284" ca="1">IF(INDEX(I1284:Z1284,$H$1)=0,"",INDEX(I1284:Z1284,$H$1))</f>
        <v xml:space="preserve">Leak </v>
      </c>
      <c r="I1284" s="10" t="s">
        <v>138</v>
      </c>
      <c r="J1284" s="10" t="s">
        <v>1259</v>
      </c>
      <c r="K1284" s="27" t="s">
        <v>1644</v>
      </c>
    </row>
    <row r="1285" spans="1:11" x14ac:dyDescent="0.35">
      <c r="A1285" s="10" t="s">
        <v>1284</v>
      </c>
      <c r="B1285" s="255">
        <v>8</v>
      </c>
      <c r="C1285" s="10" t="s">
        <v>228</v>
      </c>
      <c r="D1285" s="10">
        <v>6</v>
      </c>
      <c r="E1285" s="10">
        <v>164</v>
      </c>
      <c r="F1285" s="10" t="s">
        <v>712</v>
      </c>
      <c r="G1285" s="10" t="s">
        <v>696</v>
      </c>
      <c r="H1285" s="10" t="str" cm="1">
        <f t="array" aca="1" ref="H1285" ca="1">IF(INDEX(I1285:Z1285,$H$1)=0,"",INDEX(I1285:Z1285,$H$1))</f>
        <v>Uncontrolled</v>
      </c>
      <c r="I1285" s="10" t="s">
        <v>139</v>
      </c>
      <c r="J1285" s="10" t="s">
        <v>903</v>
      </c>
      <c r="K1285" s="27" t="s">
        <v>1646</v>
      </c>
    </row>
    <row r="1286" spans="1:11" x14ac:dyDescent="0.35">
      <c r="A1286" s="10" t="s">
        <v>1284</v>
      </c>
      <c r="B1286" s="255">
        <v>8</v>
      </c>
      <c r="C1286" s="10" t="s">
        <v>228</v>
      </c>
      <c r="D1286" s="10">
        <v>6</v>
      </c>
      <c r="E1286" s="10">
        <v>164</v>
      </c>
      <c r="F1286" s="10" t="s">
        <v>713</v>
      </c>
      <c r="G1286" s="10" t="s">
        <v>696</v>
      </c>
      <c r="H1286" s="10" t="str" cm="1">
        <f t="array" aca="1" ref="H1286" ca="1">IF(INDEX(I1286:Z1286,$H$1)=0,"",INDEX(I1286:Z1286,$H$1))</f>
        <v>Control</v>
      </c>
      <c r="I1286" s="10" t="s">
        <v>140</v>
      </c>
      <c r="J1286" s="10" t="s">
        <v>904</v>
      </c>
      <c r="K1286" s="27" t="s">
        <v>140</v>
      </c>
    </row>
    <row r="1287" spans="1:11" x14ac:dyDescent="0.35">
      <c r="A1287" s="10" t="s">
        <v>1284</v>
      </c>
      <c r="B1287" s="255">
        <v>8</v>
      </c>
      <c r="C1287" s="10" t="s">
        <v>228</v>
      </c>
      <c r="D1287" s="10">
        <v>6</v>
      </c>
      <c r="E1287" s="10">
        <v>164</v>
      </c>
      <c r="F1287" s="10" t="s">
        <v>772</v>
      </c>
      <c r="G1287" s="10" t="s">
        <v>696</v>
      </c>
      <c r="H1287" s="10" t="str" cm="1">
        <f t="array" aca="1" ref="H1287" ca="1">IF(INDEX(I1287:Z1287,$H$1)=0,"",INDEX(I1287:Z1287,$H$1))</f>
        <v>Controlled</v>
      </c>
      <c r="I1287" s="10" t="s">
        <v>141</v>
      </c>
      <c r="J1287" s="10" t="s">
        <v>905</v>
      </c>
      <c r="K1287" s="27" t="s">
        <v>1647</v>
      </c>
    </row>
    <row r="1288" spans="1:11" x14ac:dyDescent="0.35">
      <c r="A1288" s="10" t="s">
        <v>1284</v>
      </c>
      <c r="B1288" s="255">
        <v>8</v>
      </c>
      <c r="C1288" s="10" t="s">
        <v>228</v>
      </c>
      <c r="D1288" s="10">
        <v>6</v>
      </c>
      <c r="E1288" s="10">
        <v>164</v>
      </c>
      <c r="F1288" s="10" t="s">
        <v>594</v>
      </c>
      <c r="G1288" s="10" t="s">
        <v>696</v>
      </c>
      <c r="H1288" s="10" t="str" cm="1">
        <f t="array" aca="1" ref="H1288" ca="1">IF(INDEX(I1288:Z1288,$H$1)=0,"",INDEX(I1288:Z1288,$H$1))</f>
        <v xml:space="preserve">Specified Leak </v>
      </c>
      <c r="I1288" s="10" t="s">
        <v>142</v>
      </c>
      <c r="J1288" s="10" t="s">
        <v>906</v>
      </c>
      <c r="K1288" s="27" t="s">
        <v>1648</v>
      </c>
    </row>
    <row r="1289" spans="1:11" x14ac:dyDescent="0.35">
      <c r="A1289" s="10" t="s">
        <v>1284</v>
      </c>
      <c r="B1289" s="255">
        <v>8</v>
      </c>
      <c r="C1289" s="10" t="s">
        <v>228</v>
      </c>
      <c r="D1289" s="10">
        <v>6</v>
      </c>
      <c r="E1289" s="10">
        <v>164</v>
      </c>
      <c r="F1289" s="10" t="s">
        <v>775</v>
      </c>
      <c r="G1289" s="10" t="s">
        <v>696</v>
      </c>
      <c r="H1289" s="10" t="str" cm="1">
        <f t="array" aca="1" ref="H1289" ca="1">IF(INDEX(I1289:Z1289,$H$1)=0,"",INDEX(I1289:Z1289,$H$1))</f>
        <v xml:space="preserve">Equipment Modification </v>
      </c>
      <c r="I1289" s="10" t="s">
        <v>171</v>
      </c>
      <c r="J1289" s="10" t="s">
        <v>907</v>
      </c>
      <c r="K1289" s="27" t="s">
        <v>1649</v>
      </c>
    </row>
    <row r="1290" spans="1:11" x14ac:dyDescent="0.35">
      <c r="A1290" s="10" t="s">
        <v>1284</v>
      </c>
      <c r="B1290" s="255">
        <v>8</v>
      </c>
      <c r="C1290" s="10" t="s">
        <v>228</v>
      </c>
      <c r="D1290" s="10">
        <v>6</v>
      </c>
      <c r="E1290" s="10">
        <v>165</v>
      </c>
      <c r="F1290" s="10" t="s">
        <v>692</v>
      </c>
      <c r="G1290" s="10" t="s">
        <v>696</v>
      </c>
      <c r="H1290" s="10" t="str" cm="1">
        <f t="array" aca="1" ref="H1290" ca="1">IF(INDEX(I1290:Z1290,$H$1)=0,"",INDEX(I1290:Z1290,$H$1))</f>
        <v>Frequency</v>
      </c>
      <c r="I1290" s="10" t="s">
        <v>143</v>
      </c>
      <c r="J1290" s="10" t="s">
        <v>908</v>
      </c>
      <c r="K1290" s="27" t="s">
        <v>1650</v>
      </c>
    </row>
    <row r="1291" spans="1:11" x14ac:dyDescent="0.35">
      <c r="A1291" s="10" t="s">
        <v>1284</v>
      </c>
      <c r="B1291" s="255">
        <v>8</v>
      </c>
      <c r="C1291" s="10" t="s">
        <v>228</v>
      </c>
      <c r="D1291" s="10">
        <v>6</v>
      </c>
      <c r="E1291" s="10">
        <v>165</v>
      </c>
      <c r="F1291" s="10" t="s">
        <v>693</v>
      </c>
      <c r="G1291" s="10" t="s">
        <v>696</v>
      </c>
      <c r="H1291" s="10" t="str" cm="1">
        <f t="array" aca="1" ref="H1291" ca="1">IF(INDEX(I1291:Z1291,$H$1)=0,"",INDEX(I1291:Z1291,$H$1))</f>
        <v>(kg/h/source)</v>
      </c>
      <c r="I1291" s="10" t="s">
        <v>144</v>
      </c>
      <c r="J1291" s="10" t="s">
        <v>909</v>
      </c>
      <c r="K1291" s="27" t="s">
        <v>1651</v>
      </c>
    </row>
    <row r="1292" spans="1:11" x14ac:dyDescent="0.35">
      <c r="A1292" s="10" t="s">
        <v>1284</v>
      </c>
      <c r="B1292" s="255">
        <v>8</v>
      </c>
      <c r="C1292" s="10" t="s">
        <v>228</v>
      </c>
      <c r="D1292" s="10">
        <v>6</v>
      </c>
      <c r="E1292" s="10">
        <v>165</v>
      </c>
      <c r="F1292" s="10" t="s">
        <v>694</v>
      </c>
      <c r="G1292" s="10" t="s">
        <v>696</v>
      </c>
      <c r="H1292" s="10" t="str" cm="1">
        <f t="array" aca="1" ref="H1292" ca="1">IF(INDEX(I1292:Z1292,$H$1)=0,"",INDEX(I1292:Z1292,$H$1))</f>
        <v>(kg/h/source)</v>
      </c>
      <c r="I1292" s="10" t="s">
        <v>144</v>
      </c>
      <c r="J1292" s="10" t="s">
        <v>909</v>
      </c>
      <c r="K1292" s="27" t="s">
        <v>1651</v>
      </c>
    </row>
    <row r="1293" spans="1:11" x14ac:dyDescent="0.35">
      <c r="A1293" s="10" t="s">
        <v>1284</v>
      </c>
      <c r="B1293" s="255">
        <v>8</v>
      </c>
      <c r="C1293" s="10" t="s">
        <v>228</v>
      </c>
      <c r="D1293" s="10">
        <v>6</v>
      </c>
      <c r="E1293" s="10">
        <v>165</v>
      </c>
      <c r="F1293" s="10" t="s">
        <v>711</v>
      </c>
      <c r="G1293" s="10" t="s">
        <v>696</v>
      </c>
      <c r="H1293" s="10" t="str" cm="1">
        <f t="array" aca="1" ref="H1293" ca="1">IF(INDEX(I1293:Z1293,$H$1)=0,"",INDEX(I1293:Z1293,$H$1))</f>
        <v>(kg/h/source)</v>
      </c>
      <c r="I1293" s="10" t="s">
        <v>144</v>
      </c>
      <c r="J1293" s="10" t="s">
        <v>909</v>
      </c>
      <c r="K1293" s="27" t="s">
        <v>1651</v>
      </c>
    </row>
    <row r="1294" spans="1:11" x14ac:dyDescent="0.35">
      <c r="A1294" s="10" t="s">
        <v>1284</v>
      </c>
      <c r="B1294" s="255">
        <v>8</v>
      </c>
      <c r="C1294" s="10" t="s">
        <v>228</v>
      </c>
      <c r="D1294" s="10">
        <v>6</v>
      </c>
      <c r="E1294" s="10">
        <v>165</v>
      </c>
      <c r="F1294" s="10" t="s">
        <v>591</v>
      </c>
      <c r="G1294" s="10" t="s">
        <v>696</v>
      </c>
      <c r="H1294" s="10" t="str" cm="1">
        <f t="array" aca="1" ref="H1294" ca="1">IF(INDEX(I1294:Z1294,$H$1)=0,"",INDEX(I1294:Z1294,$H$1))</f>
        <v>Frequency</v>
      </c>
      <c r="I1294" s="10" t="s">
        <v>143</v>
      </c>
      <c r="J1294" s="10" t="s">
        <v>908</v>
      </c>
      <c r="K1294" s="27" t="s">
        <v>1650</v>
      </c>
    </row>
    <row r="1295" spans="1:11" x14ac:dyDescent="0.35">
      <c r="A1295" s="10" t="s">
        <v>1284</v>
      </c>
      <c r="B1295" s="255">
        <v>8</v>
      </c>
      <c r="C1295" s="10" t="s">
        <v>228</v>
      </c>
      <c r="D1295" s="10">
        <v>6</v>
      </c>
      <c r="E1295" s="10">
        <v>165</v>
      </c>
      <c r="F1295" s="10" t="s">
        <v>712</v>
      </c>
      <c r="G1295" s="10" t="s">
        <v>696</v>
      </c>
      <c r="H1295" s="10" t="str" cm="1">
        <f t="array" aca="1" ref="H1295" ca="1">IF(INDEX(I1295:Z1295,$H$1)=0,"",INDEX(I1295:Z1295,$H$1))</f>
        <v>Emission Factor</v>
      </c>
      <c r="I1295" s="10" t="s">
        <v>145</v>
      </c>
      <c r="J1295" s="10" t="s">
        <v>910</v>
      </c>
      <c r="K1295" s="27" t="s">
        <v>1583</v>
      </c>
    </row>
    <row r="1296" spans="1:11" x14ac:dyDescent="0.35">
      <c r="A1296" s="10" t="s">
        <v>1284</v>
      </c>
      <c r="B1296" s="255">
        <v>8</v>
      </c>
      <c r="C1296" s="10" t="s">
        <v>228</v>
      </c>
      <c r="D1296" s="10">
        <v>6</v>
      </c>
      <c r="E1296" s="10">
        <v>165</v>
      </c>
      <c r="F1296" s="10" t="s">
        <v>713</v>
      </c>
      <c r="G1296" s="10" t="s">
        <v>696</v>
      </c>
      <c r="H1296" s="10" t="str" cm="1">
        <f t="array" aca="1" ref="H1296" ca="1">IF(INDEX(I1296:Z1296,$H$1)=0,"",INDEX(I1296:Z1296,$H$1))</f>
        <v>Adjustment</v>
      </c>
      <c r="I1296" s="10" t="s">
        <v>334</v>
      </c>
      <c r="J1296" s="10" t="s">
        <v>911</v>
      </c>
      <c r="K1296" s="27" t="s">
        <v>1652</v>
      </c>
    </row>
    <row r="1297" spans="1:11" x14ac:dyDescent="0.35">
      <c r="A1297" s="10" t="s">
        <v>1284</v>
      </c>
      <c r="B1297" s="255">
        <v>8</v>
      </c>
      <c r="C1297" s="10" t="s">
        <v>228</v>
      </c>
      <c r="D1297" s="10">
        <v>6</v>
      </c>
      <c r="E1297" s="10">
        <v>165</v>
      </c>
      <c r="F1297" s="10" t="s">
        <v>772</v>
      </c>
      <c r="G1297" s="10" t="s">
        <v>696</v>
      </c>
      <c r="H1297" s="10" t="str" cm="1">
        <f t="array" aca="1" ref="H1297" ca="1">IF(INDEX(I1297:Z1297,$H$1)=0,"",INDEX(I1297:Z1297,$H$1))</f>
        <v>Emission Factor</v>
      </c>
      <c r="I1297" s="10" t="s">
        <v>145</v>
      </c>
      <c r="J1297" s="10" t="s">
        <v>910</v>
      </c>
      <c r="K1297" s="27" t="s">
        <v>1583</v>
      </c>
    </row>
    <row r="1298" spans="1:11" x14ac:dyDescent="0.35">
      <c r="A1298" s="10" t="s">
        <v>1284</v>
      </c>
      <c r="B1298" s="255">
        <v>8</v>
      </c>
      <c r="C1298" s="10" t="s">
        <v>228</v>
      </c>
      <c r="D1298" s="10">
        <v>6</v>
      </c>
      <c r="E1298" s="10">
        <v>165</v>
      </c>
      <c r="F1298" s="10" t="s">
        <v>594</v>
      </c>
      <c r="G1298" s="10" t="s">
        <v>696</v>
      </c>
      <c r="H1298" s="10" t="str" cm="1">
        <f t="array" aca="1" ref="H1298" ca="1">IF(INDEX(I1298:Z1298,$H$1)=0,"",INDEX(I1298:Z1298,$H$1))</f>
        <v>Frequency</v>
      </c>
      <c r="I1298" s="10" t="s">
        <v>143</v>
      </c>
      <c r="J1298" s="10" t="s">
        <v>908</v>
      </c>
      <c r="K1298" s="27" t="s">
        <v>1650</v>
      </c>
    </row>
    <row r="1299" spans="1:11" x14ac:dyDescent="0.35">
      <c r="A1299" s="10" t="s">
        <v>1284</v>
      </c>
      <c r="B1299" s="255">
        <v>8</v>
      </c>
      <c r="C1299" s="10" t="s">
        <v>228</v>
      </c>
      <c r="D1299" s="10">
        <v>6</v>
      </c>
      <c r="E1299" s="10">
        <v>165</v>
      </c>
      <c r="F1299" s="10" t="s">
        <v>775</v>
      </c>
      <c r="G1299" s="10" t="s">
        <v>696</v>
      </c>
      <c r="H1299" s="10" t="str" cm="1">
        <f t="array" aca="1" ref="H1299" ca="1">IF(INDEX(I1299:Z1299,$H$1)=0,"",INDEX(I1299:Z1299,$H$1))</f>
        <v>Modification</v>
      </c>
      <c r="I1299" s="10" t="s">
        <v>168</v>
      </c>
      <c r="J1299" s="10" t="s">
        <v>912</v>
      </c>
      <c r="K1299" s="27" t="s">
        <v>1653</v>
      </c>
    </row>
    <row r="1300" spans="1:11" x14ac:dyDescent="0.35">
      <c r="A1300" s="10" t="s">
        <v>1284</v>
      </c>
      <c r="B1300" s="255">
        <v>8</v>
      </c>
      <c r="C1300" s="10" t="s">
        <v>228</v>
      </c>
      <c r="D1300" s="10">
        <v>6</v>
      </c>
      <c r="E1300" s="10">
        <v>165</v>
      </c>
      <c r="F1300" s="10" t="s">
        <v>777</v>
      </c>
      <c r="G1300" s="10" t="s">
        <v>696</v>
      </c>
      <c r="H1300" s="10" t="str" cm="1">
        <f t="array" aca="1" ref="H1300" ca="1">IF(INDEX(I1300:Z1300,$H$1)=0,"",INDEX(I1300:Z1300,$H$1))</f>
        <v xml:space="preserve">Percent of </v>
      </c>
      <c r="I1300" s="10" t="s">
        <v>169</v>
      </c>
      <c r="J1300" s="10" t="s">
        <v>913</v>
      </c>
      <c r="K1300" s="27" t="s">
        <v>1654</v>
      </c>
    </row>
    <row r="1301" spans="1:11" x14ac:dyDescent="0.35">
      <c r="A1301" s="10" t="s">
        <v>1284</v>
      </c>
      <c r="B1301" s="255">
        <v>8</v>
      </c>
      <c r="C1301" s="10" t="s">
        <v>228</v>
      </c>
      <c r="D1301" s="10">
        <v>6</v>
      </c>
      <c r="E1301" s="10">
        <v>165</v>
      </c>
      <c r="F1301" s="10" t="s">
        <v>718</v>
      </c>
      <c r="G1301" s="10" t="s">
        <v>696</v>
      </c>
      <c r="H1301" s="10" t="str" cm="1">
        <f t="array" aca="1" ref="H1301" ca="1">IF(INDEX(I1301:Z1301,$H$1)=0,"",INDEX(I1301:Z1301,$H$1))</f>
        <v>Control Factor</v>
      </c>
      <c r="I1301" s="10" t="s">
        <v>170</v>
      </c>
      <c r="J1301" s="10" t="s">
        <v>914</v>
      </c>
      <c r="K1301" s="27" t="s">
        <v>1655</v>
      </c>
    </row>
    <row r="1302" spans="1:11" x14ac:dyDescent="0.35">
      <c r="A1302" s="10" t="s">
        <v>1284</v>
      </c>
      <c r="B1302" s="255">
        <v>8</v>
      </c>
      <c r="C1302" s="10" t="s">
        <v>228</v>
      </c>
      <c r="D1302" s="10">
        <v>6</v>
      </c>
      <c r="E1302" s="10">
        <v>166</v>
      </c>
      <c r="F1302" s="10" t="s">
        <v>692</v>
      </c>
      <c r="G1302" s="10" t="s">
        <v>696</v>
      </c>
      <c r="H1302" s="10" t="str" cm="1">
        <f t="array" aca="1" ref="H1302" ca="1">IF(INDEX(I1302:Z1302,$H$1)=0,"",INDEX(I1302:Z1302,$H$1))</f>
        <v>(%)</v>
      </c>
      <c r="I1302" s="10" t="s">
        <v>146</v>
      </c>
      <c r="J1302" s="10" t="s">
        <v>146</v>
      </c>
      <c r="K1302" s="27" t="s">
        <v>146</v>
      </c>
    </row>
    <row r="1303" spans="1:11" x14ac:dyDescent="0.35">
      <c r="A1303" s="10" t="s">
        <v>1284</v>
      </c>
      <c r="B1303" s="255">
        <v>8</v>
      </c>
      <c r="C1303" s="10" t="s">
        <v>228</v>
      </c>
      <c r="D1303" s="10">
        <v>6</v>
      </c>
      <c r="E1303" s="10">
        <v>166</v>
      </c>
      <c r="F1303" s="10" t="s">
        <v>591</v>
      </c>
      <c r="G1303" s="10" t="s">
        <v>696</v>
      </c>
      <c r="H1303" s="10" t="str" cm="1">
        <f t="array" aca="1" ref="H1303" ca="1">IF(INDEX(I1303:Z1303,$H$1)=0,"",INDEX(I1303:Z1303,$H$1))</f>
        <v>(%)</v>
      </c>
      <c r="I1303" s="10" t="s">
        <v>146</v>
      </c>
      <c r="J1303" s="10" t="s">
        <v>146</v>
      </c>
      <c r="K1303" s="27" t="s">
        <v>146</v>
      </c>
    </row>
    <row r="1304" spans="1:11" x14ac:dyDescent="0.35">
      <c r="A1304" s="10" t="s">
        <v>1284</v>
      </c>
      <c r="B1304" s="255">
        <v>8</v>
      </c>
      <c r="C1304" s="10" t="s">
        <v>228</v>
      </c>
      <c r="D1304" s="10">
        <v>6</v>
      </c>
      <c r="E1304" s="10">
        <v>166</v>
      </c>
      <c r="F1304" s="10" t="s">
        <v>712</v>
      </c>
      <c r="G1304" s="10" t="s">
        <v>696</v>
      </c>
      <c r="H1304" s="10" t="str" cm="1">
        <f t="array" aca="1" ref="H1304" ca="1">IF(INDEX(I1304:Z1304,$H$1)=0,"",INDEX(I1304:Z1304,$H$1))</f>
        <v>(kg/h/source)</v>
      </c>
      <c r="I1304" s="10" t="s">
        <v>144</v>
      </c>
      <c r="J1304" s="10" t="s">
        <v>909</v>
      </c>
      <c r="K1304" s="27" t="s">
        <v>1651</v>
      </c>
    </row>
    <row r="1305" spans="1:11" x14ac:dyDescent="0.35">
      <c r="A1305" s="10" t="s">
        <v>1284</v>
      </c>
      <c r="B1305" s="255">
        <v>8</v>
      </c>
      <c r="C1305" s="10" t="s">
        <v>228</v>
      </c>
      <c r="D1305" s="10">
        <v>6</v>
      </c>
      <c r="E1305" s="10">
        <v>166</v>
      </c>
      <c r="F1305" s="10" t="s">
        <v>713</v>
      </c>
      <c r="G1305" s="10" t="s">
        <v>696</v>
      </c>
      <c r="H1305" s="10" t="str" cm="1">
        <f t="array" aca="1" ref="H1305" ca="1">IF(INDEX(I1305:Z1305,$H$1)=0,"",INDEX(I1305:Z1305,$H$1))</f>
        <v>(%)</v>
      </c>
      <c r="I1305" s="10" t="s">
        <v>146</v>
      </c>
      <c r="J1305" s="10" t="s">
        <v>146</v>
      </c>
      <c r="K1305" s="27" t="s">
        <v>146</v>
      </c>
    </row>
    <row r="1306" spans="1:11" x14ac:dyDescent="0.35">
      <c r="A1306" s="10" t="s">
        <v>1284</v>
      </c>
      <c r="B1306" s="255">
        <v>8</v>
      </c>
      <c r="C1306" s="10" t="s">
        <v>228</v>
      </c>
      <c r="D1306" s="10">
        <v>6</v>
      </c>
      <c r="E1306" s="10">
        <v>166</v>
      </c>
      <c r="F1306" s="10" t="s">
        <v>772</v>
      </c>
      <c r="G1306" s="10" t="s">
        <v>696</v>
      </c>
      <c r="H1306" s="10" t="str" cm="1">
        <f t="array" aca="1" ref="H1306" ca="1">IF(INDEX(I1306:Z1306,$H$1)=0,"",INDEX(I1306:Z1306,$H$1))</f>
        <v>(kg/h/source)</v>
      </c>
      <c r="I1306" s="10" t="s">
        <v>144</v>
      </c>
      <c r="J1306" s="10" t="s">
        <v>909</v>
      </c>
      <c r="K1306" s="27" t="s">
        <v>1651</v>
      </c>
    </row>
    <row r="1307" spans="1:11" x14ac:dyDescent="0.35">
      <c r="A1307" s="10" t="s">
        <v>1284</v>
      </c>
      <c r="B1307" s="255">
        <v>8</v>
      </c>
      <c r="C1307" s="10" t="s">
        <v>228</v>
      </c>
      <c r="D1307" s="10">
        <v>6</v>
      </c>
      <c r="E1307" s="10">
        <v>166</v>
      </c>
      <c r="F1307" s="10" t="s">
        <v>773</v>
      </c>
      <c r="G1307" s="10" t="s">
        <v>696</v>
      </c>
      <c r="H1307" s="10" t="str" cm="1">
        <f t="array" aca="1" ref="H1307" ca="1">IF(INDEX(I1307:Z1307,$H$1)=0,"",INDEX(I1307:Z1307,$H$1))</f>
        <v>(Nm3/h/source)</v>
      </c>
      <c r="I1307" s="10" t="s">
        <v>896</v>
      </c>
      <c r="J1307" s="10" t="s">
        <v>915</v>
      </c>
      <c r="K1307" s="27" t="s">
        <v>1656</v>
      </c>
    </row>
    <row r="1308" spans="1:11" x14ac:dyDescent="0.35">
      <c r="A1308" s="10" t="s">
        <v>1284</v>
      </c>
      <c r="B1308" s="255">
        <v>8</v>
      </c>
      <c r="C1308" s="10" t="s">
        <v>228</v>
      </c>
      <c r="D1308" s="10">
        <v>6</v>
      </c>
      <c r="E1308" s="10">
        <v>166</v>
      </c>
      <c r="F1308" s="10" t="s">
        <v>771</v>
      </c>
      <c r="G1308" s="10" t="s">
        <v>696</v>
      </c>
      <c r="H1308" s="10" t="str" cm="1">
        <f t="array" aca="1" ref="H1308" ca="1">IF(INDEX(I1308:Z1308,$H$1)=0,"",INDEX(I1308:Z1308,$H$1))</f>
        <v>(Nm3 CH4/h/source)</v>
      </c>
      <c r="I1308" s="10" t="s">
        <v>897</v>
      </c>
      <c r="J1308" s="10" t="s">
        <v>916</v>
      </c>
      <c r="K1308" s="27" t="s">
        <v>1657</v>
      </c>
    </row>
    <row r="1309" spans="1:11" x14ac:dyDescent="0.35">
      <c r="A1309" s="10" t="s">
        <v>1284</v>
      </c>
      <c r="B1309" s="255">
        <v>8</v>
      </c>
      <c r="C1309" s="10" t="s">
        <v>228</v>
      </c>
      <c r="D1309" s="10">
        <v>6</v>
      </c>
      <c r="E1309" s="10">
        <v>166</v>
      </c>
      <c r="F1309" s="10" t="s">
        <v>594</v>
      </c>
      <c r="G1309" s="10" t="s">
        <v>696</v>
      </c>
      <c r="H1309" s="10" t="str" cm="1">
        <f t="array" aca="1" ref="H1309" ca="1">IF(INDEX(I1309:Z1309,$H$1)=0,"",INDEX(I1309:Z1309,$H$1))</f>
        <v>(%)</v>
      </c>
      <c r="I1309" s="10" t="s">
        <v>146</v>
      </c>
      <c r="J1309" s="10" t="s">
        <v>146</v>
      </c>
      <c r="K1309" s="27" t="s">
        <v>146</v>
      </c>
    </row>
    <row r="1310" spans="1:11" x14ac:dyDescent="0.35">
      <c r="A1310" s="10" t="s">
        <v>1284</v>
      </c>
      <c r="B1310" s="255">
        <v>8</v>
      </c>
      <c r="C1310" s="10" t="s">
        <v>228</v>
      </c>
      <c r="D1310" s="10">
        <v>6</v>
      </c>
      <c r="E1310" s="10">
        <v>166</v>
      </c>
      <c r="F1310" s="10" t="s">
        <v>777</v>
      </c>
      <c r="G1310" s="10" t="s">
        <v>696</v>
      </c>
      <c r="H1310" s="10" t="str" cm="1">
        <f t="array" aca="1" ref="H1310" ca="1">IF(INDEX(I1310:Z1310,$H$1)=0,"",INDEX(I1310:Z1310,$H$1))</f>
        <v>Components Controlled</v>
      </c>
      <c r="I1310" s="10" t="s">
        <v>183</v>
      </c>
      <c r="J1310" s="10" t="s">
        <v>1210</v>
      </c>
      <c r="K1310" s="27" t="s">
        <v>1658</v>
      </c>
    </row>
    <row r="1311" spans="1:11" x14ac:dyDescent="0.35">
      <c r="A1311" s="10" t="s">
        <v>1284</v>
      </c>
      <c r="B1311" s="255">
        <v>8</v>
      </c>
      <c r="C1311" s="10" t="s">
        <v>228</v>
      </c>
      <c r="D1311" s="10">
        <v>6</v>
      </c>
      <c r="E1311" s="10">
        <v>166</v>
      </c>
      <c r="F1311" s="10" t="s">
        <v>718</v>
      </c>
      <c r="G1311" s="10" t="s">
        <v>696</v>
      </c>
      <c r="H1311" s="10" t="str" cm="1">
        <f t="array" aca="1" ref="H1311" ca="1">IF(INDEX(I1311:Z1311,$H$1)=0,"",INDEX(I1311:Z1311,$H$1))</f>
        <v>(%)</v>
      </c>
      <c r="I1311" s="10" t="s">
        <v>146</v>
      </c>
      <c r="J1311" s="10" t="s">
        <v>146</v>
      </c>
      <c r="K1311" s="27" t="s">
        <v>146</v>
      </c>
    </row>
    <row r="1312" spans="1:11" x14ac:dyDescent="0.35">
      <c r="A1312" s="10" t="s">
        <v>1284</v>
      </c>
      <c r="B1312" s="255">
        <v>8</v>
      </c>
      <c r="C1312" s="10" t="s">
        <v>228</v>
      </c>
      <c r="D1312" s="10">
        <v>6</v>
      </c>
      <c r="E1312" s="10">
        <v>167</v>
      </c>
      <c r="F1312" s="10" t="s">
        <v>692</v>
      </c>
      <c r="G1312" s="10" t="s">
        <v>696</v>
      </c>
      <c r="H1312" s="10" t="str" cm="1">
        <f t="array" aca="1" ref="H1312" ca="1">IF(INDEX(I1312:Z1312,$H$1)=0,"",INDEX(I1312:Z1312,$H$1))</f>
        <v>Calculated (use as default)</v>
      </c>
      <c r="I1312" s="10" t="s">
        <v>147</v>
      </c>
      <c r="J1312" s="10" t="s">
        <v>917</v>
      </c>
      <c r="K1312" s="27" t="s">
        <v>1659</v>
      </c>
    </row>
    <row r="1313" spans="1:11" x14ac:dyDescent="0.35">
      <c r="A1313" s="10" t="s">
        <v>1284</v>
      </c>
      <c r="B1313" s="255">
        <v>8</v>
      </c>
      <c r="C1313" s="10" t="s">
        <v>228</v>
      </c>
      <c r="D1313" s="10">
        <v>6</v>
      </c>
      <c r="E1313" s="10">
        <v>167</v>
      </c>
      <c r="F1313" s="10" t="s">
        <v>712</v>
      </c>
      <c r="G1313" s="10" t="s">
        <v>696</v>
      </c>
      <c r="H1313" s="10" t="str" cm="1">
        <f t="array" aca="1" ref="H1313" ca="1">IF(INDEX(I1313:Z1313,$H$1)=0,"",INDEX(I1313:Z1313,$H$1))</f>
        <v>Calculated based on Leak, No-Leak factors and adjustable leak frequency</v>
      </c>
      <c r="I1313" s="10" t="s">
        <v>150</v>
      </c>
      <c r="J1313" s="10" t="s">
        <v>920</v>
      </c>
      <c r="K1313" s="27" t="s">
        <v>1662</v>
      </c>
    </row>
    <row r="1314" spans="1:11" x14ac:dyDescent="0.35">
      <c r="A1314" s="10" t="s">
        <v>1284</v>
      </c>
      <c r="B1314" s="255">
        <v>8</v>
      </c>
      <c r="C1314" s="10" t="s">
        <v>228</v>
      </c>
      <c r="D1314" s="10">
        <v>6</v>
      </c>
      <c r="E1314" s="10">
        <v>167</v>
      </c>
      <c r="F1314" s="10" t="s">
        <v>772</v>
      </c>
      <c r="G1314" s="10" t="s">
        <v>696</v>
      </c>
      <c r="H1314" s="10" t="str" cm="1">
        <f t="array" aca="1" ref="H1314" ca="1">IF(INDEX(I1314:Z1314,$H$1)=0,"",INDEX(I1314:Z1314,$H$1))</f>
        <v>Calculated based on uncontrolled factors and adjustable control factor</v>
      </c>
      <c r="I1314" s="10" t="s">
        <v>151</v>
      </c>
      <c r="J1314" s="10" t="s">
        <v>1206</v>
      </c>
      <c r="K1314" s="27" t="s">
        <v>1663</v>
      </c>
    </row>
    <row r="1315" spans="1:11" x14ac:dyDescent="0.35">
      <c r="A1315" s="10" t="s">
        <v>1284</v>
      </c>
      <c r="B1315" s="255">
        <v>8</v>
      </c>
      <c r="C1315" s="10" t="s">
        <v>228</v>
      </c>
      <c r="D1315" s="10">
        <v>6</v>
      </c>
      <c r="E1315" s="10">
        <v>167</v>
      </c>
      <c r="F1315" s="10" t="s">
        <v>773</v>
      </c>
      <c r="G1315" s="10" t="s">
        <v>696</v>
      </c>
      <c r="H1315" s="10" t="str" cm="1">
        <f t="array" aca="1" ref="H1315" ca="1">IF(INDEX(I1315:Z1315,$H$1)=0,"",INDEX(I1315:Z1315,$H$1))</f>
        <v>Calculated based on uncontrolled factors and adjustable control factor</v>
      </c>
      <c r="I1315" s="10" t="s">
        <v>151</v>
      </c>
      <c r="J1315" s="10" t="s">
        <v>1206</v>
      </c>
      <c r="K1315" s="27" t="s">
        <v>1663</v>
      </c>
    </row>
    <row r="1316" spans="1:11" x14ac:dyDescent="0.35">
      <c r="A1316" s="10" t="s">
        <v>1284</v>
      </c>
      <c r="B1316" s="255">
        <v>8</v>
      </c>
      <c r="C1316" s="10" t="s">
        <v>228</v>
      </c>
      <c r="D1316" s="10">
        <v>6</v>
      </c>
      <c r="E1316" s="10">
        <v>167</v>
      </c>
      <c r="F1316" s="10" t="s">
        <v>771</v>
      </c>
      <c r="G1316" s="10" t="s">
        <v>696</v>
      </c>
      <c r="H1316" s="10" t="str" cm="1">
        <f t="array" aca="1" ref="H1316" ca="1">IF(INDEX(I1316:Z1316,$H$1)=0,"",INDEX(I1316:Z1316,$H$1))</f>
        <v>Calculated based on uncontrolled factors and adjustable control factor</v>
      </c>
      <c r="I1316" s="10" t="s">
        <v>151</v>
      </c>
      <c r="J1316" s="10" t="s">
        <v>1206</v>
      </c>
      <c r="K1316" s="27" t="s">
        <v>1663</v>
      </c>
    </row>
    <row r="1317" spans="1:11" x14ac:dyDescent="0.35">
      <c r="A1317" s="10" t="s">
        <v>1284</v>
      </c>
      <c r="B1317" s="255">
        <v>8</v>
      </c>
      <c r="C1317" s="10" t="s">
        <v>228</v>
      </c>
      <c r="D1317" s="10">
        <v>6</v>
      </c>
      <c r="E1317" s="10">
        <v>167</v>
      </c>
      <c r="F1317" s="10" t="s">
        <v>594</v>
      </c>
      <c r="G1317" s="10" t="s">
        <v>696</v>
      </c>
      <c r="H1317" s="10" t="str" cm="1">
        <f t="array" aca="1" ref="H1317" ca="1">IF(INDEX(I1317:Z1317,$H$1)=0,"",INDEX(I1317:Z1317,$H$1))</f>
        <v>Adjustable Input (Assume to be zero if not entered)</v>
      </c>
      <c r="I1317" s="10" t="s">
        <v>152</v>
      </c>
      <c r="J1317" s="10" t="s">
        <v>921</v>
      </c>
      <c r="K1317" s="27" t="s">
        <v>1664</v>
      </c>
    </row>
    <row r="1318" spans="1:11" x14ac:dyDescent="0.35">
      <c r="A1318" s="10" t="s">
        <v>1284</v>
      </c>
      <c r="B1318" s="255">
        <v>8</v>
      </c>
      <c r="C1318" s="10" t="s">
        <v>228</v>
      </c>
      <c r="D1318" s="10">
        <v>6</v>
      </c>
      <c r="E1318" s="10">
        <v>167</v>
      </c>
      <c r="F1318" s="10" t="s">
        <v>775</v>
      </c>
      <c r="G1318" s="10" t="s">
        <v>696</v>
      </c>
      <c r="H1318" s="10" t="str" cm="1">
        <f t="array" aca="1" ref="H1318" ca="1">IF(INDEX(I1318:Z1318,$H$1)=0,"",INDEX(I1318:Z1318,$H$1))</f>
        <v>Adjustable Input (Assume to be zero if not entered)</v>
      </c>
      <c r="I1318" s="10" t="s">
        <v>152</v>
      </c>
      <c r="J1318" s="10" t="s">
        <v>921</v>
      </c>
      <c r="K1318" s="27" t="s">
        <v>1664</v>
      </c>
    </row>
    <row r="1319" spans="1:11" x14ac:dyDescent="0.35">
      <c r="A1319" s="10" t="s">
        <v>1284</v>
      </c>
      <c r="B1319" s="255">
        <v>8</v>
      </c>
      <c r="C1319" s="10" t="s">
        <v>228</v>
      </c>
      <c r="D1319" s="10">
        <v>6</v>
      </c>
      <c r="E1319" s="10">
        <v>167</v>
      </c>
      <c r="F1319" s="10" t="s">
        <v>777</v>
      </c>
      <c r="G1319" s="10" t="s">
        <v>696</v>
      </c>
      <c r="H1319" s="10" t="str" cm="1">
        <f t="array" aca="1" ref="H1319" ca="1">IF(INDEX(I1319:Z1319,$H$1)=0,"",INDEX(I1319:Z1319,$H$1))</f>
        <v>Adjustable Input (Assume to be zero if not entered)</v>
      </c>
      <c r="I1319" s="10" t="s">
        <v>152</v>
      </c>
      <c r="J1319" s="10" t="s">
        <v>921</v>
      </c>
      <c r="K1319" s="27" t="s">
        <v>1664</v>
      </c>
    </row>
    <row r="1320" spans="1:11" x14ac:dyDescent="0.35">
      <c r="A1320" s="10" t="s">
        <v>1284</v>
      </c>
      <c r="B1320" s="255">
        <v>8</v>
      </c>
      <c r="C1320" s="10" t="s">
        <v>228</v>
      </c>
      <c r="D1320" s="10">
        <v>6</v>
      </c>
      <c r="E1320" s="10">
        <v>167</v>
      </c>
      <c r="F1320" s="10" t="s">
        <v>718</v>
      </c>
      <c r="G1320" s="10" t="s">
        <v>696</v>
      </c>
      <c r="H1320" s="10" t="str" cm="1">
        <f t="array" aca="1" ref="H1320" ca="1">IF(INDEX(I1320:Z1320,$H$1)=0,"",INDEX(I1320:Z1320,$H$1))</f>
        <v>Determined from Lookup Table</v>
      </c>
      <c r="I1320" s="10" t="s">
        <v>247</v>
      </c>
      <c r="J1320" s="10" t="s">
        <v>922</v>
      </c>
      <c r="K1320" s="27" t="s">
        <v>1668</v>
      </c>
    </row>
    <row r="1321" spans="1:11" x14ac:dyDescent="0.35">
      <c r="A1321" s="10" t="s">
        <v>1284</v>
      </c>
      <c r="B1321" s="255">
        <v>8</v>
      </c>
      <c r="C1321" s="10" t="s">
        <v>228</v>
      </c>
      <c r="D1321" s="10">
        <v>6</v>
      </c>
      <c r="E1321" s="10">
        <v>168</v>
      </c>
      <c r="F1321" s="10" t="s">
        <v>38</v>
      </c>
      <c r="G1321" s="10" t="s">
        <v>695</v>
      </c>
      <c r="H1321" s="10" t="str" cm="1">
        <f t="array" aca="1" ref="H1321" ca="1">IF(INDEX(I1321:Z1321,$H$1)=0,"",INDEX(I1321:Z1321,$H$1))</f>
        <v>Gas</v>
      </c>
      <c r="I1321" s="17" t="s">
        <v>154</v>
      </c>
      <c r="J1321" s="17" t="s">
        <v>864</v>
      </c>
      <c r="K1321" s="27" t="s">
        <v>154</v>
      </c>
    </row>
    <row r="1322" spans="1:11" x14ac:dyDescent="0.35">
      <c r="A1322" s="10" t="s">
        <v>1284</v>
      </c>
      <c r="B1322" s="255">
        <v>8</v>
      </c>
      <c r="C1322" s="10" t="s">
        <v>228</v>
      </c>
      <c r="D1322" s="10">
        <v>6</v>
      </c>
      <c r="E1322" s="10">
        <v>168</v>
      </c>
      <c r="F1322" s="10" t="s">
        <v>690</v>
      </c>
      <c r="G1322" s="10" t="s">
        <v>696</v>
      </c>
      <c r="H1322" s="10" t="str" cm="1">
        <f t="array" aca="1" ref="H1322" ca="1">IF(INDEX(I1322:Z1322,$H$1)=0,"",INDEX(I1322:Z1322,$H$1))</f>
        <v>Calculation Method</v>
      </c>
      <c r="I1322" s="10" t="s">
        <v>2252</v>
      </c>
      <c r="J1322" s="10" t="s">
        <v>2254</v>
      </c>
      <c r="K1322" s="27" t="s">
        <v>2253</v>
      </c>
    </row>
    <row r="1323" spans="1:11" x14ac:dyDescent="0.35">
      <c r="A1323" s="10" t="s">
        <v>1284</v>
      </c>
      <c r="B1323" s="255">
        <v>8</v>
      </c>
      <c r="C1323" s="10" t="s">
        <v>228</v>
      </c>
      <c r="D1323" s="10">
        <v>6</v>
      </c>
      <c r="E1323" s="10">
        <v>168</v>
      </c>
      <c r="F1323" s="10" t="s">
        <v>690</v>
      </c>
      <c r="G1323" s="10" t="s">
        <v>695</v>
      </c>
      <c r="H1323" s="10" t="str" cm="1">
        <f t="array" aca="1" ref="H1323" ca="1">IF(INDEX(I1323:Z1323,$H$1)=0,"",INDEX(I1323:Z1323,$H$1))</f>
        <v>Valves (All)</v>
      </c>
      <c r="I1323" s="17" t="s">
        <v>223</v>
      </c>
      <c r="J1323" s="17" t="s">
        <v>927</v>
      </c>
      <c r="K1323" s="27" t="s">
        <v>1669</v>
      </c>
    </row>
    <row r="1324" spans="1:11" x14ac:dyDescent="0.35">
      <c r="A1324" s="10" t="s">
        <v>1284</v>
      </c>
      <c r="B1324" s="255">
        <v>8</v>
      </c>
      <c r="C1324" s="10" t="s">
        <v>228</v>
      </c>
      <c r="D1324" s="10">
        <v>6</v>
      </c>
      <c r="E1324" s="10">
        <v>169</v>
      </c>
      <c r="F1324" s="10" t="s">
        <v>38</v>
      </c>
      <c r="G1324" s="10" t="s">
        <v>695</v>
      </c>
      <c r="H1324" s="10" t="str" cm="1">
        <f t="array" aca="1" ref="H1324" ca="1">IF(INDEX(I1324:Z1324,$H$1)=0,"",INDEX(I1324:Z1324,$H$1))</f>
        <v>Light Liquid</v>
      </c>
      <c r="I1324" s="17" t="s">
        <v>155</v>
      </c>
      <c r="J1324" s="17" t="s">
        <v>865</v>
      </c>
      <c r="K1324" s="27" t="s">
        <v>1540</v>
      </c>
    </row>
    <row r="1325" spans="1:11" x14ac:dyDescent="0.35">
      <c r="A1325" s="10" t="s">
        <v>1284</v>
      </c>
      <c r="B1325" s="255">
        <v>8</v>
      </c>
      <c r="C1325" s="10" t="s">
        <v>228</v>
      </c>
      <c r="D1325" s="10">
        <v>6</v>
      </c>
      <c r="E1325" s="10">
        <v>170</v>
      </c>
      <c r="F1325" s="10" t="s">
        <v>38</v>
      </c>
      <c r="G1325" s="10" t="s">
        <v>695</v>
      </c>
      <c r="H1325" s="10" t="str" cm="1">
        <f t="array" aca="1" ref="H1325" ca="1">IF(INDEX(I1325:Z1325,$H$1)=0,"",INDEX(I1325:Z1325,$H$1))</f>
        <v>Heavy Liquid</v>
      </c>
      <c r="I1325" s="17" t="s">
        <v>156</v>
      </c>
      <c r="J1325" s="17" t="s">
        <v>866</v>
      </c>
      <c r="K1325" s="27" t="s">
        <v>1541</v>
      </c>
    </row>
    <row r="1326" spans="1:11" x14ac:dyDescent="0.35">
      <c r="A1326" s="10" t="s">
        <v>1284</v>
      </c>
      <c r="B1326" s="255">
        <v>8</v>
      </c>
      <c r="C1326" s="10" t="s">
        <v>228</v>
      </c>
      <c r="D1326" s="10">
        <v>6</v>
      </c>
      <c r="E1326" s="10">
        <v>171</v>
      </c>
      <c r="F1326" s="10" t="s">
        <v>38</v>
      </c>
      <c r="G1326" s="10" t="s">
        <v>695</v>
      </c>
      <c r="H1326" s="10" t="str" cm="1">
        <f t="array" aca="1" ref="H1326" ca="1">IF(INDEX(I1326:Z1326,$H$1)=0,"",INDEX(I1326:Z1326,$H$1))</f>
        <v>Gas</v>
      </c>
      <c r="I1326" s="17" t="s">
        <v>154</v>
      </c>
      <c r="J1326" s="17" t="s">
        <v>864</v>
      </c>
      <c r="K1326" s="27" t="s">
        <v>154</v>
      </c>
    </row>
    <row r="1327" spans="1:11" x14ac:dyDescent="0.35">
      <c r="A1327" s="10" t="s">
        <v>1284</v>
      </c>
      <c r="B1327" s="255">
        <v>8</v>
      </c>
      <c r="C1327" s="10" t="s">
        <v>228</v>
      </c>
      <c r="D1327" s="10">
        <v>6</v>
      </c>
      <c r="E1327" s="10">
        <v>171</v>
      </c>
      <c r="F1327" s="10" t="s">
        <v>690</v>
      </c>
      <c r="G1327" s="10" t="s">
        <v>695</v>
      </c>
      <c r="H1327" s="10" t="str" cm="1">
        <f t="array" aca="1" ref="H1327" ca="1">IF(INDEX(I1327:Z1327,$H$1)=0,"",INDEX(I1327:Z1327,$H$1))</f>
        <v>Valves (Block)</v>
      </c>
      <c r="I1327" s="17" t="s">
        <v>221</v>
      </c>
      <c r="J1327" s="17" t="s">
        <v>853</v>
      </c>
      <c r="K1327" s="27" t="s">
        <v>1542</v>
      </c>
    </row>
    <row r="1328" spans="1:11" x14ac:dyDescent="0.35">
      <c r="A1328" s="10" t="s">
        <v>1284</v>
      </c>
      <c r="B1328" s="255">
        <v>8</v>
      </c>
      <c r="C1328" s="10" t="s">
        <v>228</v>
      </c>
      <c r="D1328" s="10">
        <v>6</v>
      </c>
      <c r="E1328" s="10">
        <v>172</v>
      </c>
      <c r="F1328" s="10" t="s">
        <v>38</v>
      </c>
      <c r="G1328" s="10" t="s">
        <v>695</v>
      </c>
      <c r="H1328" s="10" t="str" cm="1">
        <f t="array" aca="1" ref="H1328" ca="1">IF(INDEX(I1328:Z1328,$H$1)=0,"",INDEX(I1328:Z1328,$H$1))</f>
        <v>Gas</v>
      </c>
      <c r="I1328" s="17" t="s">
        <v>154</v>
      </c>
      <c r="J1328" s="17" t="s">
        <v>864</v>
      </c>
      <c r="K1328" s="27" t="s">
        <v>154</v>
      </c>
    </row>
    <row r="1329" spans="1:11" x14ac:dyDescent="0.35">
      <c r="A1329" s="10" t="s">
        <v>1284</v>
      </c>
      <c r="B1329" s="255">
        <v>8</v>
      </c>
      <c r="C1329" s="10" t="s">
        <v>228</v>
      </c>
      <c r="D1329" s="10">
        <v>6</v>
      </c>
      <c r="E1329" s="10">
        <v>172</v>
      </c>
      <c r="F1329" s="10" t="s">
        <v>690</v>
      </c>
      <c r="G1329" s="10" t="s">
        <v>695</v>
      </c>
      <c r="H1329" s="10" t="str" cm="1">
        <f t="array" aca="1" ref="H1329" ca="1">IF(INDEX(I1329:Z1329,$H$1)=0,"",INDEX(I1329:Z1329,$H$1))</f>
        <v>Valves (Control)</v>
      </c>
      <c r="I1329" s="17" t="s">
        <v>222</v>
      </c>
      <c r="J1329" s="17" t="s">
        <v>854</v>
      </c>
      <c r="K1329" s="27" t="s">
        <v>1543</v>
      </c>
    </row>
    <row r="1330" spans="1:11" x14ac:dyDescent="0.35">
      <c r="A1330" s="10" t="s">
        <v>1284</v>
      </c>
      <c r="B1330" s="255">
        <v>8</v>
      </c>
      <c r="C1330" s="10" t="s">
        <v>228</v>
      </c>
      <c r="D1330" s="10">
        <v>6</v>
      </c>
      <c r="E1330" s="10">
        <v>173</v>
      </c>
      <c r="F1330" s="10" t="s">
        <v>38</v>
      </c>
      <c r="G1330" s="10" t="s">
        <v>695</v>
      </c>
      <c r="H1330" s="10" t="str" cm="1">
        <f t="array" aca="1" ref="H1330" ca="1">IF(INDEX(I1330:Z1330,$H$1)=0,"",INDEX(I1330:Z1330,$H$1))</f>
        <v>Light Liquid</v>
      </c>
      <c r="I1330" s="17" t="s">
        <v>155</v>
      </c>
      <c r="J1330" s="17" t="s">
        <v>865</v>
      </c>
      <c r="K1330" s="27" t="s">
        <v>1540</v>
      </c>
    </row>
    <row r="1331" spans="1:11" x14ac:dyDescent="0.35">
      <c r="A1331" s="10" t="s">
        <v>1284</v>
      </c>
      <c r="B1331" s="255">
        <v>8</v>
      </c>
      <c r="C1331" s="10" t="s">
        <v>228</v>
      </c>
      <c r="D1331" s="10">
        <v>6</v>
      </c>
      <c r="E1331" s="10">
        <v>173</v>
      </c>
      <c r="F1331" s="10" t="s">
        <v>690</v>
      </c>
      <c r="G1331" s="10" t="s">
        <v>695</v>
      </c>
      <c r="H1331" s="10" t="str" cm="1">
        <f t="array" aca="1" ref="H1331" ca="1">IF(INDEX(I1331:Z1331,$H$1)=0,"",INDEX(I1331:Z1331,$H$1))</f>
        <v>Pump Seals</v>
      </c>
      <c r="I1331" s="17" t="s">
        <v>157</v>
      </c>
      <c r="J1331" s="17" t="s">
        <v>855</v>
      </c>
      <c r="K1331" s="27" t="s">
        <v>1544</v>
      </c>
    </row>
    <row r="1332" spans="1:11" x14ac:dyDescent="0.35">
      <c r="A1332" s="10" t="s">
        <v>1284</v>
      </c>
      <c r="B1332" s="255">
        <v>8</v>
      </c>
      <c r="C1332" s="10" t="s">
        <v>228</v>
      </c>
      <c r="D1332" s="10">
        <v>6</v>
      </c>
      <c r="E1332" s="10">
        <v>174</v>
      </c>
      <c r="F1332" s="10" t="s">
        <v>38</v>
      </c>
      <c r="G1332" s="10" t="s">
        <v>695</v>
      </c>
      <c r="H1332" s="10" t="str" cm="1">
        <f t="array" aca="1" ref="H1332" ca="1">IF(INDEX(I1332:Z1332,$H$1)=0,"",INDEX(I1332:Z1332,$H$1))</f>
        <v>Heavy Liquid</v>
      </c>
      <c r="I1332" s="17" t="s">
        <v>156</v>
      </c>
      <c r="J1332" s="17" t="s">
        <v>866</v>
      </c>
      <c r="K1332" s="27" t="s">
        <v>1541</v>
      </c>
    </row>
    <row r="1333" spans="1:11" x14ac:dyDescent="0.35">
      <c r="A1333" s="10" t="s">
        <v>1284</v>
      </c>
      <c r="B1333" s="255">
        <v>8</v>
      </c>
      <c r="C1333" s="10" t="s">
        <v>228</v>
      </c>
      <c r="D1333" s="10">
        <v>6</v>
      </c>
      <c r="E1333" s="10">
        <v>175</v>
      </c>
      <c r="F1333" s="10" t="s">
        <v>690</v>
      </c>
      <c r="G1333" s="10" t="s">
        <v>695</v>
      </c>
      <c r="H1333" s="10" t="str" cm="1">
        <f t="array" aca="1" ref="H1333" ca="1">IF(INDEX(I1333:Z1333,$H$1)=0,"",INDEX(I1333:Z1333,$H$1))</f>
        <v xml:space="preserve">Compressor Seals (Reciprocating - Operating) </v>
      </c>
      <c r="I1333" s="17" t="s">
        <v>229</v>
      </c>
      <c r="J1333" s="17" t="s">
        <v>1216</v>
      </c>
      <c r="K1333" s="27" t="s">
        <v>1545</v>
      </c>
    </row>
    <row r="1334" spans="1:11" x14ac:dyDescent="0.35">
      <c r="A1334" s="10" t="s">
        <v>1284</v>
      </c>
      <c r="B1334" s="255">
        <v>8</v>
      </c>
      <c r="C1334" s="10" t="s">
        <v>228</v>
      </c>
      <c r="D1334" s="10">
        <v>6</v>
      </c>
      <c r="E1334" s="10">
        <v>175</v>
      </c>
      <c r="F1334" s="10" t="s">
        <v>38</v>
      </c>
      <c r="G1334" s="10" t="s">
        <v>695</v>
      </c>
      <c r="H1334" s="10" t="str" cm="1">
        <f t="array" aca="1" ref="H1334" ca="1">IF(INDEX(I1334:Z1334,$H$1)=0,"",INDEX(I1334:Z1334,$H$1))</f>
        <v>Gas</v>
      </c>
      <c r="I1334" s="17" t="s">
        <v>154</v>
      </c>
      <c r="J1334" s="17" t="s">
        <v>864</v>
      </c>
      <c r="K1334" s="27" t="s">
        <v>154</v>
      </c>
    </row>
    <row r="1335" spans="1:11" x14ac:dyDescent="0.35">
      <c r="A1335" s="10" t="s">
        <v>1284</v>
      </c>
      <c r="B1335" s="255">
        <v>8</v>
      </c>
      <c r="C1335" s="10" t="s">
        <v>228</v>
      </c>
      <c r="D1335" s="10">
        <v>6</v>
      </c>
      <c r="E1335" s="10">
        <v>176</v>
      </c>
      <c r="F1335" s="10" t="s">
        <v>690</v>
      </c>
      <c r="G1335" s="10" t="s">
        <v>695</v>
      </c>
      <c r="H1335" s="10" t="str" cm="1">
        <f t="array" aca="1" ref="H1335" ca="1">IF(INDEX(I1335:Z1335,$H$1)=0,"",INDEX(I1335:Z1335,$H$1))</f>
        <v>Compressor Seals (Reciprocating - Standby &amp; Pressurized)</v>
      </c>
      <c r="I1335" s="17" t="s">
        <v>276</v>
      </c>
      <c r="J1335" s="17" t="s">
        <v>1217</v>
      </c>
      <c r="K1335" s="27" t="s">
        <v>1546</v>
      </c>
    </row>
    <row r="1336" spans="1:11" x14ac:dyDescent="0.35">
      <c r="A1336" s="10" t="s">
        <v>1284</v>
      </c>
      <c r="B1336" s="255">
        <v>8</v>
      </c>
      <c r="C1336" s="10" t="s">
        <v>228</v>
      </c>
      <c r="D1336" s="10">
        <v>6</v>
      </c>
      <c r="E1336" s="10">
        <v>176</v>
      </c>
      <c r="F1336" s="10" t="s">
        <v>38</v>
      </c>
      <c r="G1336" s="10" t="s">
        <v>695</v>
      </c>
      <c r="H1336" s="10" t="str" cm="1">
        <f t="array" aca="1" ref="H1336" ca="1">IF(INDEX(I1336:Z1336,$H$1)=0,"",INDEX(I1336:Z1336,$H$1))</f>
        <v>Gas</v>
      </c>
      <c r="I1336" s="17" t="s">
        <v>154</v>
      </c>
      <c r="J1336" s="17" t="s">
        <v>864</v>
      </c>
      <c r="K1336" s="27" t="s">
        <v>154</v>
      </c>
    </row>
    <row r="1337" spans="1:11" x14ac:dyDescent="0.35">
      <c r="A1337" s="10" t="s">
        <v>1284</v>
      </c>
      <c r="B1337" s="255">
        <v>8</v>
      </c>
      <c r="C1337" s="10" t="s">
        <v>228</v>
      </c>
      <c r="D1337" s="10">
        <v>6</v>
      </c>
      <c r="E1337" s="10">
        <v>177</v>
      </c>
      <c r="F1337" s="10" t="s">
        <v>690</v>
      </c>
      <c r="G1337" s="10" t="s">
        <v>695</v>
      </c>
      <c r="H1337" s="10" t="str" cm="1">
        <f t="array" aca="1" ref="H1337" ca="1">IF(INDEX(I1337:Z1337,$H$1)=0,"",INDEX(I1337:Z1337,$H$1))</f>
        <v>Compressor Seals (Reciprocating - Depressurized)</v>
      </c>
      <c r="I1337" s="17" t="s">
        <v>277</v>
      </c>
      <c r="J1337" s="17" t="s">
        <v>1215</v>
      </c>
      <c r="K1337" s="27" t="s">
        <v>1547</v>
      </c>
    </row>
    <row r="1338" spans="1:11" x14ac:dyDescent="0.35">
      <c r="A1338" s="10" t="s">
        <v>1284</v>
      </c>
      <c r="B1338" s="255">
        <v>8</v>
      </c>
      <c r="C1338" s="10" t="s">
        <v>228</v>
      </c>
      <c r="D1338" s="10">
        <v>6</v>
      </c>
      <c r="E1338" s="10">
        <v>177</v>
      </c>
      <c r="F1338" s="10" t="s">
        <v>38</v>
      </c>
      <c r="G1338" s="10" t="s">
        <v>695</v>
      </c>
      <c r="H1338" s="10" t="str" cm="1">
        <f t="array" aca="1" ref="H1338" ca="1">IF(INDEX(I1338:Z1338,$H$1)=0,"",INDEX(I1338:Z1338,$H$1))</f>
        <v>Compressor Wet Seals (Centrifugal - Operating)</v>
      </c>
      <c r="I1338" s="17" t="s">
        <v>3213</v>
      </c>
      <c r="J1338" s="17"/>
      <c r="K1338" s="27"/>
    </row>
    <row r="1339" spans="1:11" x14ac:dyDescent="0.35">
      <c r="A1339" s="10" t="s">
        <v>1284</v>
      </c>
      <c r="B1339" s="255">
        <v>8</v>
      </c>
      <c r="C1339" s="10" t="s">
        <v>228</v>
      </c>
      <c r="D1339" s="10">
        <v>6</v>
      </c>
      <c r="E1339" s="10">
        <v>178</v>
      </c>
      <c r="F1339" s="10" t="s">
        <v>690</v>
      </c>
      <c r="G1339" s="10" t="s">
        <v>695</v>
      </c>
      <c r="H1339" s="10" t="str" cm="1">
        <f t="array" aca="1" ref="H1339" ca="1">IF(INDEX(I1339:Z1339,$H$1)=0,"",INDEX(I1339:Z1339,$H$1))</f>
        <v>Compressor Wet Seals (Centrifugal - Standby &amp; Pressurized)</v>
      </c>
      <c r="I1339" s="17" t="s">
        <v>3215</v>
      </c>
      <c r="J1339" s="17"/>
      <c r="K1339" s="27"/>
    </row>
    <row r="1340" spans="1:11" x14ac:dyDescent="0.35">
      <c r="A1340" s="10" t="s">
        <v>1284</v>
      </c>
      <c r="B1340" s="255">
        <v>8</v>
      </c>
      <c r="C1340" s="10" t="s">
        <v>228</v>
      </c>
      <c r="D1340" s="10">
        <v>6</v>
      </c>
      <c r="E1340" s="10">
        <v>178</v>
      </c>
      <c r="F1340" s="10" t="s">
        <v>38</v>
      </c>
      <c r="G1340" s="10" t="s">
        <v>695</v>
      </c>
      <c r="H1340" s="10" t="str" cm="1">
        <f t="array" aca="1" ref="H1340" ca="1">IF(INDEX(I1340:Z1340,$H$1)=0,"",INDEX(I1340:Z1340,$H$1))</f>
        <v>Compressor Wet Seals (Centrifugal - Depressurized)</v>
      </c>
      <c r="I1340" s="17" t="s">
        <v>3216</v>
      </c>
      <c r="J1340" s="17"/>
      <c r="K1340" s="27"/>
    </row>
    <row r="1341" spans="1:11" x14ac:dyDescent="0.35">
      <c r="A1341" s="10" t="s">
        <v>1284</v>
      </c>
      <c r="B1341" s="255">
        <v>8</v>
      </c>
      <c r="C1341" s="10" t="s">
        <v>228</v>
      </c>
      <c r="D1341" s="10">
        <v>6</v>
      </c>
      <c r="E1341" s="10">
        <v>179</v>
      </c>
      <c r="F1341" s="10" t="s">
        <v>690</v>
      </c>
      <c r="G1341" s="10" t="s">
        <v>695</v>
      </c>
      <c r="H1341" s="10" t="str" cm="1">
        <f t="array" aca="1" ref="H1341" ca="1">IF(INDEX(I1341:Z1341,$H$1)=0,"",INDEX(I1341:Z1341,$H$1))</f>
        <v>Compressor Dry Seals (Centrifugal - Operating)</v>
      </c>
      <c r="I1341" s="17" t="s">
        <v>3217</v>
      </c>
      <c r="J1341" s="17"/>
      <c r="K1341" s="27"/>
    </row>
    <row r="1342" spans="1:11" x14ac:dyDescent="0.35">
      <c r="A1342" s="10" t="s">
        <v>1284</v>
      </c>
      <c r="B1342" s="255">
        <v>8</v>
      </c>
      <c r="C1342" s="10" t="s">
        <v>228</v>
      </c>
      <c r="D1342" s="10">
        <v>6</v>
      </c>
      <c r="E1342" s="10">
        <v>179</v>
      </c>
      <c r="F1342" s="10" t="s">
        <v>38</v>
      </c>
      <c r="G1342" s="10" t="s">
        <v>695</v>
      </c>
      <c r="H1342" s="10" t="str" cm="1">
        <f t="array" aca="1" ref="H1342" ca="1">IF(INDEX(I1342:Z1342,$H$1)=0,"",INDEX(I1342:Z1342,$H$1))</f>
        <v>Compressor Dry Seals (Centrifugal - Standby &amp; Pressurized)</v>
      </c>
      <c r="I1342" s="17" t="s">
        <v>3214</v>
      </c>
      <c r="J1342" s="17"/>
      <c r="K1342" s="27"/>
    </row>
    <row r="1343" spans="1:11" x14ac:dyDescent="0.35">
      <c r="A1343" s="10" t="s">
        <v>1284</v>
      </c>
      <c r="B1343" s="255">
        <v>8</v>
      </c>
      <c r="C1343" s="10" t="s">
        <v>228</v>
      </c>
      <c r="D1343" s="10">
        <v>6</v>
      </c>
      <c r="E1343" s="10">
        <v>180</v>
      </c>
      <c r="F1343" s="10" t="s">
        <v>690</v>
      </c>
      <c r="G1343" s="10" t="s">
        <v>695</v>
      </c>
      <c r="H1343" s="10" t="str" cm="1">
        <f t="array" aca="1" ref="H1343" ca="1">IF(INDEX(I1343:Z1343,$H$1)=0,"",INDEX(I1343:Z1343,$H$1))</f>
        <v>Compressor Dry Seals (Centrifugal - Depressurized)</v>
      </c>
      <c r="I1343" s="17" t="s">
        <v>3218</v>
      </c>
      <c r="J1343" s="17"/>
      <c r="K1343" s="27"/>
    </row>
    <row r="1344" spans="1:11" x14ac:dyDescent="0.35">
      <c r="A1344" s="10" t="s">
        <v>1284</v>
      </c>
      <c r="B1344" s="255">
        <v>8</v>
      </c>
      <c r="C1344" s="10" t="s">
        <v>228</v>
      </c>
      <c r="D1344" s="10">
        <v>6</v>
      </c>
      <c r="E1344" s="10">
        <v>182</v>
      </c>
      <c r="F1344" s="10" t="s">
        <v>690</v>
      </c>
      <c r="G1344" s="10" t="s">
        <v>695</v>
      </c>
      <c r="H1344" s="10" t="str" cm="1">
        <f t="array" aca="1" ref="H1344" ca="1">IF(INDEX(I1344:Z1344,$H$1)=0,"",INDEX(I1344:Z1344,$H$1))</f>
        <v>Compressor (Reciprocating - Crankcase Vent)</v>
      </c>
      <c r="I1344" s="17" t="s">
        <v>278</v>
      </c>
      <c r="J1344" s="17" t="s">
        <v>1211</v>
      </c>
      <c r="K1344" s="27" t="s">
        <v>1551</v>
      </c>
    </row>
    <row r="1345" spans="1:11" x14ac:dyDescent="0.35">
      <c r="A1345" s="10" t="s">
        <v>1284</v>
      </c>
      <c r="B1345" s="255">
        <v>8</v>
      </c>
      <c r="C1345" s="10" t="s">
        <v>228</v>
      </c>
      <c r="D1345" s="10">
        <v>6</v>
      </c>
      <c r="E1345" s="10">
        <v>182</v>
      </c>
      <c r="F1345" s="10" t="s">
        <v>38</v>
      </c>
      <c r="G1345" s="10" t="s">
        <v>695</v>
      </c>
      <c r="H1345" s="10" t="str" cm="1">
        <f t="array" aca="1" ref="H1345" ca="1">IF(INDEX(I1345:Z1345,$H$1)=0,"",INDEX(I1345:Z1345,$H$1))</f>
        <v>Gas</v>
      </c>
      <c r="I1345" s="17" t="s">
        <v>154</v>
      </c>
      <c r="J1345" s="17" t="s">
        <v>864</v>
      </c>
      <c r="K1345" s="27" t="s">
        <v>154</v>
      </c>
    </row>
    <row r="1346" spans="1:11" x14ac:dyDescent="0.35">
      <c r="A1346" s="10" t="s">
        <v>1284</v>
      </c>
      <c r="B1346" s="255">
        <v>8</v>
      </c>
      <c r="C1346" s="10" t="s">
        <v>228</v>
      </c>
      <c r="D1346" s="10">
        <v>6</v>
      </c>
      <c r="E1346" s="10">
        <v>183</v>
      </c>
      <c r="F1346" s="10" t="s">
        <v>38</v>
      </c>
      <c r="G1346" s="10" t="s">
        <v>695</v>
      </c>
      <c r="H1346" s="10" t="str" cm="1">
        <f t="array" aca="1" ref="H1346" ca="1">IF(INDEX(I1346:Z1346,$H$1)=0,"",INDEX(I1346:Z1346,$H$1))</f>
        <v>Gas</v>
      </c>
      <c r="I1346" s="17" t="s">
        <v>154</v>
      </c>
      <c r="J1346" s="17" t="s">
        <v>864</v>
      </c>
      <c r="K1346" s="27" t="s">
        <v>154</v>
      </c>
    </row>
    <row r="1347" spans="1:11" x14ac:dyDescent="0.35">
      <c r="A1347" s="10" t="s">
        <v>1284</v>
      </c>
      <c r="B1347" s="255">
        <v>8</v>
      </c>
      <c r="C1347" s="10" t="s">
        <v>228</v>
      </c>
      <c r="D1347" s="10">
        <v>6</v>
      </c>
      <c r="E1347" s="10">
        <v>183</v>
      </c>
      <c r="F1347" s="10" t="s">
        <v>690</v>
      </c>
      <c r="G1347" s="10" t="s">
        <v>695</v>
      </c>
      <c r="H1347" s="10" t="str" cm="1">
        <f t="array" aca="1" ref="H1347" ca="1">IF(INDEX(I1347:Z1347,$H$1)=0,"",INDEX(I1347:Z1347,$H$1))</f>
        <v>Pressure Relief Valves</v>
      </c>
      <c r="I1347" s="17" t="s">
        <v>159</v>
      </c>
      <c r="J1347" s="17" t="s">
        <v>856</v>
      </c>
      <c r="K1347" s="27" t="s">
        <v>1552</v>
      </c>
    </row>
    <row r="1348" spans="1:11" x14ac:dyDescent="0.35">
      <c r="A1348" s="10" t="s">
        <v>1284</v>
      </c>
      <c r="B1348" s="255">
        <v>8</v>
      </c>
      <c r="C1348" s="10" t="s">
        <v>228</v>
      </c>
      <c r="D1348" s="10">
        <v>6</v>
      </c>
      <c r="E1348" s="10">
        <v>184</v>
      </c>
      <c r="F1348" s="10" t="s">
        <v>38</v>
      </c>
      <c r="G1348" s="10" t="s">
        <v>695</v>
      </c>
      <c r="H1348" s="10" t="str" cm="1">
        <f t="array" aca="1" ref="H1348" ca="1">IF(INDEX(I1348:Z1348,$H$1)=0,"",INDEX(I1348:Z1348,$H$1))</f>
        <v>Gas</v>
      </c>
      <c r="I1348" s="17" t="s">
        <v>154</v>
      </c>
      <c r="J1348" s="17" t="s">
        <v>864</v>
      </c>
      <c r="K1348" s="27" t="s">
        <v>154</v>
      </c>
    </row>
    <row r="1349" spans="1:11" x14ac:dyDescent="0.35">
      <c r="A1349" s="10" t="s">
        <v>1284</v>
      </c>
      <c r="B1349" s="255">
        <v>8</v>
      </c>
      <c r="C1349" s="10" t="s">
        <v>228</v>
      </c>
      <c r="D1349" s="10">
        <v>6</v>
      </c>
      <c r="E1349" s="10">
        <v>184</v>
      </c>
      <c r="F1349" s="10" t="s">
        <v>690</v>
      </c>
      <c r="G1349" s="10" t="s">
        <v>695</v>
      </c>
      <c r="H1349" s="10" t="str" cm="1">
        <f t="array" aca="1" ref="H1349" ca="1">IF(INDEX(I1349:Z1349,$H$1)=0,"",INDEX(I1349:Z1349,$H$1))</f>
        <v>Regulators</v>
      </c>
      <c r="I1349" s="17" t="s">
        <v>165</v>
      </c>
      <c r="J1349" s="17" t="s">
        <v>857</v>
      </c>
      <c r="K1349" s="27" t="s">
        <v>1553</v>
      </c>
    </row>
    <row r="1350" spans="1:11" x14ac:dyDescent="0.35">
      <c r="A1350" s="10" t="s">
        <v>1284</v>
      </c>
      <c r="B1350" s="255">
        <v>8</v>
      </c>
      <c r="C1350" s="10" t="s">
        <v>228</v>
      </c>
      <c r="D1350" s="10">
        <v>6</v>
      </c>
      <c r="E1350" s="10">
        <v>185</v>
      </c>
      <c r="F1350" s="10" t="s">
        <v>690</v>
      </c>
      <c r="G1350" s="10" t="s">
        <v>695</v>
      </c>
      <c r="H1350" s="10" t="str" cm="1">
        <f t="array" aca="1" ref="H1350" ca="1">IF(INDEX(I1350:Z1350,$H$1)=0,"",INDEX(I1350:Z1350,$H$1))</f>
        <v>Connectors</v>
      </c>
      <c r="I1350" s="17" t="s">
        <v>160</v>
      </c>
      <c r="J1350" s="17" t="s">
        <v>858</v>
      </c>
      <c r="K1350" s="27" t="s">
        <v>1554</v>
      </c>
    </row>
    <row r="1351" spans="1:11" x14ac:dyDescent="0.35">
      <c r="A1351" s="10" t="s">
        <v>1284</v>
      </c>
      <c r="B1351" s="255">
        <v>8</v>
      </c>
      <c r="C1351" s="10" t="s">
        <v>228</v>
      </c>
      <c r="D1351" s="10">
        <v>6</v>
      </c>
      <c r="E1351" s="10">
        <v>185</v>
      </c>
      <c r="F1351" s="10" t="s">
        <v>38</v>
      </c>
      <c r="G1351" s="10" t="s">
        <v>695</v>
      </c>
      <c r="H1351" s="10" t="str" cm="1">
        <f t="array" aca="1" ref="H1351" ca="1">IF(INDEX(I1351:Z1351,$H$1)=0,"",INDEX(I1351:Z1351,$H$1))</f>
        <v>Gas</v>
      </c>
      <c r="I1351" s="17" t="s">
        <v>154</v>
      </c>
      <c r="J1351" s="17" t="s">
        <v>864</v>
      </c>
      <c r="K1351" s="27" t="s">
        <v>154</v>
      </c>
    </row>
    <row r="1352" spans="1:11" x14ac:dyDescent="0.35">
      <c r="A1352" s="10" t="s">
        <v>1284</v>
      </c>
      <c r="B1352" s="255">
        <v>8</v>
      </c>
      <c r="C1352" s="10" t="s">
        <v>228</v>
      </c>
      <c r="D1352" s="10">
        <v>6</v>
      </c>
      <c r="E1352" s="10">
        <v>186</v>
      </c>
      <c r="F1352" s="10" t="s">
        <v>38</v>
      </c>
      <c r="G1352" s="10" t="s">
        <v>695</v>
      </c>
      <c r="H1352" s="10" t="str" cm="1">
        <f t="array" aca="1" ref="H1352" ca="1">IF(INDEX(I1352:Z1352,$H$1)=0,"",INDEX(I1352:Z1352,$H$1))</f>
        <v>Light Liquid</v>
      </c>
      <c r="I1352" s="17" t="s">
        <v>155</v>
      </c>
      <c r="J1352" s="17" t="s">
        <v>865</v>
      </c>
      <c r="K1352" s="27" t="s">
        <v>1540</v>
      </c>
    </row>
    <row r="1353" spans="1:11" x14ac:dyDescent="0.35">
      <c r="A1353" s="10" t="s">
        <v>1284</v>
      </c>
      <c r="B1353" s="255">
        <v>8</v>
      </c>
      <c r="C1353" s="10" t="s">
        <v>228</v>
      </c>
      <c r="D1353" s="10">
        <v>6</v>
      </c>
      <c r="E1353" s="10">
        <v>187</v>
      </c>
      <c r="F1353" s="10" t="s">
        <v>38</v>
      </c>
      <c r="G1353" s="10" t="s">
        <v>695</v>
      </c>
      <c r="H1353" s="10" t="str" cm="1">
        <f t="array" aca="1" ref="H1353" ca="1">IF(INDEX(I1353:Z1353,$H$1)=0,"",INDEX(I1353:Z1353,$H$1))</f>
        <v>Heavy Liquid</v>
      </c>
      <c r="I1353" s="17" t="s">
        <v>156</v>
      </c>
      <c r="J1353" s="17" t="s">
        <v>866</v>
      </c>
      <c r="K1353" s="27" t="s">
        <v>1541</v>
      </c>
    </row>
    <row r="1354" spans="1:11" x14ac:dyDescent="0.35">
      <c r="A1354" s="10" t="s">
        <v>1284</v>
      </c>
      <c r="B1354" s="255">
        <v>8</v>
      </c>
      <c r="C1354" s="10" t="s">
        <v>228</v>
      </c>
      <c r="D1354" s="10">
        <v>6</v>
      </c>
      <c r="E1354" s="10">
        <v>188</v>
      </c>
      <c r="F1354" s="10" t="s">
        <v>38</v>
      </c>
      <c r="G1354" s="10" t="s">
        <v>695</v>
      </c>
      <c r="H1354" s="10" t="str" cm="1">
        <f t="array" aca="1" ref="H1354" ca="1">IF(INDEX(I1354:Z1354,$H$1)=0,"",INDEX(I1354:Z1354,$H$1))</f>
        <v>Gas</v>
      </c>
      <c r="I1354" s="17" t="s">
        <v>154</v>
      </c>
      <c r="J1354" s="17" t="s">
        <v>864</v>
      </c>
      <c r="K1354" s="27" t="s">
        <v>154</v>
      </c>
    </row>
    <row r="1355" spans="1:11" x14ac:dyDescent="0.35">
      <c r="A1355" s="10" t="s">
        <v>1284</v>
      </c>
      <c r="B1355" s="255">
        <v>8</v>
      </c>
      <c r="C1355" s="10" t="s">
        <v>228</v>
      </c>
      <c r="D1355" s="10">
        <v>6</v>
      </c>
      <c r="E1355" s="10">
        <v>188</v>
      </c>
      <c r="F1355" s="10" t="s">
        <v>690</v>
      </c>
      <c r="G1355" s="10" t="s">
        <v>695</v>
      </c>
      <c r="H1355" s="10" t="str" cm="1">
        <f t="array" aca="1" ref="H1355" ca="1">IF(INDEX(I1355:Z1355,$H$1)=0,"",INDEX(I1355:Z1355,$H$1))</f>
        <v>Open-ended Lines</v>
      </c>
      <c r="I1355" s="17" t="s">
        <v>161</v>
      </c>
      <c r="J1355" s="17" t="s">
        <v>859</v>
      </c>
      <c r="K1355" s="27" t="s">
        <v>1555</v>
      </c>
    </row>
    <row r="1356" spans="1:11" x14ac:dyDescent="0.35">
      <c r="A1356" s="10" t="s">
        <v>1284</v>
      </c>
      <c r="B1356" s="255">
        <v>8</v>
      </c>
      <c r="C1356" s="10" t="s">
        <v>228</v>
      </c>
      <c r="D1356" s="10">
        <v>6</v>
      </c>
      <c r="E1356" s="10">
        <v>189</v>
      </c>
      <c r="F1356" s="10" t="s">
        <v>38</v>
      </c>
      <c r="G1356" s="10" t="s">
        <v>695</v>
      </c>
      <c r="H1356" s="10" t="str" cm="1">
        <f t="array" aca="1" ref="H1356" ca="1">IF(INDEX(I1356:Z1356,$H$1)=0,"",INDEX(I1356:Z1356,$H$1))</f>
        <v>Light Liquid</v>
      </c>
      <c r="I1356" s="17" t="s">
        <v>155</v>
      </c>
      <c r="J1356" s="17" t="s">
        <v>865</v>
      </c>
      <c r="K1356" s="27" t="s">
        <v>1540</v>
      </c>
    </row>
    <row r="1357" spans="1:11" x14ac:dyDescent="0.35">
      <c r="A1357" s="10" t="s">
        <v>1284</v>
      </c>
      <c r="B1357" s="255">
        <v>8</v>
      </c>
      <c r="C1357" s="10" t="s">
        <v>228</v>
      </c>
      <c r="D1357" s="10">
        <v>6</v>
      </c>
      <c r="E1357" s="10">
        <v>190</v>
      </c>
      <c r="F1357" s="10" t="s">
        <v>38</v>
      </c>
      <c r="G1357" s="10" t="s">
        <v>695</v>
      </c>
      <c r="H1357" s="10" t="str" cm="1">
        <f t="array" aca="1" ref="H1357" ca="1">IF(INDEX(I1357:Z1357,$H$1)=0,"",INDEX(I1357:Z1357,$H$1))</f>
        <v>Heavy Liquid</v>
      </c>
      <c r="I1357" s="17" t="s">
        <v>156</v>
      </c>
      <c r="J1357" s="17" t="s">
        <v>866</v>
      </c>
      <c r="K1357" s="27" t="s">
        <v>1541</v>
      </c>
    </row>
    <row r="1358" spans="1:11" x14ac:dyDescent="0.35">
      <c r="A1358" s="10" t="s">
        <v>1284</v>
      </c>
      <c r="B1358" s="255">
        <v>8</v>
      </c>
      <c r="C1358" s="10" t="s">
        <v>228</v>
      </c>
      <c r="D1358" s="10">
        <v>6</v>
      </c>
      <c r="E1358" s="10">
        <v>191</v>
      </c>
      <c r="F1358" s="10" t="s">
        <v>38</v>
      </c>
      <c r="G1358" s="10" t="s">
        <v>695</v>
      </c>
      <c r="H1358" s="10" t="str" cm="1">
        <f t="array" aca="1" ref="H1358" ca="1">IF(INDEX(I1358:Z1358,$H$1)=0,"",INDEX(I1358:Z1358,$H$1))</f>
        <v>All</v>
      </c>
      <c r="I1358" s="17" t="s">
        <v>49</v>
      </c>
      <c r="J1358" s="17" t="s">
        <v>867</v>
      </c>
      <c r="K1358" s="27" t="s">
        <v>1557</v>
      </c>
    </row>
    <row r="1359" spans="1:11" x14ac:dyDescent="0.35">
      <c r="A1359" s="10" t="s">
        <v>1284</v>
      </c>
      <c r="B1359" s="255">
        <v>8</v>
      </c>
      <c r="C1359" s="10" t="s">
        <v>228</v>
      </c>
      <c r="D1359" s="10">
        <v>6</v>
      </c>
      <c r="E1359" s="10">
        <v>191</v>
      </c>
      <c r="F1359" s="10" t="s">
        <v>690</v>
      </c>
      <c r="G1359" s="10" t="s">
        <v>695</v>
      </c>
      <c r="H1359" s="10" t="str" cm="1">
        <f t="array" aca="1" ref="H1359" ca="1">IF(INDEX(I1359:Z1359,$H$1)=0,"",INDEX(I1359:Z1359,$H$1))</f>
        <v>Sampling Connections</v>
      </c>
      <c r="I1359" s="17" t="s">
        <v>162</v>
      </c>
      <c r="J1359" s="17" t="s">
        <v>860</v>
      </c>
      <c r="K1359" s="27" t="s">
        <v>1556</v>
      </c>
    </row>
    <row r="1360" spans="1:11" x14ac:dyDescent="0.35">
      <c r="A1360" s="10" t="s">
        <v>1284</v>
      </c>
      <c r="B1360" s="255">
        <v>8</v>
      </c>
      <c r="C1360" s="10" t="s">
        <v>228</v>
      </c>
      <c r="D1360" s="10">
        <v>6</v>
      </c>
      <c r="E1360" s="10">
        <v>192</v>
      </c>
      <c r="F1360" s="10" t="s">
        <v>38</v>
      </c>
      <c r="G1360" s="10" t="s">
        <v>695</v>
      </c>
      <c r="H1360" s="10" t="str" cm="1">
        <f t="array" aca="1" ref="H1360" ca="1">IF(INDEX(I1360:Z1360,$H$1)=0,"",INDEX(I1360:Z1360,$H$1))</f>
        <v>All</v>
      </c>
      <c r="I1360" s="17" t="s">
        <v>49</v>
      </c>
      <c r="J1360" s="17" t="s">
        <v>867</v>
      </c>
      <c r="K1360" s="27" t="s">
        <v>1557</v>
      </c>
    </row>
    <row r="1361" spans="1:11" x14ac:dyDescent="0.35">
      <c r="A1361" s="10" t="s">
        <v>1284</v>
      </c>
      <c r="B1361" s="255">
        <v>8</v>
      </c>
      <c r="C1361" s="10" t="s">
        <v>228</v>
      </c>
      <c r="D1361" s="10">
        <v>6</v>
      </c>
      <c r="E1361" s="10">
        <v>192</v>
      </c>
      <c r="F1361" s="10" t="s">
        <v>690</v>
      </c>
      <c r="G1361" s="10" t="s">
        <v>695</v>
      </c>
      <c r="H1361" s="10" t="str" cm="1">
        <f t="array" aca="1" ref="H1361" ca="1">IF(INDEX(I1361:Z1361,$H$1)=0,"",INDEX(I1361:Z1361,$H$1))</f>
        <v>Drains</v>
      </c>
      <c r="I1361" s="17" t="s">
        <v>163</v>
      </c>
      <c r="J1361" s="17" t="s">
        <v>1226</v>
      </c>
      <c r="K1361" s="27" t="s">
        <v>1558</v>
      </c>
    </row>
    <row r="1362" spans="1:11" x14ac:dyDescent="0.35">
      <c r="A1362" s="10" t="s">
        <v>1284</v>
      </c>
      <c r="B1362" s="255">
        <v>8</v>
      </c>
      <c r="C1362" s="10" t="s">
        <v>228</v>
      </c>
      <c r="D1362" s="10">
        <v>6</v>
      </c>
      <c r="E1362" s="10">
        <v>193</v>
      </c>
      <c r="F1362" s="10" t="s">
        <v>38</v>
      </c>
      <c r="G1362" s="10" t="s">
        <v>695</v>
      </c>
      <c r="H1362" s="10" t="str" cm="1">
        <f t="array" aca="1" ref="H1362" ca="1">IF(INDEX(I1362:Z1362,$H$1)=0,"",INDEX(I1362:Z1362,$H$1))</f>
        <v>Gas</v>
      </c>
      <c r="I1362" s="17" t="s">
        <v>154</v>
      </c>
      <c r="J1362" s="17" t="s">
        <v>864</v>
      </c>
      <c r="K1362" s="27" t="s">
        <v>154</v>
      </c>
    </row>
    <row r="1363" spans="1:11" x14ac:dyDescent="0.35">
      <c r="A1363" s="10" t="s">
        <v>1284</v>
      </c>
      <c r="B1363" s="255">
        <v>8</v>
      </c>
      <c r="C1363" s="10" t="s">
        <v>228</v>
      </c>
      <c r="D1363" s="10">
        <v>6</v>
      </c>
      <c r="E1363" s="10">
        <v>193</v>
      </c>
      <c r="F1363" s="10" t="s">
        <v>690</v>
      </c>
      <c r="G1363" s="10" t="s">
        <v>695</v>
      </c>
      <c r="H1363" s="10" t="str" cm="1">
        <f t="array" aca="1" ref="H1363" ca="1">IF(INDEX(I1363:Z1363,$H$1)=0,"",INDEX(I1363:Z1363,$H$1))</f>
        <v>Meter (Orifice)</v>
      </c>
      <c r="I1363" s="17" t="s">
        <v>224</v>
      </c>
      <c r="J1363" s="17" t="s">
        <v>1263</v>
      </c>
      <c r="K1363" s="27" t="s">
        <v>1559</v>
      </c>
    </row>
    <row r="1364" spans="1:11" x14ac:dyDescent="0.35">
      <c r="A1364" s="10" t="s">
        <v>1284</v>
      </c>
      <c r="B1364" s="255">
        <v>8</v>
      </c>
      <c r="C1364" s="10" t="s">
        <v>228</v>
      </c>
      <c r="D1364" s="10">
        <v>6</v>
      </c>
      <c r="E1364" s="10">
        <v>194</v>
      </c>
      <c r="F1364" s="10" t="s">
        <v>38</v>
      </c>
      <c r="G1364" s="10" t="s">
        <v>695</v>
      </c>
      <c r="H1364" s="10" t="str" cm="1">
        <f t="array" aca="1" ref="H1364" ca="1">IF(INDEX(I1364:Z1364,$H$1)=0,"",INDEX(I1364:Z1364,$H$1))</f>
        <v>Gas</v>
      </c>
      <c r="I1364" s="17" t="s">
        <v>154</v>
      </c>
      <c r="J1364" s="17" t="s">
        <v>864</v>
      </c>
      <c r="K1364" s="27" t="s">
        <v>154</v>
      </c>
    </row>
    <row r="1365" spans="1:11" x14ac:dyDescent="0.35">
      <c r="A1365" s="10" t="s">
        <v>1284</v>
      </c>
      <c r="B1365" s="255">
        <v>8</v>
      </c>
      <c r="C1365" s="10" t="s">
        <v>228</v>
      </c>
      <c r="D1365" s="10">
        <v>6</v>
      </c>
      <c r="E1365" s="10">
        <v>194</v>
      </c>
      <c r="F1365" s="10" t="s">
        <v>690</v>
      </c>
      <c r="G1365" s="10" t="s">
        <v>695</v>
      </c>
      <c r="H1365" s="10" t="str" cm="1">
        <f t="array" aca="1" ref="H1365" ca="1">IF(INDEX(I1365:Z1365,$H$1)=0,"",INDEX(I1365:Z1365,$H$1))</f>
        <v>Meter (Other)</v>
      </c>
      <c r="I1365" s="17" t="s">
        <v>225</v>
      </c>
      <c r="J1365" s="17" t="s">
        <v>861</v>
      </c>
      <c r="K1365" s="27" t="s">
        <v>1560</v>
      </c>
    </row>
    <row r="1366" spans="1:11" x14ac:dyDescent="0.35">
      <c r="A1366" s="10" t="s">
        <v>1284</v>
      </c>
      <c r="B1366" s="255">
        <v>8</v>
      </c>
      <c r="C1366" s="10" t="s">
        <v>228</v>
      </c>
      <c r="D1366" s="10">
        <v>6</v>
      </c>
      <c r="E1366" s="10">
        <v>195</v>
      </c>
      <c r="F1366" s="10" t="s">
        <v>690</v>
      </c>
      <c r="G1366" s="10" t="s">
        <v>695</v>
      </c>
      <c r="H1366" s="10" t="str" cm="1">
        <f t="array" aca="1" ref="H1366" ca="1">IF(INDEX(I1366:Z1366,$H$1)=0,"",INDEX(I1366:Z1366,$H$1))</f>
        <v>Blowdown System</v>
      </c>
      <c r="I1366" s="17" t="s">
        <v>226</v>
      </c>
      <c r="J1366" s="17" t="s">
        <v>862</v>
      </c>
      <c r="K1366" s="27" t="s">
        <v>1561</v>
      </c>
    </row>
    <row r="1367" spans="1:11" x14ac:dyDescent="0.35">
      <c r="A1367" s="10" t="s">
        <v>1284</v>
      </c>
      <c r="B1367" s="255">
        <v>8</v>
      </c>
      <c r="C1367" s="10" t="s">
        <v>228</v>
      </c>
      <c r="D1367" s="10">
        <v>6</v>
      </c>
      <c r="E1367" s="10">
        <v>195</v>
      </c>
      <c r="F1367" s="10" t="s">
        <v>38</v>
      </c>
      <c r="G1367" s="10" t="s">
        <v>695</v>
      </c>
      <c r="H1367" s="10" t="str" cm="1">
        <f t="array" aca="1" ref="H1367" ca="1">IF(INDEX(I1367:Z1367,$H$1)=0,"",INDEX(I1367:Z1367,$H$1))</f>
        <v>Gas</v>
      </c>
      <c r="I1367" s="17" t="s">
        <v>154</v>
      </c>
      <c r="J1367" s="17" t="s">
        <v>864</v>
      </c>
      <c r="K1367" s="27" t="s">
        <v>154</v>
      </c>
    </row>
    <row r="1368" spans="1:11" x14ac:dyDescent="0.35">
      <c r="A1368" s="10" t="s">
        <v>1284</v>
      </c>
      <c r="B1368" s="255">
        <v>8</v>
      </c>
      <c r="C1368" s="10" t="s">
        <v>228</v>
      </c>
      <c r="D1368" s="10">
        <v>6</v>
      </c>
      <c r="E1368" s="10">
        <v>196</v>
      </c>
      <c r="F1368" s="10" t="s">
        <v>38</v>
      </c>
      <c r="G1368" s="10" t="s">
        <v>695</v>
      </c>
      <c r="H1368" s="10" t="str" cm="1">
        <f t="array" aca="1" ref="H1368" ca="1">IF(INDEX(I1368:Z1368,$H$1)=0,"",INDEX(I1368:Z1368,$H$1))</f>
        <v>Gas</v>
      </c>
      <c r="I1368" s="17" t="s">
        <v>154</v>
      </c>
      <c r="J1368" s="17" t="s">
        <v>864</v>
      </c>
      <c r="K1368" s="27" t="s">
        <v>154</v>
      </c>
    </row>
    <row r="1369" spans="1:11" x14ac:dyDescent="0.35">
      <c r="A1369" s="10" t="s">
        <v>1284</v>
      </c>
      <c r="B1369" s="255">
        <v>8</v>
      </c>
      <c r="C1369" s="10" t="s">
        <v>228</v>
      </c>
      <c r="D1369" s="10">
        <v>6</v>
      </c>
      <c r="E1369" s="10">
        <v>196</v>
      </c>
      <c r="F1369" s="10" t="s">
        <v>690</v>
      </c>
      <c r="G1369" s="10" t="s">
        <v>695</v>
      </c>
      <c r="H1369" s="10" t="str" cm="1">
        <f t="array" aca="1" ref="H1369" ca="1">IF(INDEX(I1369:Z1369,$H$1)=0,"",INDEX(I1369:Z1369,$H$1))</f>
        <v>Others</v>
      </c>
      <c r="I1369" s="17" t="s">
        <v>166</v>
      </c>
      <c r="J1369" s="17" t="s">
        <v>863</v>
      </c>
      <c r="K1369" s="27" t="s">
        <v>1562</v>
      </c>
    </row>
    <row r="1370" spans="1:11" x14ac:dyDescent="0.35">
      <c r="A1370" s="10" t="s">
        <v>1284</v>
      </c>
      <c r="B1370" s="255">
        <v>8</v>
      </c>
      <c r="C1370" s="10" t="s">
        <v>228</v>
      </c>
      <c r="D1370" s="10">
        <v>6</v>
      </c>
      <c r="E1370" s="10">
        <v>197</v>
      </c>
      <c r="F1370" s="10" t="s">
        <v>38</v>
      </c>
      <c r="G1370" s="10" t="s">
        <v>695</v>
      </c>
      <c r="H1370" s="10" t="str" cm="1">
        <f t="array" aca="1" ref="H1370" ca="1">IF(INDEX(I1370:Z1370,$H$1)=0,"",INDEX(I1370:Z1370,$H$1))</f>
        <v>Light Liquid</v>
      </c>
      <c r="I1370" s="17" t="s">
        <v>155</v>
      </c>
      <c r="J1370" s="17" t="s">
        <v>865</v>
      </c>
      <c r="K1370" s="27" t="s">
        <v>1540</v>
      </c>
    </row>
    <row r="1371" spans="1:11" x14ac:dyDescent="0.35">
      <c r="A1371" s="10" t="s">
        <v>1284</v>
      </c>
      <c r="B1371" s="255">
        <v>8</v>
      </c>
      <c r="C1371" s="10" t="s">
        <v>228</v>
      </c>
      <c r="D1371" s="10">
        <v>6</v>
      </c>
      <c r="E1371" s="10">
        <v>198</v>
      </c>
      <c r="F1371" s="10" t="s">
        <v>38</v>
      </c>
      <c r="G1371" s="10" t="s">
        <v>695</v>
      </c>
      <c r="H1371" s="10" t="str" cm="1">
        <f t="array" aca="1" ref="H1371" ca="1">IF(INDEX(I1371:Z1371,$H$1)=0,"",INDEX(I1371:Z1371,$H$1))</f>
        <v>Heavy Liquid</v>
      </c>
      <c r="I1371" s="17" t="s">
        <v>156</v>
      </c>
      <c r="J1371" s="17" t="s">
        <v>866</v>
      </c>
      <c r="K1371" s="27" t="s">
        <v>1541</v>
      </c>
    </row>
    <row r="1372" spans="1:11" x14ac:dyDescent="0.35">
      <c r="A1372" s="10" t="s">
        <v>1285</v>
      </c>
      <c r="B1372" s="255">
        <v>9</v>
      </c>
      <c r="C1372" s="10" t="s">
        <v>35</v>
      </c>
      <c r="D1372" s="10">
        <v>1</v>
      </c>
      <c r="E1372" s="10">
        <v>2</v>
      </c>
      <c r="F1372" s="10" t="s">
        <v>687</v>
      </c>
      <c r="G1372" s="10" t="s">
        <v>688</v>
      </c>
      <c r="H1372" s="10" t="str" cm="1">
        <f t="array" aca="1" ref="H1372" ca="1">IF(INDEX(I1372:Z1372,$H$1)=0,"",INDEX(I1372:Z1372,$H$1))</f>
        <v>Pneumatic Controllers</v>
      </c>
      <c r="I1372" s="10" t="s">
        <v>35</v>
      </c>
      <c r="J1372" s="10" t="s">
        <v>930</v>
      </c>
      <c r="K1372" s="27" t="s">
        <v>1673</v>
      </c>
    </row>
    <row r="1373" spans="1:11" x14ac:dyDescent="0.35">
      <c r="A1373" s="10" t="s">
        <v>1285</v>
      </c>
      <c r="B1373" s="255">
        <v>9</v>
      </c>
      <c r="C1373" s="10" t="s">
        <v>35</v>
      </c>
      <c r="D1373" s="10">
        <v>1</v>
      </c>
      <c r="E1373" s="10">
        <v>4</v>
      </c>
      <c r="F1373" s="10" t="s">
        <v>687</v>
      </c>
      <c r="G1373" s="10" t="s">
        <v>696</v>
      </c>
      <c r="H1373" s="10" t="str" cm="1">
        <f t="array" aca="1" ref="H1373" ca="1">IF(INDEX(I1373:Z1373,$H$1)=0,"",INDEX(I1373:Z1373,$H$1))</f>
        <v>Industry Segment</v>
      </c>
      <c r="I1373" s="10" t="s">
        <v>30</v>
      </c>
      <c r="J1373" s="10" t="s">
        <v>697</v>
      </c>
      <c r="K1373" s="27" t="s">
        <v>1385</v>
      </c>
    </row>
    <row r="1374" spans="1:11" x14ac:dyDescent="0.35">
      <c r="A1374" s="10" t="s">
        <v>1285</v>
      </c>
      <c r="B1374" s="255">
        <v>9</v>
      </c>
      <c r="C1374" s="10" t="s">
        <v>35</v>
      </c>
      <c r="D1374" s="10">
        <v>1</v>
      </c>
      <c r="E1374" s="10">
        <v>4</v>
      </c>
      <c r="F1374" s="10" t="s">
        <v>690</v>
      </c>
      <c r="G1374" s="10" t="s">
        <v>696</v>
      </c>
      <c r="H1374" s="10" t="str" cm="1">
        <f t="array" aca="1" ref="H1374" ca="1">IF(INDEX(I1374:Z1374,$H$1)=0,"",INDEX(I1374:Z1374,$H$1))</f>
        <v>Controller</v>
      </c>
      <c r="I1374" s="10" t="s">
        <v>1</v>
      </c>
      <c r="J1374" s="10" t="s">
        <v>931</v>
      </c>
      <c r="K1374" s="28" t="s">
        <v>1674</v>
      </c>
    </row>
    <row r="1375" spans="1:11" x14ac:dyDescent="0.35">
      <c r="A1375" s="10" t="s">
        <v>1285</v>
      </c>
      <c r="B1375" s="255">
        <v>9</v>
      </c>
      <c r="C1375" s="10" t="s">
        <v>35</v>
      </c>
      <c r="D1375" s="10">
        <v>1</v>
      </c>
      <c r="E1375" s="10">
        <v>4</v>
      </c>
      <c r="F1375" s="10" t="s">
        <v>38</v>
      </c>
      <c r="G1375" s="10" t="s">
        <v>696</v>
      </c>
      <c r="H1375" s="10" t="str" cm="1">
        <f t="array" aca="1" ref="H1375" ca="1">IF(INDEX(I1375:Z1375,$H$1)=0,"",INDEX(I1375:Z1375,$H$1))</f>
        <v>Uncontrolled Emission Factor</v>
      </c>
      <c r="I1375" s="10" t="s">
        <v>349</v>
      </c>
      <c r="J1375" s="10" t="s">
        <v>937</v>
      </c>
      <c r="K1375" s="27" t="s">
        <v>1675</v>
      </c>
    </row>
    <row r="1376" spans="1:11" x14ac:dyDescent="0.35">
      <c r="A1376" s="10" t="s">
        <v>1285</v>
      </c>
      <c r="B1376" s="255">
        <v>9</v>
      </c>
      <c r="C1376" s="10" t="s">
        <v>35</v>
      </c>
      <c r="D1376" s="10">
        <v>1</v>
      </c>
      <c r="E1376" s="10">
        <v>4</v>
      </c>
      <c r="F1376" s="10" t="s">
        <v>692</v>
      </c>
      <c r="G1376" s="10" t="s">
        <v>696</v>
      </c>
      <c r="H1376" s="10" t="str" cm="1">
        <f t="array" aca="1" ref="H1376" ca="1">IF(INDEX(I1376:Z1376,$H$1)=0,"",INDEX(I1376:Z1376,$H$1))</f>
        <v xml:space="preserve">Data </v>
      </c>
      <c r="I1376" s="10" t="s">
        <v>3</v>
      </c>
      <c r="J1376" s="10" t="s">
        <v>932</v>
      </c>
      <c r="K1376" s="28" t="s">
        <v>1676</v>
      </c>
    </row>
    <row r="1377" spans="1:11" x14ac:dyDescent="0.35">
      <c r="A1377" s="10" t="s">
        <v>1285</v>
      </c>
      <c r="B1377" s="255">
        <v>9</v>
      </c>
      <c r="C1377" s="10" t="s">
        <v>35</v>
      </c>
      <c r="D1377" s="10">
        <v>1</v>
      </c>
      <c r="E1377" s="10">
        <v>4</v>
      </c>
      <c r="F1377" s="10" t="s">
        <v>693</v>
      </c>
      <c r="G1377" s="10" t="s">
        <v>696</v>
      </c>
      <c r="H1377" s="10" t="str" cm="1">
        <f t="array" aca="1" ref="H1377" ca="1">IF(INDEX(I1377:Z1377,$H$1)=0,"",INDEX(I1377:Z1377,$H$1))</f>
        <v>As Reported in Reference</v>
      </c>
      <c r="I1377" s="10" t="s">
        <v>5</v>
      </c>
      <c r="J1377" s="10" t="s">
        <v>933</v>
      </c>
      <c r="K1377" s="27" t="s">
        <v>1677</v>
      </c>
    </row>
    <row r="1378" spans="1:11" x14ac:dyDescent="0.35">
      <c r="A1378" s="10" t="s">
        <v>1285</v>
      </c>
      <c r="B1378" s="255">
        <v>9</v>
      </c>
      <c r="C1378" s="10" t="s">
        <v>35</v>
      </c>
      <c r="D1378" s="10">
        <v>1</v>
      </c>
      <c r="E1378" s="10">
        <v>4</v>
      </c>
      <c r="F1378" s="10" t="s">
        <v>694</v>
      </c>
      <c r="G1378" s="10" t="s">
        <v>696</v>
      </c>
      <c r="H1378" s="10" t="str" cm="1">
        <f t="array" aca="1" ref="H1378" ca="1">IF(INDEX(I1378:Z1378,$H$1)=0,"",INDEX(I1378:Z1378,$H$1))</f>
        <v>Conversion Factor</v>
      </c>
      <c r="I1378" s="10" t="s">
        <v>15</v>
      </c>
      <c r="J1378" s="10" t="s">
        <v>1220</v>
      </c>
      <c r="K1378" s="27" t="s">
        <v>1678</v>
      </c>
    </row>
    <row r="1379" spans="1:11" x14ac:dyDescent="0.35">
      <c r="A1379" s="10" t="s">
        <v>1285</v>
      </c>
      <c r="B1379" s="255">
        <v>9</v>
      </c>
      <c r="C1379" s="10" t="s">
        <v>35</v>
      </c>
      <c r="D1379" s="10">
        <v>1</v>
      </c>
      <c r="E1379" s="10">
        <v>5</v>
      </c>
      <c r="F1379" s="10" t="s">
        <v>690</v>
      </c>
      <c r="G1379" s="10" t="s">
        <v>696</v>
      </c>
      <c r="H1379" s="10" t="str" cm="1">
        <f t="array" aca="1" ref="H1379" ca="1">IF(INDEX(I1379:Z1379,$H$1)=0,"",INDEX(I1379:Z1379,$H$1))</f>
        <v>Type</v>
      </c>
      <c r="I1379" s="10" t="s">
        <v>2</v>
      </c>
      <c r="J1379" s="10" t="s">
        <v>724</v>
      </c>
      <c r="K1379" s="28" t="s">
        <v>1679</v>
      </c>
    </row>
    <row r="1380" spans="1:11" x14ac:dyDescent="0.35">
      <c r="A1380" s="10" t="s">
        <v>1285</v>
      </c>
      <c r="B1380" s="255">
        <v>9</v>
      </c>
      <c r="C1380" s="10" t="s">
        <v>35</v>
      </c>
      <c r="D1380" s="10">
        <v>1</v>
      </c>
      <c r="E1380" s="10">
        <v>5</v>
      </c>
      <c r="F1380" s="10" t="s">
        <v>38</v>
      </c>
      <c r="G1380" s="10" t="s">
        <v>696</v>
      </c>
      <c r="H1380" s="10" t="str" cm="1">
        <f t="array" aca="1" ref="H1380" ca="1">IF(INDEX(I1380:Z1380,$H$1)=0,"",INDEX(I1380:Z1380,$H$1))</f>
        <v>(Nm3/d/device)</v>
      </c>
      <c r="I1380" s="10" t="s">
        <v>1086</v>
      </c>
      <c r="J1380" s="10" t="s">
        <v>1087</v>
      </c>
      <c r="K1380" s="27" t="s">
        <v>1680</v>
      </c>
    </row>
    <row r="1381" spans="1:11" x14ac:dyDescent="0.35">
      <c r="A1381" s="10" t="s">
        <v>1285</v>
      </c>
      <c r="B1381" s="255">
        <v>9</v>
      </c>
      <c r="C1381" s="10" t="s">
        <v>35</v>
      </c>
      <c r="D1381" s="10">
        <v>1</v>
      </c>
      <c r="E1381" s="10">
        <v>5</v>
      </c>
      <c r="F1381" s="10" t="s">
        <v>692</v>
      </c>
      <c r="G1381" s="10" t="s">
        <v>696</v>
      </c>
      <c r="H1381" s="10" t="str" cm="1">
        <f t="array" aca="1" ref="H1381" ca="1">IF(INDEX(I1381:Z1381,$H$1)=0,"",INDEX(I1381:Z1381,$H$1))</f>
        <v>Source</v>
      </c>
      <c r="I1381" s="10" t="s">
        <v>4</v>
      </c>
      <c r="J1381" s="10" t="s">
        <v>785</v>
      </c>
      <c r="K1381" s="28" t="s">
        <v>1681</v>
      </c>
    </row>
    <row r="1382" spans="1:11" x14ac:dyDescent="0.35">
      <c r="A1382" s="10" t="s">
        <v>1285</v>
      </c>
      <c r="B1382" s="255">
        <v>9</v>
      </c>
      <c r="C1382" s="10" t="s">
        <v>35</v>
      </c>
      <c r="D1382" s="10">
        <v>1</v>
      </c>
      <c r="E1382" s="10">
        <v>5</v>
      </c>
      <c r="F1382" s="10" t="s">
        <v>693</v>
      </c>
      <c r="G1382" s="10" t="s">
        <v>696</v>
      </c>
      <c r="H1382" s="10" t="str" cm="1">
        <f t="array" aca="1" ref="H1382" ca="1">IF(INDEX(I1382:Z1382,$H$1)=0,"",INDEX(I1382:Z1382,$H$1))</f>
        <v>EF Value</v>
      </c>
      <c r="I1382" s="10" t="s">
        <v>39</v>
      </c>
      <c r="J1382" s="10" t="s">
        <v>934</v>
      </c>
      <c r="K1382" s="27" t="s">
        <v>1682</v>
      </c>
    </row>
    <row r="1383" spans="1:11" x14ac:dyDescent="0.35">
      <c r="A1383" s="10" t="s">
        <v>1285</v>
      </c>
      <c r="B1383" s="255">
        <v>9</v>
      </c>
      <c r="C1383" s="10" t="s">
        <v>35</v>
      </c>
      <c r="D1383" s="10">
        <v>1</v>
      </c>
      <c r="E1383" s="10">
        <v>5</v>
      </c>
      <c r="F1383" s="10" t="s">
        <v>694</v>
      </c>
      <c r="G1383" s="10" t="s">
        <v>696</v>
      </c>
      <c r="H1383" s="10" t="str" cm="1">
        <f t="array" aca="1" ref="H1383" ca="1">IF(INDEX(I1383:Z1383,$H$1)=0,"",INDEX(I1383:Z1383,$H$1))</f>
        <v>Units of</v>
      </c>
      <c r="I1383" s="10" t="s">
        <v>7</v>
      </c>
      <c r="J1383" s="10" t="s">
        <v>740</v>
      </c>
      <c r="K1383" s="28" t="s">
        <v>1683</v>
      </c>
    </row>
    <row r="1384" spans="1:11" x14ac:dyDescent="0.35">
      <c r="A1384" s="10" t="s">
        <v>1285</v>
      </c>
      <c r="B1384" s="255">
        <v>9</v>
      </c>
      <c r="C1384" s="10" t="s">
        <v>35</v>
      </c>
      <c r="D1384" s="10">
        <v>1</v>
      </c>
      <c r="E1384" s="10">
        <v>5</v>
      </c>
      <c r="F1384" s="10" t="s">
        <v>711</v>
      </c>
      <c r="G1384" s="10" t="s">
        <v>696</v>
      </c>
      <c r="H1384" s="10" t="str" cm="1">
        <f t="array" aca="1" ref="H1384" ca="1">IF(INDEX(I1384:Z1384,$H$1)=0,"",INDEX(I1384:Z1384,$H$1))</f>
        <v>Value</v>
      </c>
      <c r="I1384" s="10" t="s">
        <v>6</v>
      </c>
      <c r="J1384" s="10" t="s">
        <v>725</v>
      </c>
      <c r="K1384" s="27" t="s">
        <v>1411</v>
      </c>
    </row>
    <row r="1385" spans="1:11" x14ac:dyDescent="0.35">
      <c r="A1385" s="10" t="s">
        <v>1285</v>
      </c>
      <c r="B1385" s="255">
        <v>9</v>
      </c>
      <c r="C1385" s="10" t="s">
        <v>35</v>
      </c>
      <c r="D1385" s="10">
        <v>1</v>
      </c>
      <c r="E1385" s="10">
        <v>5</v>
      </c>
      <c r="F1385" s="10" t="s">
        <v>591</v>
      </c>
      <c r="G1385" s="10" t="s">
        <v>696</v>
      </c>
      <c r="H1385" s="10" t="str" cm="1">
        <f t="array" aca="1" ref="H1385" ca="1">IF(INDEX(I1385:Z1385,$H$1)=0,"",INDEX(I1385:Z1385,$H$1))</f>
        <v>Conversion</v>
      </c>
      <c r="I1385" s="10" t="s">
        <v>16</v>
      </c>
      <c r="J1385" s="10" t="s">
        <v>1219</v>
      </c>
      <c r="K1385" s="27" t="s">
        <v>1684</v>
      </c>
    </row>
    <row r="1386" spans="1:11" x14ac:dyDescent="0.35">
      <c r="A1386" s="10" t="s">
        <v>1285</v>
      </c>
      <c r="B1386" s="255">
        <v>9</v>
      </c>
      <c r="C1386" s="10" t="s">
        <v>35</v>
      </c>
      <c r="D1386" s="10">
        <v>1</v>
      </c>
      <c r="E1386" s="10">
        <v>6</v>
      </c>
      <c r="F1386" s="10" t="s">
        <v>694</v>
      </c>
      <c r="G1386" s="10" t="s">
        <v>696</v>
      </c>
      <c r="H1386" s="10" t="str" cm="1">
        <f t="array" aca="1" ref="H1386" ca="1">IF(INDEX(I1386:Z1386,$H$1)=0,"",INDEX(I1386:Z1386,$H$1))</f>
        <v>Measure</v>
      </c>
      <c r="I1386" s="10" t="s">
        <v>8</v>
      </c>
      <c r="J1386" s="10" t="s">
        <v>1262</v>
      </c>
      <c r="K1386" s="28" t="s">
        <v>1685</v>
      </c>
    </row>
    <row r="1387" spans="1:11" x14ac:dyDescent="0.35">
      <c r="A1387" s="10" t="s">
        <v>1285</v>
      </c>
      <c r="B1387" s="255">
        <v>9</v>
      </c>
      <c r="C1387" s="10" t="s">
        <v>35</v>
      </c>
      <c r="D1387" s="10">
        <v>1</v>
      </c>
      <c r="E1387" s="10">
        <f>ROW('EFs - Other'!B$6)</f>
        <v>6</v>
      </c>
      <c r="F1387" s="10" t="s">
        <v>690</v>
      </c>
      <c r="G1387" s="10" t="s">
        <v>695</v>
      </c>
      <c r="H1387" s="10" t="str" cm="1">
        <f t="array" aca="1" ref="H1387" ca="1">IF(INDEX(I1387:Z1387,$H$1)=0,"",INDEX(I1387:Z1387,$H$1))</f>
        <v>High-Bleed</v>
      </c>
      <c r="I1387" s="10" t="s">
        <v>11</v>
      </c>
      <c r="J1387" s="10" t="s">
        <v>1248</v>
      </c>
      <c r="K1387" s="27" t="s">
        <v>1575</v>
      </c>
    </row>
    <row r="1388" spans="1:11" x14ac:dyDescent="0.35">
      <c r="A1388" s="10" t="s">
        <v>1285</v>
      </c>
      <c r="B1388" s="255">
        <v>9</v>
      </c>
      <c r="C1388" s="10" t="s">
        <v>35</v>
      </c>
      <c r="D1388" s="10">
        <v>1</v>
      </c>
      <c r="E1388" s="10">
        <f>ROW('EFs - Other'!B$7)</f>
        <v>7</v>
      </c>
      <c r="F1388" s="10" t="s">
        <v>690</v>
      </c>
      <c r="G1388" s="10" t="s">
        <v>695</v>
      </c>
      <c r="H1388" s="10" t="str" cm="1">
        <f t="array" aca="1" ref="H1388" ca="1">IF(INDEX(I1388:Z1388,$H$1)=0,"",INDEX(I1388:Z1388,$H$1))</f>
        <v>Intermittent Bleed</v>
      </c>
      <c r="I1388" s="10" t="s">
        <v>12</v>
      </c>
      <c r="J1388" s="10" t="s">
        <v>890</v>
      </c>
      <c r="K1388" s="27" t="s">
        <v>1576</v>
      </c>
    </row>
    <row r="1389" spans="1:11" x14ac:dyDescent="0.35">
      <c r="A1389" s="10" t="s">
        <v>1285</v>
      </c>
      <c r="B1389" s="255">
        <v>9</v>
      </c>
      <c r="C1389" s="10" t="s">
        <v>35</v>
      </c>
      <c r="D1389" s="10">
        <v>1</v>
      </c>
      <c r="E1389" s="10">
        <f>ROW('EFs - Other'!B$8)</f>
        <v>8</v>
      </c>
      <c r="F1389" s="10" t="s">
        <v>690</v>
      </c>
      <c r="G1389" s="10" t="s">
        <v>695</v>
      </c>
      <c r="H1389" s="10" t="str" cm="1">
        <f t="array" aca="1" ref="H1389" ca="1">IF(INDEX(I1389:Z1389,$H$1)=0,"",INDEX(I1389:Z1389,$H$1))</f>
        <v>Low-Bleed</v>
      </c>
      <c r="I1389" s="10" t="s">
        <v>10</v>
      </c>
      <c r="J1389" s="10" t="s">
        <v>1261</v>
      </c>
      <c r="K1389" s="27" t="s">
        <v>1577</v>
      </c>
    </row>
    <row r="1390" spans="1:11" x14ac:dyDescent="0.35">
      <c r="A1390" s="10" t="s">
        <v>1285</v>
      </c>
      <c r="B1390" s="255">
        <v>9</v>
      </c>
      <c r="C1390" s="10" t="s">
        <v>35</v>
      </c>
      <c r="D1390" s="10">
        <v>1</v>
      </c>
      <c r="E1390" s="10">
        <f>ROW('EFs - Other'!B$9)</f>
        <v>9</v>
      </c>
      <c r="F1390" s="10" t="s">
        <v>690</v>
      </c>
      <c r="G1390" s="10" t="s">
        <v>695</v>
      </c>
      <c r="H1390" s="10" t="str" cm="1">
        <f t="array" aca="1" ref="H1390" ca="1">IF(INDEX(I1390:Z1390,$H$1)=0,"",INDEX(I1390:Z1390,$H$1))</f>
        <v>No-Bleed</v>
      </c>
      <c r="I1390" s="10" t="s">
        <v>13</v>
      </c>
      <c r="J1390" s="10" t="s">
        <v>1266</v>
      </c>
      <c r="K1390" s="27" t="s">
        <v>1578</v>
      </c>
    </row>
    <row r="1391" spans="1:11" ht="29" x14ac:dyDescent="0.35">
      <c r="A1391" s="10" t="s">
        <v>1285</v>
      </c>
      <c r="B1391" s="255">
        <v>9</v>
      </c>
      <c r="C1391" s="10" t="s">
        <v>35</v>
      </c>
      <c r="D1391" s="10">
        <v>1</v>
      </c>
      <c r="E1391" s="10">
        <f>ROW('EFs - Other'!B$10)</f>
        <v>10</v>
      </c>
      <c r="F1391" s="10" t="s">
        <v>690</v>
      </c>
      <c r="G1391" s="10" t="s">
        <v>695</v>
      </c>
      <c r="H1391" s="10" t="str" cm="1">
        <f t="array" aca="1" ref="H1391" ca="1">IF(INDEX(I1391:Z1391,$H$1)=0,"",INDEX(I1391:Z1391,$H$1))</f>
        <v>Type Unknown</v>
      </c>
      <c r="I1391" s="10" t="s">
        <v>2088</v>
      </c>
      <c r="J1391" s="10" t="s">
        <v>2089</v>
      </c>
      <c r="K1391" s="29" t="s">
        <v>2090</v>
      </c>
    </row>
    <row r="1392" spans="1:11" x14ac:dyDescent="0.35">
      <c r="A1392" s="10" t="s">
        <v>1285</v>
      </c>
      <c r="B1392" s="255">
        <v>9</v>
      </c>
      <c r="C1392" s="10" t="s">
        <v>35</v>
      </c>
      <c r="D1392" s="10">
        <v>1</v>
      </c>
      <c r="E1392" s="10">
        <f>ROW('EFs - Other'!B$11)</f>
        <v>11</v>
      </c>
      <c r="F1392" s="10" t="s">
        <v>690</v>
      </c>
      <c r="G1392" s="10" t="s">
        <v>695</v>
      </c>
      <c r="H1392" s="10" t="str" cm="1">
        <f t="array" aca="1" ref="H1392" ca="1">IF(INDEX(I1392:Z1392,$H$1)=0,"",INDEX(I1392:Z1392,$H$1))</f>
        <v>Not Applicable</v>
      </c>
      <c r="I1392" s="10" t="s">
        <v>50</v>
      </c>
      <c r="J1392" s="10" t="s">
        <v>888</v>
      </c>
      <c r="K1392" s="27" t="s">
        <v>1579</v>
      </c>
    </row>
    <row r="1393" spans="1:11" x14ac:dyDescent="0.35">
      <c r="A1393" s="10" t="s">
        <v>1285</v>
      </c>
      <c r="B1393" s="255">
        <v>9</v>
      </c>
      <c r="C1393" s="10" t="s">
        <v>35</v>
      </c>
      <c r="D1393" s="10">
        <v>1</v>
      </c>
      <c r="E1393" s="10">
        <f>ROW('EFs - Other'!B$30)</f>
        <v>30</v>
      </c>
      <c r="F1393" s="10" t="s">
        <v>690</v>
      </c>
      <c r="G1393" s="10" t="s">
        <v>695</v>
      </c>
      <c r="H1393" s="10" t="str" cm="1">
        <f t="array" aca="1" ref="H1393" ca="1">IF(INDEX(I1393:Z1393,$H$1)=0,"",INDEX(I1393:Z1393,$H$1))</f>
        <v>Continuous Bleed</v>
      </c>
      <c r="I1393" s="10" t="s">
        <v>3363</v>
      </c>
      <c r="J1393" s="10" t="s">
        <v>2091</v>
      </c>
      <c r="K1393" s="27" t="s">
        <v>2105</v>
      </c>
    </row>
    <row r="1394" spans="1:11" x14ac:dyDescent="0.35">
      <c r="A1394" s="10" t="s">
        <v>1285</v>
      </c>
      <c r="B1394" s="255">
        <v>9</v>
      </c>
      <c r="C1394" s="10" t="s">
        <v>35</v>
      </c>
      <c r="D1394" s="10">
        <v>1</v>
      </c>
      <c r="E1394" s="10">
        <f>ROW('EFs - Other'!B$31)</f>
        <v>31</v>
      </c>
      <c r="F1394" s="10" t="s">
        <v>690</v>
      </c>
      <c r="G1394" s="10" t="s">
        <v>695</v>
      </c>
      <c r="H1394" s="10" t="str" cm="1">
        <f t="array" aca="1" ref="H1394" ca="1">IF(INDEX(I1394:Z1394,$H$1)=0,"",INDEX(I1394:Z1394,$H$1))</f>
        <v>Piston Valve Operator</v>
      </c>
      <c r="I1394" s="10" t="s">
        <v>3364</v>
      </c>
      <c r="J1394" s="10" t="s">
        <v>2092</v>
      </c>
      <c r="K1394" s="27" t="s">
        <v>2093</v>
      </c>
    </row>
    <row r="1395" spans="1:11" x14ac:dyDescent="0.35">
      <c r="A1395" s="10" t="s">
        <v>1285</v>
      </c>
      <c r="B1395" s="255">
        <v>9</v>
      </c>
      <c r="C1395" s="10" t="s">
        <v>35</v>
      </c>
      <c r="D1395" s="10">
        <v>1</v>
      </c>
      <c r="E1395" s="10">
        <f>ROW('EFs - Other'!B$32)</f>
        <v>32</v>
      </c>
      <c r="F1395" s="10" t="s">
        <v>690</v>
      </c>
      <c r="G1395" s="10" t="s">
        <v>695</v>
      </c>
      <c r="H1395" s="10" t="str" cm="1">
        <f t="array" aca="1" ref="H1395" ca="1">IF(INDEX(I1395:Z1395,$H$1)=0,"",INDEX(I1395:Z1395,$H$1))</f>
        <v>Pneumatic/Hydraulic Valve Operator</v>
      </c>
      <c r="I1395" s="10" t="s">
        <v>3365</v>
      </c>
      <c r="J1395" s="10" t="s">
        <v>2094</v>
      </c>
      <c r="K1395" s="27" t="s">
        <v>2095</v>
      </c>
    </row>
    <row r="1396" spans="1:11" x14ac:dyDescent="0.35">
      <c r="A1396" s="10" t="s">
        <v>1285</v>
      </c>
      <c r="B1396" s="255">
        <v>9</v>
      </c>
      <c r="C1396" s="10" t="s">
        <v>35</v>
      </c>
      <c r="D1396" s="10">
        <v>1</v>
      </c>
      <c r="E1396" s="10">
        <f>ROW('EFs - Other'!B$33)</f>
        <v>33</v>
      </c>
      <c r="F1396" s="10" t="s">
        <v>690</v>
      </c>
      <c r="G1396" s="10" t="s">
        <v>695</v>
      </c>
      <c r="H1396" s="10" t="str" cm="1">
        <f t="array" aca="1" ref="H1396" ca="1">IF(INDEX(I1396:Z1396,$H$1)=0,"",INDEX(I1396:Z1396,$H$1))</f>
        <v>Turbine Valve Operator</v>
      </c>
      <c r="I1396" s="10" t="s">
        <v>3366</v>
      </c>
      <c r="J1396" s="10" t="s">
        <v>2096</v>
      </c>
      <c r="K1396" s="27" t="s">
        <v>2097</v>
      </c>
    </row>
    <row r="1397" spans="1:11" x14ac:dyDescent="0.35">
      <c r="A1397" s="10" t="s">
        <v>1285</v>
      </c>
      <c r="B1397" s="255">
        <v>9</v>
      </c>
      <c r="C1397" s="10" t="s">
        <v>35</v>
      </c>
      <c r="D1397" s="10">
        <v>1</v>
      </c>
      <c r="E1397" s="10">
        <f>ROW('EFs - Other'!B$34)</f>
        <v>34</v>
      </c>
      <c r="F1397" s="10" t="s">
        <v>690</v>
      </c>
      <c r="G1397" s="10" t="s">
        <v>695</v>
      </c>
      <c r="H1397" s="10" t="str" cm="1">
        <f t="array" aca="1" ref="H1397" ca="1">IF(INDEX(I1397:Z1397,$H$1)=0,"",INDEX(I1397:Z1397,$H$1))</f>
        <v>Not Applicable</v>
      </c>
      <c r="I1397" s="10" t="s">
        <v>50</v>
      </c>
      <c r="J1397" s="10" t="s">
        <v>888</v>
      </c>
      <c r="K1397" s="27" t="s">
        <v>1579</v>
      </c>
    </row>
    <row r="1398" spans="1:11" x14ac:dyDescent="0.35">
      <c r="A1398" s="10" t="s">
        <v>1285</v>
      </c>
      <c r="B1398" s="255">
        <v>9</v>
      </c>
      <c r="C1398" s="10" t="s">
        <v>35</v>
      </c>
      <c r="D1398" s="10">
        <v>1</v>
      </c>
      <c r="E1398" s="10">
        <f>ROW('EFs - Other'!B$35)</f>
        <v>35</v>
      </c>
      <c r="F1398" s="10" t="s">
        <v>690</v>
      </c>
      <c r="G1398" s="10" t="s">
        <v>695</v>
      </c>
      <c r="H1398" s="10" t="str" cm="1">
        <f t="array" aca="1" ref="H1398" ca="1">IF(INDEX(I1398:Z1398,$H$1)=0,"",INDEX(I1398:Z1398,$H$1))</f>
        <v>Continuous Vent</v>
      </c>
      <c r="I1398" s="10" t="s">
        <v>2098</v>
      </c>
      <c r="J1398" s="10" t="s">
        <v>2099</v>
      </c>
      <c r="K1398" s="27" t="s">
        <v>2100</v>
      </c>
    </row>
    <row r="1399" spans="1:11" x14ac:dyDescent="0.35">
      <c r="A1399" s="10" t="s">
        <v>1285</v>
      </c>
      <c r="B1399" s="255">
        <v>9</v>
      </c>
      <c r="C1399" s="10" t="s">
        <v>35</v>
      </c>
      <c r="D1399" s="10">
        <v>1</v>
      </c>
      <c r="E1399" s="10">
        <f>ROW('EFs - Other'!B$36)</f>
        <v>36</v>
      </c>
      <c r="F1399" s="10" t="s">
        <v>690</v>
      </c>
      <c r="G1399" s="10" t="s">
        <v>695</v>
      </c>
      <c r="H1399" s="10" t="str" cm="1">
        <f t="array" aca="1" ref="H1399" ca="1">IF(INDEX(I1399:Z1399,$H$1)=0,"",INDEX(I1399:Z1399,$H$1))</f>
        <v>Intermittent Vent</v>
      </c>
      <c r="I1399" s="10" t="s">
        <v>2101</v>
      </c>
      <c r="J1399" s="10" t="s">
        <v>2102</v>
      </c>
      <c r="K1399" s="27" t="s">
        <v>2103</v>
      </c>
    </row>
    <row r="1400" spans="1:11" x14ac:dyDescent="0.35">
      <c r="A1400" s="10" t="s">
        <v>1285</v>
      </c>
      <c r="B1400" s="255">
        <v>9</v>
      </c>
      <c r="C1400" s="10" t="s">
        <v>35</v>
      </c>
      <c r="D1400" s="10">
        <v>1</v>
      </c>
      <c r="E1400" s="10">
        <f>ROW('EFs - Other'!B$37)</f>
        <v>37</v>
      </c>
      <c r="F1400" s="10" t="s">
        <v>690</v>
      </c>
      <c r="G1400" s="10" t="s">
        <v>695</v>
      </c>
      <c r="H1400" s="10" t="str" cm="1">
        <f t="array" aca="1" ref="H1400" ca="1">IF(INDEX(I1400:Z1400,$H$1)=0,"",INDEX(I1400:Z1400,$H$1))</f>
        <v>Type Unknown</v>
      </c>
      <c r="I1400" s="10" t="s">
        <v>2088</v>
      </c>
      <c r="J1400" s="10" t="s">
        <v>2104</v>
      </c>
      <c r="K1400" s="27" t="s">
        <v>2090</v>
      </c>
    </row>
    <row r="1401" spans="1:11" x14ac:dyDescent="0.35">
      <c r="A1401" s="10" t="s">
        <v>1285</v>
      </c>
      <c r="B1401" s="255">
        <v>9</v>
      </c>
      <c r="C1401" s="10" t="s">
        <v>35</v>
      </c>
      <c r="D1401" s="10">
        <v>1</v>
      </c>
      <c r="E1401" s="10">
        <f>ROW('EFs - Other'!B$38)</f>
        <v>38</v>
      </c>
      <c r="F1401" s="10" t="s">
        <v>690</v>
      </c>
      <c r="G1401" s="10" t="s">
        <v>695</v>
      </c>
      <c r="H1401" s="10" t="str" cm="1">
        <f t="array" aca="1" ref="H1401" ca="1">IF(INDEX(I1401:Z1401,$H$1)=0,"",INDEX(I1401:Z1401,$H$1))</f>
        <v>No-Bleed</v>
      </c>
      <c r="I1401" s="10" t="s">
        <v>13</v>
      </c>
      <c r="J1401" s="10" t="s">
        <v>1266</v>
      </c>
      <c r="K1401" s="27" t="s">
        <v>1578</v>
      </c>
    </row>
    <row r="1402" spans="1:11" x14ac:dyDescent="0.35">
      <c r="A1402" s="10" t="s">
        <v>1285</v>
      </c>
      <c r="B1402" s="255">
        <v>9</v>
      </c>
      <c r="C1402" s="10" t="s">
        <v>35</v>
      </c>
      <c r="D1402" s="10">
        <v>1</v>
      </c>
      <c r="E1402" s="10">
        <f>ROW('EFs - Other'!B$39)</f>
        <v>39</v>
      </c>
      <c r="F1402" s="10" t="s">
        <v>690</v>
      </c>
      <c r="G1402" s="10" t="s">
        <v>695</v>
      </c>
      <c r="H1402" s="10" t="str" cm="1">
        <f t="array" aca="1" ref="H1402" ca="1">IF(INDEX(I1402:Z1402,$H$1)=0,"",INDEX(I1402:Z1402,$H$1))</f>
        <v>Not Applicable</v>
      </c>
      <c r="I1402" s="10" t="s">
        <v>50</v>
      </c>
      <c r="J1402" s="10" t="s">
        <v>888</v>
      </c>
      <c r="K1402" s="27" t="s">
        <v>1579</v>
      </c>
    </row>
    <row r="1403" spans="1:11" x14ac:dyDescent="0.35">
      <c r="A1403" s="10" t="s">
        <v>1285</v>
      </c>
      <c r="B1403" s="255">
        <v>9</v>
      </c>
      <c r="C1403" s="10" t="s">
        <v>35</v>
      </c>
      <c r="D1403" s="10">
        <v>1</v>
      </c>
      <c r="E1403" s="10">
        <f>ROW('EFs - Other'!B$40)</f>
        <v>40</v>
      </c>
      <c r="F1403" s="10" t="s">
        <v>690</v>
      </c>
      <c r="G1403" s="10" t="s">
        <v>695</v>
      </c>
      <c r="H1403" s="10" t="str" cm="1">
        <f t="array" aca="1" ref="H1403" ca="1">IF(INDEX(I1403:Z1403,$H$1)=0,"",INDEX(I1403:Z1403,$H$1))</f>
        <v>High-Bleed</v>
      </c>
      <c r="I1403" s="10" t="s">
        <v>11</v>
      </c>
      <c r="J1403" s="10" t="s">
        <v>1248</v>
      </c>
      <c r="K1403" s="27" t="s">
        <v>1575</v>
      </c>
    </row>
    <row r="1404" spans="1:11" x14ac:dyDescent="0.35">
      <c r="A1404" s="10" t="s">
        <v>1285</v>
      </c>
      <c r="B1404" s="255">
        <v>9</v>
      </c>
      <c r="C1404" s="10" t="s">
        <v>35</v>
      </c>
      <c r="D1404" s="10">
        <v>1</v>
      </c>
      <c r="E1404" s="10">
        <f>ROW('EFs - Other'!B$41)</f>
        <v>41</v>
      </c>
      <c r="F1404" s="10" t="s">
        <v>690</v>
      </c>
      <c r="G1404" s="10" t="s">
        <v>695</v>
      </c>
      <c r="H1404" s="10" t="str" cm="1">
        <f t="array" aca="1" ref="H1404" ca="1">IF(INDEX(I1404:Z1404,$H$1)=0,"",INDEX(I1404:Z1404,$H$1))</f>
        <v>Intermittent Bleed</v>
      </c>
      <c r="I1404" s="10" t="s">
        <v>12</v>
      </c>
      <c r="J1404" s="10" t="s">
        <v>890</v>
      </c>
      <c r="K1404" s="27" t="s">
        <v>1576</v>
      </c>
    </row>
    <row r="1405" spans="1:11" x14ac:dyDescent="0.35">
      <c r="A1405" s="10" t="s">
        <v>1285</v>
      </c>
      <c r="B1405" s="255">
        <v>9</v>
      </c>
      <c r="C1405" s="10" t="s">
        <v>35</v>
      </c>
      <c r="D1405" s="10">
        <v>1</v>
      </c>
      <c r="E1405" s="10">
        <f>ROW('EFs - Other'!B$42)</f>
        <v>42</v>
      </c>
      <c r="F1405" s="10" t="s">
        <v>690</v>
      </c>
      <c r="G1405" s="10" t="s">
        <v>695</v>
      </c>
      <c r="H1405" s="10" t="str" cm="1">
        <f t="array" aca="1" ref="H1405" ca="1">IF(INDEX(I1405:Z1405,$H$1)=0,"",INDEX(I1405:Z1405,$H$1))</f>
        <v>Low-Bleed</v>
      </c>
      <c r="I1405" s="10" t="s">
        <v>10</v>
      </c>
      <c r="J1405" s="10" t="s">
        <v>1261</v>
      </c>
      <c r="K1405" s="27" t="s">
        <v>1577</v>
      </c>
    </row>
    <row r="1406" spans="1:11" x14ac:dyDescent="0.35">
      <c r="A1406" s="10" t="s">
        <v>1285</v>
      </c>
      <c r="B1406" s="255">
        <v>9</v>
      </c>
      <c r="C1406" s="10" t="s">
        <v>35</v>
      </c>
      <c r="D1406" s="10">
        <v>1</v>
      </c>
      <c r="E1406" s="10">
        <f>ROW('EFs - Other'!B$43)</f>
        <v>43</v>
      </c>
      <c r="F1406" s="10" t="s">
        <v>690</v>
      </c>
      <c r="G1406" s="10" t="s">
        <v>695</v>
      </c>
      <c r="H1406" s="10" t="str" cm="1">
        <f t="array" aca="1" ref="H1406" ca="1">IF(INDEX(I1406:Z1406,$H$1)=0,"",INDEX(I1406:Z1406,$H$1))</f>
        <v>No-Bleed</v>
      </c>
      <c r="I1406" s="10" t="s">
        <v>13</v>
      </c>
      <c r="J1406" s="10" t="s">
        <v>1266</v>
      </c>
      <c r="K1406" s="27" t="s">
        <v>1578</v>
      </c>
    </row>
    <row r="1407" spans="1:11" x14ac:dyDescent="0.35">
      <c r="A1407" s="10" t="s">
        <v>1285</v>
      </c>
      <c r="B1407" s="255">
        <v>9</v>
      </c>
      <c r="C1407" s="10" t="s">
        <v>35</v>
      </c>
      <c r="D1407" s="10">
        <v>1</v>
      </c>
      <c r="E1407" s="10">
        <f>ROW('EFs - Other'!B$44)</f>
        <v>44</v>
      </c>
      <c r="F1407" s="10" t="s">
        <v>690</v>
      </c>
      <c r="G1407" s="10" t="s">
        <v>695</v>
      </c>
      <c r="H1407" s="10" t="str" cm="1">
        <f t="array" aca="1" ref="H1407" ca="1">IF(INDEX(I1407:Z1407,$H$1)=0,"",INDEX(I1407:Z1407,$H$1))</f>
        <v>Not Applicable</v>
      </c>
      <c r="I1407" s="10" t="s">
        <v>50</v>
      </c>
      <c r="J1407" s="10" t="s">
        <v>888</v>
      </c>
      <c r="K1407" s="27" t="s">
        <v>1579</v>
      </c>
    </row>
    <row r="1408" spans="1:11" x14ac:dyDescent="0.35">
      <c r="A1408" s="10" t="s">
        <v>1285</v>
      </c>
      <c r="B1408" s="255">
        <v>9</v>
      </c>
      <c r="C1408" s="10" t="s">
        <v>35</v>
      </c>
      <c r="D1408" s="10">
        <v>1</v>
      </c>
      <c r="E1408" s="10">
        <f>ROW('EFs - Other'!B$45)</f>
        <v>45</v>
      </c>
      <c r="F1408" s="10" t="s">
        <v>690</v>
      </c>
      <c r="G1408" s="10" t="s">
        <v>695</v>
      </c>
      <c r="H1408" s="10" t="str" cm="1">
        <f t="array" aca="1" ref="H1408" ca="1">IF(INDEX(I1408:Z1408,$H$1)=0,"",INDEX(I1408:Z1408,$H$1))</f>
        <v>High-Bleed</v>
      </c>
      <c r="I1408" s="10" t="s">
        <v>11</v>
      </c>
      <c r="J1408" s="10" t="s">
        <v>1248</v>
      </c>
      <c r="K1408" s="27" t="s">
        <v>1575</v>
      </c>
    </row>
    <row r="1409" spans="1:11" x14ac:dyDescent="0.35">
      <c r="A1409" s="10" t="s">
        <v>1285</v>
      </c>
      <c r="B1409" s="255">
        <v>9</v>
      </c>
      <c r="C1409" s="10" t="s">
        <v>35</v>
      </c>
      <c r="D1409" s="10">
        <v>1</v>
      </c>
      <c r="E1409" s="10">
        <f>ROW('EFs - Other'!B$46)</f>
        <v>46</v>
      </c>
      <c r="F1409" s="10" t="s">
        <v>690</v>
      </c>
      <c r="G1409" s="10" t="s">
        <v>695</v>
      </c>
      <c r="H1409" s="10" t="str" cm="1">
        <f t="array" aca="1" ref="H1409" ca="1">IF(INDEX(I1409:Z1409,$H$1)=0,"",INDEX(I1409:Z1409,$H$1))</f>
        <v>Intermittent Bleed</v>
      </c>
      <c r="I1409" s="10" t="s">
        <v>12</v>
      </c>
      <c r="J1409" s="10" t="s">
        <v>890</v>
      </c>
      <c r="K1409" s="27" t="s">
        <v>1576</v>
      </c>
    </row>
    <row r="1410" spans="1:11" x14ac:dyDescent="0.35">
      <c r="A1410" s="10" t="s">
        <v>1285</v>
      </c>
      <c r="B1410" s="255">
        <v>9</v>
      </c>
      <c r="C1410" s="10" t="s">
        <v>35</v>
      </c>
      <c r="D1410" s="10">
        <v>1</v>
      </c>
      <c r="E1410" s="10">
        <f>ROW('EFs - Other'!B$47)</f>
        <v>47</v>
      </c>
      <c r="F1410" s="10" t="s">
        <v>690</v>
      </c>
      <c r="G1410" s="10" t="s">
        <v>695</v>
      </c>
      <c r="H1410" s="10" t="str" cm="1">
        <f t="array" aca="1" ref="H1410" ca="1">IF(INDEX(I1410:Z1410,$H$1)=0,"",INDEX(I1410:Z1410,$H$1))</f>
        <v>Low-Bleed</v>
      </c>
      <c r="I1410" s="10" t="s">
        <v>10</v>
      </c>
      <c r="J1410" s="10" t="s">
        <v>1261</v>
      </c>
      <c r="K1410" s="27" t="s">
        <v>1577</v>
      </c>
    </row>
    <row r="1411" spans="1:11" x14ac:dyDescent="0.35">
      <c r="A1411" s="10" t="s">
        <v>1285</v>
      </c>
      <c r="B1411" s="255">
        <v>9</v>
      </c>
      <c r="C1411" s="10" t="s">
        <v>35</v>
      </c>
      <c r="D1411" s="10">
        <v>1</v>
      </c>
      <c r="E1411" s="10">
        <f>ROW('EFs - Other'!B$48)</f>
        <v>48</v>
      </c>
      <c r="F1411" s="10" t="s">
        <v>690</v>
      </c>
      <c r="G1411" s="10" t="s">
        <v>695</v>
      </c>
      <c r="H1411" s="10" t="str" cm="1">
        <f t="array" aca="1" ref="H1411" ca="1">IF(INDEX(I1411:Z1411,$H$1)=0,"",INDEX(I1411:Z1411,$H$1))</f>
        <v>No-Bleed</v>
      </c>
      <c r="I1411" s="10" t="s">
        <v>13</v>
      </c>
      <c r="J1411" s="10" t="s">
        <v>1266</v>
      </c>
      <c r="K1411" s="27" t="s">
        <v>1578</v>
      </c>
    </row>
    <row r="1412" spans="1:11" x14ac:dyDescent="0.35">
      <c r="A1412" s="10" t="s">
        <v>1285</v>
      </c>
      <c r="B1412" s="255">
        <v>9</v>
      </c>
      <c r="C1412" s="10" t="s">
        <v>35</v>
      </c>
      <c r="D1412" s="10">
        <v>1</v>
      </c>
      <c r="E1412" s="10">
        <f>ROW('EFs - Other'!B$54)</f>
        <v>54</v>
      </c>
      <c r="F1412" s="10" t="s">
        <v>690</v>
      </c>
      <c r="G1412" s="10" t="s">
        <v>695</v>
      </c>
      <c r="H1412" s="10" t="str" cm="1">
        <f t="array" aca="1" ref="H1412" ca="1">IF(INDEX(I1412:Z1412,$H$1)=0,"",INDEX(I1412:Z1412,$H$1))</f>
        <v>Not Applicable</v>
      </c>
      <c r="I1412" s="10" t="s">
        <v>50</v>
      </c>
      <c r="J1412" s="10" t="s">
        <v>888</v>
      </c>
      <c r="K1412" s="27" t="s">
        <v>1579</v>
      </c>
    </row>
    <row r="1413" spans="1:11" x14ac:dyDescent="0.35">
      <c r="A1413" s="10" t="s">
        <v>1285</v>
      </c>
      <c r="B1413" s="255">
        <v>9</v>
      </c>
      <c r="C1413" s="10" t="s">
        <v>236</v>
      </c>
      <c r="D1413" s="10">
        <v>2</v>
      </c>
      <c r="E1413" s="10">
        <v>28</v>
      </c>
      <c r="F1413" s="10" t="s">
        <v>687</v>
      </c>
      <c r="G1413" s="10" t="s">
        <v>688</v>
      </c>
      <c r="H1413" s="10" t="str" cm="1">
        <f t="array" aca="1" ref="H1413" ca="1">IF(INDEX(I1413:Z1413,$H$1)=0,"",INDEX(I1413:Z1413,$H$1))</f>
        <v>Pneumatic Chemical Injection Pumps</v>
      </c>
      <c r="I1413" s="10" t="s">
        <v>236</v>
      </c>
      <c r="J1413" s="10" t="s">
        <v>935</v>
      </c>
      <c r="K1413" s="27" t="s">
        <v>1686</v>
      </c>
    </row>
    <row r="1414" spans="1:11" x14ac:dyDescent="0.35">
      <c r="A1414" s="10" t="s">
        <v>1285</v>
      </c>
      <c r="B1414" s="255">
        <v>9</v>
      </c>
      <c r="C1414" s="10" t="s">
        <v>236</v>
      </c>
      <c r="D1414" s="10">
        <v>2</v>
      </c>
      <c r="E1414" s="10">
        <v>30</v>
      </c>
      <c r="F1414" s="10" t="s">
        <v>687</v>
      </c>
      <c r="G1414" s="10" t="s">
        <v>696</v>
      </c>
      <c r="H1414" s="10" t="str" cm="1">
        <f t="array" aca="1" ref="H1414" ca="1">IF(INDEX(I1414:Z1414,$H$1)=0,"",INDEX(I1414:Z1414,$H$1))</f>
        <v>Industry Segment</v>
      </c>
      <c r="I1414" s="10" t="s">
        <v>30</v>
      </c>
      <c r="J1414" s="10" t="s">
        <v>697</v>
      </c>
      <c r="K1414" s="27" t="s">
        <v>1385</v>
      </c>
    </row>
    <row r="1415" spans="1:11" x14ac:dyDescent="0.35">
      <c r="A1415" s="10" t="s">
        <v>1285</v>
      </c>
      <c r="B1415" s="255">
        <v>9</v>
      </c>
      <c r="C1415" s="10" t="s">
        <v>236</v>
      </c>
      <c r="D1415" s="10">
        <v>2</v>
      </c>
      <c r="E1415" s="10">
        <v>30</v>
      </c>
      <c r="F1415" s="10" t="s">
        <v>690</v>
      </c>
      <c r="G1415" s="10" t="s">
        <v>696</v>
      </c>
      <c r="H1415" s="10" t="str" cm="1">
        <f t="array" aca="1" ref="H1415" ca="1">IF(INDEX(I1415:Z1415,$H$1)=0,"",INDEX(I1415:Z1415,$H$1))</f>
        <v>Subcategory</v>
      </c>
      <c r="I1415" s="10" t="s">
        <v>46</v>
      </c>
      <c r="J1415" s="10" t="s">
        <v>936</v>
      </c>
      <c r="K1415" s="27" t="s">
        <v>1687</v>
      </c>
    </row>
    <row r="1416" spans="1:11" x14ac:dyDescent="0.35">
      <c r="A1416" s="10" t="s">
        <v>1285</v>
      </c>
      <c r="B1416" s="255">
        <v>9</v>
      </c>
      <c r="C1416" s="10" t="s">
        <v>236</v>
      </c>
      <c r="D1416" s="10">
        <v>2</v>
      </c>
      <c r="E1416" s="10">
        <v>30</v>
      </c>
      <c r="F1416" s="10" t="s">
        <v>38</v>
      </c>
      <c r="G1416" s="10" t="s">
        <v>696</v>
      </c>
      <c r="H1416" s="10" t="str" cm="1">
        <f t="array" aca="1" ref="H1416" ca="1">IF(INDEX(I1416:Z1416,$H$1)=0,"",INDEX(I1416:Z1416,$H$1))</f>
        <v>Uncontrolled Emission Factor</v>
      </c>
      <c r="I1416" s="10" t="s">
        <v>349</v>
      </c>
      <c r="J1416" s="10" t="s">
        <v>937</v>
      </c>
      <c r="K1416" s="27" t="s">
        <v>1675</v>
      </c>
    </row>
    <row r="1417" spans="1:11" x14ac:dyDescent="0.35">
      <c r="A1417" s="10" t="s">
        <v>1285</v>
      </c>
      <c r="B1417" s="255">
        <v>9</v>
      </c>
      <c r="C1417" s="10" t="s">
        <v>236</v>
      </c>
      <c r="D1417" s="10">
        <v>2</v>
      </c>
      <c r="E1417" s="10">
        <v>30</v>
      </c>
      <c r="F1417" s="10" t="s">
        <v>692</v>
      </c>
      <c r="G1417" s="10" t="s">
        <v>696</v>
      </c>
      <c r="H1417" s="10" t="str" cm="1">
        <f t="array" aca="1" ref="H1417" ca="1">IF(INDEX(I1417:Z1417,$H$1)=0,"",INDEX(I1417:Z1417,$H$1))</f>
        <v>Data Source</v>
      </c>
      <c r="I1417" s="10" t="s">
        <v>36</v>
      </c>
      <c r="J1417" s="10" t="s">
        <v>938</v>
      </c>
      <c r="K1417" s="27" t="s">
        <v>1688</v>
      </c>
    </row>
    <row r="1418" spans="1:11" x14ac:dyDescent="0.35">
      <c r="A1418" s="10" t="s">
        <v>1285</v>
      </c>
      <c r="B1418" s="255">
        <v>9</v>
      </c>
      <c r="C1418" s="10" t="s">
        <v>236</v>
      </c>
      <c r="D1418" s="10">
        <v>2</v>
      </c>
      <c r="E1418" s="10">
        <v>30</v>
      </c>
      <c r="F1418" s="10" t="s">
        <v>693</v>
      </c>
      <c r="G1418" s="10" t="s">
        <v>696</v>
      </c>
      <c r="H1418" s="10" t="str" cm="1">
        <f t="array" aca="1" ref="H1418" ca="1">IF(INDEX(I1418:Z1418,$H$1)=0,"",INDEX(I1418:Z1418,$H$1))</f>
        <v>As Reported in the Reference</v>
      </c>
      <c r="I1418" s="10" t="s">
        <v>40</v>
      </c>
      <c r="J1418" s="10" t="s">
        <v>933</v>
      </c>
      <c r="K1418" s="27" t="s">
        <v>1677</v>
      </c>
    </row>
    <row r="1419" spans="1:11" x14ac:dyDescent="0.35">
      <c r="A1419" s="10" t="s">
        <v>1285</v>
      </c>
      <c r="B1419" s="255">
        <v>9</v>
      </c>
      <c r="C1419" s="10" t="s">
        <v>236</v>
      </c>
      <c r="D1419" s="10">
        <v>2</v>
      </c>
      <c r="E1419" s="10">
        <v>30</v>
      </c>
      <c r="F1419" s="10" t="s">
        <v>712</v>
      </c>
      <c r="G1419" s="10" t="s">
        <v>696</v>
      </c>
      <c r="H1419" s="10" t="str" cm="1">
        <f t="array" aca="1" ref="H1419" ca="1">IF(INDEX(I1419:Z1419,$H$1)=0,"",INDEX(I1419:Z1419,$H$1))</f>
        <v>Conversion Factor</v>
      </c>
      <c r="I1419" s="10" t="s">
        <v>15</v>
      </c>
      <c r="J1419" s="10" t="s">
        <v>1220</v>
      </c>
      <c r="K1419" s="27" t="s">
        <v>1678</v>
      </c>
    </row>
    <row r="1420" spans="1:11" x14ac:dyDescent="0.35">
      <c r="A1420" s="10" t="s">
        <v>1285</v>
      </c>
      <c r="B1420" s="255">
        <v>9</v>
      </c>
      <c r="C1420" s="10" t="s">
        <v>236</v>
      </c>
      <c r="D1420" s="10">
        <v>2</v>
      </c>
      <c r="E1420" s="10">
        <v>31</v>
      </c>
      <c r="F1420" s="10" t="s">
        <v>38</v>
      </c>
      <c r="G1420" s="10" t="s">
        <v>696</v>
      </c>
      <c r="H1420" s="10" t="str" cm="1">
        <f t="array" aca="1" ref="H1420" ca="1">IF(INDEX(I1420:Z1420,$H$1)=0,"",INDEX(I1420:Z1420,$H$1))</f>
        <v>(Nm3/d/pump)</v>
      </c>
      <c r="I1420" s="10" t="s">
        <v>873</v>
      </c>
      <c r="J1420" s="10" t="s">
        <v>1080</v>
      </c>
      <c r="K1420" s="27" t="s">
        <v>1585</v>
      </c>
    </row>
    <row r="1421" spans="1:11" x14ac:dyDescent="0.35">
      <c r="A1421" s="10" t="s">
        <v>1285</v>
      </c>
      <c r="B1421" s="255">
        <v>9</v>
      </c>
      <c r="C1421" s="10" t="s">
        <v>236</v>
      </c>
      <c r="D1421" s="10">
        <v>2</v>
      </c>
      <c r="E1421" s="10">
        <v>31</v>
      </c>
      <c r="F1421" s="10" t="s">
        <v>693</v>
      </c>
      <c r="G1421" s="10" t="s">
        <v>696</v>
      </c>
      <c r="H1421" s="10" t="str" cm="1">
        <f t="array" aca="1" ref="H1421" ca="1">IF(INDEX(I1421:Z1421,$H$1)=0,"",INDEX(I1421:Z1421,$H$1))</f>
        <v>EF Value</v>
      </c>
      <c r="I1421" s="10" t="s">
        <v>39</v>
      </c>
      <c r="J1421" s="10" t="s">
        <v>934</v>
      </c>
      <c r="K1421" s="27" t="s">
        <v>1682</v>
      </c>
    </row>
    <row r="1422" spans="1:11" x14ac:dyDescent="0.35">
      <c r="A1422" s="10" t="s">
        <v>1285</v>
      </c>
      <c r="B1422" s="255">
        <v>9</v>
      </c>
      <c r="C1422" s="10" t="s">
        <v>236</v>
      </c>
      <c r="D1422" s="10">
        <v>2</v>
      </c>
      <c r="E1422" s="10">
        <v>31</v>
      </c>
      <c r="F1422" s="10" t="s">
        <v>694</v>
      </c>
      <c r="G1422" s="10" t="s">
        <v>696</v>
      </c>
      <c r="H1422" s="10" t="str" cm="1">
        <f t="array" aca="1" ref="H1422" ca="1">IF(INDEX(I1422:Z1422,$H$1)=0,"",INDEX(I1422:Z1422,$H$1))</f>
        <v xml:space="preserve">Units of </v>
      </c>
      <c r="I1422" s="10" t="s">
        <v>37</v>
      </c>
      <c r="J1422" s="10" t="s">
        <v>740</v>
      </c>
      <c r="K1422" s="27" t="s">
        <v>1685</v>
      </c>
    </row>
    <row r="1423" spans="1:11" x14ac:dyDescent="0.35">
      <c r="A1423" s="10" t="s">
        <v>1285</v>
      </c>
      <c r="B1423" s="255">
        <v>9</v>
      </c>
      <c r="C1423" s="10" t="s">
        <v>236</v>
      </c>
      <c r="D1423" s="10">
        <v>2</v>
      </c>
      <c r="E1423" s="10">
        <v>31</v>
      </c>
      <c r="F1423" s="10" t="s">
        <v>711</v>
      </c>
      <c r="G1423" s="10" t="s">
        <v>696</v>
      </c>
      <c r="H1423" s="10" t="str" cm="1">
        <f t="array" aca="1" ref="H1423" ca="1">IF(INDEX(I1423:Z1423,$H$1)=0,"",INDEX(I1423:Z1423,$H$1))</f>
        <v xml:space="preserve">CH4 Content </v>
      </c>
      <c r="I1423" s="10" t="s">
        <v>41</v>
      </c>
      <c r="J1423" s="10" t="s">
        <v>805</v>
      </c>
      <c r="K1423" s="27" t="s">
        <v>1502</v>
      </c>
    </row>
    <row r="1424" spans="1:11" x14ac:dyDescent="0.35">
      <c r="A1424" s="10" t="s">
        <v>1285</v>
      </c>
      <c r="B1424" s="255">
        <v>9</v>
      </c>
      <c r="C1424" s="10" t="s">
        <v>236</v>
      </c>
      <c r="D1424" s="10">
        <v>2</v>
      </c>
      <c r="E1424" s="10">
        <v>31</v>
      </c>
      <c r="F1424" s="10" t="s">
        <v>591</v>
      </c>
      <c r="G1424" s="10" t="s">
        <v>696</v>
      </c>
      <c r="H1424" s="10" t="str" cm="1">
        <f t="array" aca="1" ref="H1424" ca="1">IF(INDEX(I1424:Z1424,$H$1)=0,"",INDEX(I1424:Z1424,$H$1))</f>
        <v>Value</v>
      </c>
      <c r="I1424" s="10" t="s">
        <v>6</v>
      </c>
      <c r="J1424" s="10" t="s">
        <v>725</v>
      </c>
      <c r="K1424" s="27" t="s">
        <v>1411</v>
      </c>
    </row>
    <row r="1425" spans="1:11" x14ac:dyDescent="0.35">
      <c r="A1425" s="10" t="s">
        <v>1285</v>
      </c>
      <c r="B1425" s="255">
        <v>9</v>
      </c>
      <c r="C1425" s="10" t="s">
        <v>236</v>
      </c>
      <c r="D1425" s="10">
        <v>2</v>
      </c>
      <c r="E1425" s="10">
        <v>31</v>
      </c>
      <c r="F1425" s="10" t="s">
        <v>712</v>
      </c>
      <c r="G1425" s="10" t="s">
        <v>696</v>
      </c>
      <c r="H1425" s="10" t="str" cm="1">
        <f t="array" aca="1" ref="H1425" ca="1">IF(INDEX(I1425:Z1425,$H$1)=0,"",INDEX(I1425:Z1425,$H$1))</f>
        <v>Conversion</v>
      </c>
      <c r="I1425" s="10" t="s">
        <v>16</v>
      </c>
      <c r="J1425" s="10" t="s">
        <v>1219</v>
      </c>
      <c r="K1425" s="27" t="s">
        <v>1684</v>
      </c>
    </row>
    <row r="1426" spans="1:11" x14ac:dyDescent="0.35">
      <c r="A1426" s="10" t="s">
        <v>1285</v>
      </c>
      <c r="B1426" s="255">
        <v>9</v>
      </c>
      <c r="C1426" s="10" t="s">
        <v>236</v>
      </c>
      <c r="D1426" s="10">
        <v>2</v>
      </c>
      <c r="E1426" s="10">
        <v>32</v>
      </c>
      <c r="F1426" s="10" t="s">
        <v>694</v>
      </c>
      <c r="G1426" s="10" t="s">
        <v>696</v>
      </c>
      <c r="H1426" s="10" t="str" cm="1">
        <f t="array" aca="1" ref="H1426" ca="1">IF(INDEX(I1426:Z1426,$H$1)=0,"",INDEX(I1426:Z1426,$H$1))</f>
        <v>Measure</v>
      </c>
      <c r="I1426" s="10" t="s">
        <v>8</v>
      </c>
      <c r="J1426" s="10" t="s">
        <v>1262</v>
      </c>
      <c r="K1426" s="27" t="s">
        <v>1683</v>
      </c>
    </row>
    <row r="1427" spans="1:11" x14ac:dyDescent="0.35">
      <c r="A1427" s="10" t="s">
        <v>1285</v>
      </c>
      <c r="B1427" s="255">
        <v>9</v>
      </c>
      <c r="C1427" s="10" t="s">
        <v>236</v>
      </c>
      <c r="D1427" s="10">
        <v>2</v>
      </c>
      <c r="E1427" s="10">
        <v>32</v>
      </c>
      <c r="F1427" s="10" t="s">
        <v>711</v>
      </c>
      <c r="G1427" s="10" t="s">
        <v>696</v>
      </c>
      <c r="H1427" s="10" t="str" cm="1">
        <f t="array" aca="1" ref="H1427" ca="1">IF(INDEX(I1427:Z1427,$H$1)=0,"",INDEX(I1427:Z1427,$H$1))</f>
        <v>Basis for Industry Segment</v>
      </c>
      <c r="I1427" s="10" t="s">
        <v>42</v>
      </c>
      <c r="J1427" s="10" t="s">
        <v>1204</v>
      </c>
      <c r="K1427" s="27" t="s">
        <v>1689</v>
      </c>
    </row>
    <row r="1428" spans="1:11" x14ac:dyDescent="0.35">
      <c r="A1428" s="10" t="s">
        <v>1285</v>
      </c>
      <c r="B1428" s="255">
        <v>9</v>
      </c>
      <c r="C1428" s="10" t="s">
        <v>236</v>
      </c>
      <c r="D1428" s="10">
        <v>2</v>
      </c>
      <c r="E1428" s="10">
        <v>33</v>
      </c>
      <c r="F1428" s="10" t="s">
        <v>711</v>
      </c>
      <c r="G1428" s="10" t="s">
        <v>696</v>
      </c>
      <c r="H1428" s="10" t="str" cm="1">
        <f t="array" aca="1" ref="H1428" ca="1">IF(INDEX(I1428:Z1428,$H$1)=0,"",INDEX(I1428:Z1428,$H$1))</f>
        <v>(Mol%)</v>
      </c>
      <c r="I1428" s="10" t="s">
        <v>43</v>
      </c>
      <c r="J1428" s="10" t="s">
        <v>43</v>
      </c>
      <c r="K1428" s="27" t="s">
        <v>1496</v>
      </c>
    </row>
    <row r="1429" spans="1:11" x14ac:dyDescent="0.35">
      <c r="A1429" s="10" t="s">
        <v>1285</v>
      </c>
      <c r="B1429" s="255">
        <v>9</v>
      </c>
      <c r="C1429" s="10" t="s">
        <v>236</v>
      </c>
      <c r="D1429" s="10">
        <v>2</v>
      </c>
      <c r="E1429" s="10">
        <v>34</v>
      </c>
      <c r="F1429" s="10" t="s">
        <v>690</v>
      </c>
      <c r="G1429" s="10" t="s">
        <v>696</v>
      </c>
      <c r="H1429" s="10" t="str" cm="1">
        <f t="array" aca="1" ref="H1429" ca="1">IF(INDEX(I1429:Z1429,$H$1)=0,"",INDEX(I1429:Z1429,$H$1))</f>
        <v xml:space="preserve">Piston pumps </v>
      </c>
      <c r="I1429" s="10" t="s">
        <v>2108</v>
      </c>
      <c r="J1429" s="10" t="s">
        <v>2109</v>
      </c>
      <c r="K1429" s="27" t="s">
        <v>2110</v>
      </c>
    </row>
    <row r="1430" spans="1:11" x14ac:dyDescent="0.35">
      <c r="A1430" s="10" t="s">
        <v>1285</v>
      </c>
      <c r="B1430" s="255">
        <v>9</v>
      </c>
      <c r="C1430" s="10" t="s">
        <v>236</v>
      </c>
      <c r="D1430" s="10">
        <v>2</v>
      </c>
      <c r="E1430" s="10">
        <v>35</v>
      </c>
      <c r="F1430" s="10" t="s">
        <v>690</v>
      </c>
      <c r="G1430" s="10" t="s">
        <v>696</v>
      </c>
      <c r="H1430" s="10" t="str" cm="1">
        <f t="array" aca="1" ref="H1430" ca="1">IF(INDEX(I1430:Z1430,$H$1)=0,"",INDEX(I1430:Z1430,$H$1))</f>
        <v xml:space="preserve">Piston pumps </v>
      </c>
      <c r="I1430" s="10" t="s">
        <v>2108</v>
      </c>
      <c r="J1430" s="10" t="s">
        <v>2109</v>
      </c>
      <c r="K1430" s="27" t="s">
        <v>2110</v>
      </c>
    </row>
    <row r="1431" spans="1:11" x14ac:dyDescent="0.35">
      <c r="A1431" s="10" t="s">
        <v>1285</v>
      </c>
      <c r="B1431" s="255">
        <v>9</v>
      </c>
      <c r="C1431" s="10" t="s">
        <v>236</v>
      </c>
      <c r="D1431" s="10">
        <v>2</v>
      </c>
      <c r="E1431" s="10">
        <v>36</v>
      </c>
      <c r="F1431" s="10" t="s">
        <v>690</v>
      </c>
      <c r="G1431" s="10" t="s">
        <v>696</v>
      </c>
      <c r="H1431" s="10" t="str" cm="1">
        <f t="array" aca="1" ref="H1431" ca="1">IF(INDEX(I1431:Z1431,$H$1)=0,"",INDEX(I1431:Z1431,$H$1))</f>
        <v xml:space="preserve">Piston pumps </v>
      </c>
      <c r="I1431" s="10" t="s">
        <v>2108</v>
      </c>
      <c r="J1431" s="10" t="s">
        <v>2109</v>
      </c>
      <c r="K1431" s="27" t="s">
        <v>2110</v>
      </c>
    </row>
    <row r="1432" spans="1:11" x14ac:dyDescent="0.35">
      <c r="A1432" s="10" t="s">
        <v>1285</v>
      </c>
      <c r="B1432" s="255">
        <v>9</v>
      </c>
      <c r="C1432" s="10" t="s">
        <v>236</v>
      </c>
      <c r="D1432" s="10">
        <v>2</v>
      </c>
      <c r="E1432" s="10">
        <v>37</v>
      </c>
      <c r="F1432" s="10" t="s">
        <v>690</v>
      </c>
      <c r="G1432" s="10" t="s">
        <v>696</v>
      </c>
      <c r="H1432" s="10" t="str" cm="1">
        <f t="array" aca="1" ref="H1432" ca="1">IF(INDEX(I1432:Z1432,$H$1)=0,"",INDEX(I1432:Z1432,$H$1))</f>
        <v xml:space="preserve">Diaphragm pumps </v>
      </c>
      <c r="I1432" s="10" t="s">
        <v>2111</v>
      </c>
      <c r="J1432" s="10" t="s">
        <v>2112</v>
      </c>
      <c r="K1432" s="27" t="s">
        <v>2113</v>
      </c>
    </row>
    <row r="1433" spans="1:11" x14ac:dyDescent="0.35">
      <c r="A1433" s="10" t="s">
        <v>1285</v>
      </c>
      <c r="B1433" s="255">
        <v>9</v>
      </c>
      <c r="C1433" s="10" t="s">
        <v>236</v>
      </c>
      <c r="D1433" s="10">
        <v>2</v>
      </c>
      <c r="E1433" s="10">
        <v>38</v>
      </c>
      <c r="F1433" s="10" t="s">
        <v>690</v>
      </c>
      <c r="G1433" s="10" t="s">
        <v>696</v>
      </c>
      <c r="H1433" s="10" t="str" cm="1">
        <f t="array" aca="1" ref="H1433" ca="1">IF(INDEX(I1433:Z1433,$H$1)=0,"",INDEX(I1433:Z1433,$H$1))</f>
        <v xml:space="preserve">Diaphragm pumps </v>
      </c>
      <c r="I1433" s="10" t="s">
        <v>2111</v>
      </c>
      <c r="J1433" s="10" t="s">
        <v>2114</v>
      </c>
      <c r="K1433" s="27" t="s">
        <v>2115</v>
      </c>
    </row>
    <row r="1434" spans="1:11" x14ac:dyDescent="0.35">
      <c r="A1434" s="10" t="s">
        <v>1285</v>
      </c>
      <c r="B1434" s="255">
        <v>9</v>
      </c>
      <c r="C1434" s="10" t="s">
        <v>236</v>
      </c>
      <c r="D1434" s="10">
        <v>2</v>
      </c>
      <c r="E1434" s="10">
        <v>39</v>
      </c>
      <c r="F1434" s="10" t="s">
        <v>690</v>
      </c>
      <c r="G1434" s="10" t="s">
        <v>696</v>
      </c>
      <c r="H1434" s="10" t="str" cm="1">
        <f t="array" aca="1" ref="H1434" ca="1">IF(INDEX(I1434:Z1434,$H$1)=0,"",INDEX(I1434:Z1434,$H$1))</f>
        <v>Diaphragm pumps</v>
      </c>
      <c r="I1434" s="10" t="s">
        <v>2116</v>
      </c>
      <c r="J1434" s="10" t="s">
        <v>2114</v>
      </c>
      <c r="K1434" s="27" t="s">
        <v>2115</v>
      </c>
    </row>
    <row r="1435" spans="1:11" x14ac:dyDescent="0.35">
      <c r="A1435" s="10" t="s">
        <v>1285</v>
      </c>
      <c r="B1435" s="255">
        <v>9</v>
      </c>
      <c r="C1435" s="10" t="s">
        <v>236</v>
      </c>
      <c r="D1435" s="10">
        <v>2</v>
      </c>
      <c r="E1435" s="10">
        <v>40</v>
      </c>
      <c r="F1435" s="10" t="s">
        <v>690</v>
      </c>
      <c r="G1435" s="10" t="s">
        <v>696</v>
      </c>
      <c r="H1435" s="10" t="str" cm="1">
        <f t="array" aca="1" ref="H1435" ca="1">IF(INDEX(I1435:Z1435,$H$1)=0,"",INDEX(I1435:Z1435,$H$1))</f>
        <v>Average pump (if type unknown)</v>
      </c>
      <c r="I1435" s="10" t="s">
        <v>238</v>
      </c>
      <c r="J1435" s="10" t="s">
        <v>2117</v>
      </c>
      <c r="K1435" s="27" t="s">
        <v>1690</v>
      </c>
    </row>
    <row r="1436" spans="1:11" x14ac:dyDescent="0.35">
      <c r="A1436" s="10" t="s">
        <v>1285</v>
      </c>
      <c r="B1436" s="255">
        <v>9</v>
      </c>
      <c r="C1436" s="10" t="s">
        <v>236</v>
      </c>
      <c r="D1436" s="10">
        <v>2</v>
      </c>
      <c r="E1436" s="10">
        <v>41</v>
      </c>
      <c r="F1436" s="10" t="s">
        <v>690</v>
      </c>
      <c r="G1436" s="10" t="s">
        <v>696</v>
      </c>
      <c r="H1436" s="10" t="str" cm="1">
        <f t="array" aca="1" ref="H1436" ca="1">IF(INDEX(I1436:Z1436,$H$1)=0,"",INDEX(I1436:Z1436,$H$1))</f>
        <v>Average pump (if type unknown)</v>
      </c>
      <c r="I1436" s="10" t="s">
        <v>238</v>
      </c>
      <c r="J1436" s="10" t="s">
        <v>2117</v>
      </c>
      <c r="K1436" s="27" t="s">
        <v>1690</v>
      </c>
    </row>
    <row r="1437" spans="1:11" x14ac:dyDescent="0.35">
      <c r="A1437" s="10" t="s">
        <v>1285</v>
      </c>
      <c r="B1437" s="255">
        <v>9</v>
      </c>
      <c r="C1437" s="10" t="s">
        <v>236</v>
      </c>
      <c r="D1437" s="10">
        <v>2</v>
      </c>
      <c r="E1437" s="10">
        <v>41</v>
      </c>
      <c r="F1437" s="10" t="s">
        <v>690</v>
      </c>
      <c r="G1437" s="10" t="s">
        <v>696</v>
      </c>
      <c r="H1437" s="10" t="str" cm="1">
        <f t="array" aca="1" ref="H1437" ca="1">IF(INDEX(I1437:Z1437,$H$1)=0,"",INDEX(I1437:Z1437,$H$1))</f>
        <v>Average pump (if type unknown)</v>
      </c>
      <c r="I1437" s="10" t="s">
        <v>238</v>
      </c>
      <c r="J1437" s="10" t="s">
        <v>2117</v>
      </c>
      <c r="K1437" s="27" t="s">
        <v>1690</v>
      </c>
    </row>
    <row r="1438" spans="1:11" x14ac:dyDescent="0.35">
      <c r="A1438" s="10" t="s">
        <v>1285</v>
      </c>
      <c r="B1438" s="255">
        <v>9</v>
      </c>
      <c r="C1438" s="10" t="s">
        <v>0</v>
      </c>
      <c r="D1438" s="10">
        <v>3</v>
      </c>
      <c r="E1438" s="10">
        <v>45</v>
      </c>
      <c r="F1438" s="10" t="s">
        <v>687</v>
      </c>
      <c r="G1438" s="10" t="s">
        <v>688</v>
      </c>
      <c r="H1438" s="10" t="str" cm="1">
        <f t="array" aca="1" ref="H1438" ca="1">IF(INDEX(I1438:Z1438,$H$1)=0,"",INDEX(I1438:Z1438,$H$1))</f>
        <v>Dehydrators:</v>
      </c>
      <c r="I1438" s="10" t="s">
        <v>0</v>
      </c>
      <c r="J1438" s="10" t="s">
        <v>939</v>
      </c>
      <c r="K1438" s="27" t="s">
        <v>1691</v>
      </c>
    </row>
    <row r="1439" spans="1:11" x14ac:dyDescent="0.35">
      <c r="A1439" s="10" t="s">
        <v>1285</v>
      </c>
      <c r="B1439" s="255">
        <v>9</v>
      </c>
      <c r="C1439" s="10" t="s">
        <v>0</v>
      </c>
      <c r="D1439" s="10">
        <v>3</v>
      </c>
      <c r="E1439" s="10">
        <v>47</v>
      </c>
      <c r="F1439" s="10" t="s">
        <v>687</v>
      </c>
      <c r="G1439" s="10" t="s">
        <v>696</v>
      </c>
      <c r="H1439" s="10" t="str" cm="1">
        <f t="array" aca="1" ref="H1439" ca="1">IF(INDEX(I1439:Z1439,$H$1)=0,"",INDEX(I1439:Z1439,$H$1))</f>
        <v>Industry Segment</v>
      </c>
      <c r="I1439" s="10" t="s">
        <v>30</v>
      </c>
      <c r="J1439" s="10" t="s">
        <v>697</v>
      </c>
      <c r="K1439" s="27" t="s">
        <v>1385</v>
      </c>
    </row>
    <row r="1440" spans="1:11" x14ac:dyDescent="0.35">
      <c r="A1440" s="10" t="s">
        <v>1285</v>
      </c>
      <c r="B1440" s="255">
        <v>9</v>
      </c>
      <c r="C1440" s="10" t="s">
        <v>0</v>
      </c>
      <c r="D1440" s="10">
        <v>3</v>
      </c>
      <c r="E1440" s="10">
        <v>47</v>
      </c>
      <c r="F1440" s="10" t="s">
        <v>690</v>
      </c>
      <c r="G1440" s="10" t="s">
        <v>696</v>
      </c>
      <c r="H1440" s="10" t="str" cm="1">
        <f t="array" aca="1" ref="H1440" ca="1">IF(INDEX(I1440:Z1440,$H$1)=0,"",INDEX(I1440:Z1440,$H$1))</f>
        <v>Subcategory</v>
      </c>
      <c r="I1440" s="10" t="s">
        <v>46</v>
      </c>
      <c r="J1440" s="10" t="s">
        <v>936</v>
      </c>
      <c r="K1440" s="27" t="s">
        <v>1687</v>
      </c>
    </row>
    <row r="1441" spans="1:11" x14ac:dyDescent="0.35">
      <c r="A1441" s="10" t="s">
        <v>1285</v>
      </c>
      <c r="B1441" s="255">
        <v>9</v>
      </c>
      <c r="C1441" s="10" t="s">
        <v>0</v>
      </c>
      <c r="D1441" s="10">
        <v>3</v>
      </c>
      <c r="E1441" s="10">
        <v>47</v>
      </c>
      <c r="F1441" s="10" t="s">
        <v>38</v>
      </c>
      <c r="G1441" s="10" t="s">
        <v>696</v>
      </c>
      <c r="H1441" s="10" t="str" cm="1">
        <f t="array" aca="1" ref="H1441" ca="1">IF(INDEX(I1441:Z1441,$H$1)=0,"",INDEX(I1441:Z1441,$H$1))</f>
        <v>Uncontrolled Emission Factor</v>
      </c>
      <c r="I1441" s="10" t="s">
        <v>349</v>
      </c>
      <c r="J1441" s="10" t="s">
        <v>937</v>
      </c>
      <c r="K1441" s="27" t="s">
        <v>1675</v>
      </c>
    </row>
    <row r="1442" spans="1:11" x14ac:dyDescent="0.35">
      <c r="A1442" s="10" t="s">
        <v>1285</v>
      </c>
      <c r="B1442" s="255">
        <v>9</v>
      </c>
      <c r="C1442" s="10" t="s">
        <v>0</v>
      </c>
      <c r="D1442" s="10">
        <v>3</v>
      </c>
      <c r="E1442" s="10">
        <v>47</v>
      </c>
      <c r="F1442" s="10" t="s">
        <v>692</v>
      </c>
      <c r="G1442" s="10" t="s">
        <v>696</v>
      </c>
      <c r="H1442" s="10" t="str" cm="1">
        <f t="array" aca="1" ref="H1442" ca="1">IF(INDEX(I1442:Z1442,$H$1)=0,"",INDEX(I1442:Z1442,$H$1))</f>
        <v>Data Source</v>
      </c>
      <c r="I1442" s="10" t="s">
        <v>36</v>
      </c>
      <c r="J1442" s="10" t="s">
        <v>938</v>
      </c>
      <c r="K1442" s="27" t="s">
        <v>1688</v>
      </c>
    </row>
    <row r="1443" spans="1:11" x14ac:dyDescent="0.35">
      <c r="A1443" s="10" t="s">
        <v>1285</v>
      </c>
      <c r="B1443" s="255">
        <v>9</v>
      </c>
      <c r="C1443" s="10" t="s">
        <v>0</v>
      </c>
      <c r="D1443" s="10">
        <v>3</v>
      </c>
      <c r="E1443" s="10">
        <v>47</v>
      </c>
      <c r="F1443" s="10" t="s">
        <v>693</v>
      </c>
      <c r="G1443" s="10" t="s">
        <v>696</v>
      </c>
      <c r="H1443" s="10" t="str" cm="1">
        <f t="array" aca="1" ref="H1443" ca="1">IF(INDEX(I1443:Z1443,$H$1)=0,"",INDEX(I1443:Z1443,$H$1))</f>
        <v>As Reported in the Reference</v>
      </c>
      <c r="I1443" s="10" t="s">
        <v>40</v>
      </c>
      <c r="J1443" s="10" t="s">
        <v>933</v>
      </c>
      <c r="K1443" s="27" t="s">
        <v>1677</v>
      </c>
    </row>
    <row r="1444" spans="1:11" x14ac:dyDescent="0.35">
      <c r="A1444" s="10" t="s">
        <v>1285</v>
      </c>
      <c r="B1444" s="255">
        <v>9</v>
      </c>
      <c r="C1444" s="10" t="s">
        <v>0</v>
      </c>
      <c r="D1444" s="10">
        <v>3</v>
      </c>
      <c r="E1444" s="10">
        <v>47</v>
      </c>
      <c r="F1444" s="10" t="s">
        <v>712</v>
      </c>
      <c r="G1444" s="10" t="s">
        <v>696</v>
      </c>
      <c r="H1444" s="10" t="str" cm="1">
        <f t="array" aca="1" ref="H1444" ca="1">IF(INDEX(I1444:Z1444,$H$1)=0,"",INDEX(I1444:Z1444,$H$1))</f>
        <v>Conversion Factor</v>
      </c>
      <c r="I1444" s="10" t="s">
        <v>15</v>
      </c>
      <c r="J1444" s="10" t="s">
        <v>1220</v>
      </c>
      <c r="K1444" s="27" t="s">
        <v>1678</v>
      </c>
    </row>
    <row r="1445" spans="1:11" ht="16.5" x14ac:dyDescent="0.35">
      <c r="A1445" s="10" t="s">
        <v>1285</v>
      </c>
      <c r="B1445" s="255">
        <v>9</v>
      </c>
      <c r="C1445" s="10" t="s">
        <v>0</v>
      </c>
      <c r="D1445" s="10">
        <v>3</v>
      </c>
      <c r="E1445" s="10">
        <v>48</v>
      </c>
      <c r="F1445" s="10" t="s">
        <v>38</v>
      </c>
      <c r="G1445" s="10" t="s">
        <v>696</v>
      </c>
      <c r="H1445" s="10" t="str" cm="1">
        <f t="array" aca="1" ref="H1445" ca="1">IF(INDEX(I1445:Z1445,$H$1)=0,"",INDEX(I1445:Z1445,$H$1))</f>
        <v>(Nm3/E+06 Nm3 of Gas Processed)</v>
      </c>
      <c r="I1445" s="10" t="s">
        <v>3362</v>
      </c>
      <c r="J1445" s="10" t="s">
        <v>1085</v>
      </c>
      <c r="K1445" s="27" t="s">
        <v>1628</v>
      </c>
    </row>
    <row r="1446" spans="1:11" x14ac:dyDescent="0.35">
      <c r="A1446" s="10" t="s">
        <v>1285</v>
      </c>
      <c r="B1446" s="255">
        <v>9</v>
      </c>
      <c r="C1446" s="10" t="s">
        <v>0</v>
      </c>
      <c r="D1446" s="10">
        <v>3</v>
      </c>
      <c r="E1446" s="10">
        <v>48</v>
      </c>
      <c r="F1446" s="10" t="s">
        <v>693</v>
      </c>
      <c r="G1446" s="10" t="s">
        <v>696</v>
      </c>
      <c r="H1446" s="10" t="str" cm="1">
        <f t="array" aca="1" ref="H1446" ca="1">IF(INDEX(I1446:Z1446,$H$1)=0,"",INDEX(I1446:Z1446,$H$1))</f>
        <v>EF Value</v>
      </c>
      <c r="I1446" s="10" t="s">
        <v>39</v>
      </c>
      <c r="J1446" s="10" t="s">
        <v>934</v>
      </c>
      <c r="K1446" s="27" t="s">
        <v>1682</v>
      </c>
    </row>
    <row r="1447" spans="1:11" x14ac:dyDescent="0.35">
      <c r="A1447" s="10" t="s">
        <v>1285</v>
      </c>
      <c r="B1447" s="255">
        <v>9</v>
      </c>
      <c r="C1447" s="10" t="s">
        <v>0</v>
      </c>
      <c r="D1447" s="10">
        <v>3</v>
      </c>
      <c r="E1447" s="10">
        <v>48</v>
      </c>
      <c r="F1447" s="10" t="s">
        <v>694</v>
      </c>
      <c r="G1447" s="10" t="s">
        <v>696</v>
      </c>
      <c r="H1447" s="10" t="str" cm="1">
        <f t="array" aca="1" ref="H1447" ca="1">IF(INDEX(I1447:Z1447,$H$1)=0,"",INDEX(I1447:Z1447,$H$1))</f>
        <v xml:space="preserve">Units of </v>
      </c>
      <c r="I1447" s="10" t="s">
        <v>37</v>
      </c>
      <c r="J1447" s="10" t="s">
        <v>740</v>
      </c>
      <c r="K1447" s="27" t="s">
        <v>1685</v>
      </c>
    </row>
    <row r="1448" spans="1:11" x14ac:dyDescent="0.35">
      <c r="A1448" s="10" t="s">
        <v>1285</v>
      </c>
      <c r="B1448" s="255">
        <v>9</v>
      </c>
      <c r="C1448" s="10" t="s">
        <v>0</v>
      </c>
      <c r="D1448" s="10">
        <v>3</v>
      </c>
      <c r="E1448" s="10">
        <v>48</v>
      </c>
      <c r="F1448" s="10" t="s">
        <v>711</v>
      </c>
      <c r="G1448" s="10" t="s">
        <v>696</v>
      </c>
      <c r="H1448" s="10" t="str" cm="1">
        <f t="array" aca="1" ref="H1448" ca="1">IF(INDEX(I1448:Z1448,$H$1)=0,"",INDEX(I1448:Z1448,$H$1))</f>
        <v xml:space="preserve">CH4 Content </v>
      </c>
      <c r="I1448" s="10" t="s">
        <v>41</v>
      </c>
      <c r="J1448" s="10" t="s">
        <v>805</v>
      </c>
      <c r="K1448" s="27" t="s">
        <v>1502</v>
      </c>
    </row>
    <row r="1449" spans="1:11" x14ac:dyDescent="0.35">
      <c r="A1449" s="10" t="s">
        <v>1285</v>
      </c>
      <c r="B1449" s="255">
        <v>9</v>
      </c>
      <c r="C1449" s="10" t="s">
        <v>0</v>
      </c>
      <c r="D1449" s="10">
        <v>3</v>
      </c>
      <c r="E1449" s="10">
        <v>48</v>
      </c>
      <c r="F1449" s="10" t="s">
        <v>591</v>
      </c>
      <c r="G1449" s="10" t="s">
        <v>696</v>
      </c>
      <c r="H1449" s="10" t="str" cm="1">
        <f t="array" aca="1" ref="H1449" ca="1">IF(INDEX(I1449:Z1449,$H$1)=0,"",INDEX(I1449:Z1449,$H$1))</f>
        <v>Value</v>
      </c>
      <c r="I1449" s="10" t="s">
        <v>6</v>
      </c>
      <c r="J1449" s="10" t="s">
        <v>725</v>
      </c>
      <c r="K1449" s="27" t="s">
        <v>1411</v>
      </c>
    </row>
    <row r="1450" spans="1:11" x14ac:dyDescent="0.35">
      <c r="A1450" s="10" t="s">
        <v>1285</v>
      </c>
      <c r="B1450" s="255">
        <v>9</v>
      </c>
      <c r="C1450" s="10" t="s">
        <v>0</v>
      </c>
      <c r="D1450" s="10">
        <v>3</v>
      </c>
      <c r="E1450" s="10">
        <v>48</v>
      </c>
      <c r="F1450" s="10" t="s">
        <v>712</v>
      </c>
      <c r="G1450" s="10" t="s">
        <v>696</v>
      </c>
      <c r="H1450" s="10" t="str" cm="1">
        <f t="array" aca="1" ref="H1450" ca="1">IF(INDEX(I1450:Z1450,$H$1)=0,"",INDEX(I1450:Z1450,$H$1))</f>
        <v>Conversion</v>
      </c>
      <c r="I1450" s="10" t="s">
        <v>16</v>
      </c>
      <c r="J1450" s="10" t="s">
        <v>1219</v>
      </c>
      <c r="K1450" s="27" t="s">
        <v>1684</v>
      </c>
    </row>
    <row r="1451" spans="1:11" x14ac:dyDescent="0.35">
      <c r="A1451" s="10" t="s">
        <v>1285</v>
      </c>
      <c r="B1451" s="255">
        <v>9</v>
      </c>
      <c r="C1451" s="10" t="s">
        <v>0</v>
      </c>
      <c r="D1451" s="10">
        <v>3</v>
      </c>
      <c r="E1451" s="10">
        <v>49</v>
      </c>
      <c r="F1451" s="10" t="s">
        <v>694</v>
      </c>
      <c r="G1451" s="10" t="s">
        <v>696</v>
      </c>
      <c r="H1451" s="10" t="str" cm="1">
        <f t="array" aca="1" ref="H1451" ca="1">IF(INDEX(I1451:Z1451,$H$1)=0,"",INDEX(I1451:Z1451,$H$1))</f>
        <v>Measure</v>
      </c>
      <c r="I1451" s="10" t="s">
        <v>8</v>
      </c>
      <c r="J1451" s="10" t="s">
        <v>1262</v>
      </c>
      <c r="K1451" s="27" t="s">
        <v>1683</v>
      </c>
    </row>
    <row r="1452" spans="1:11" x14ac:dyDescent="0.35">
      <c r="A1452" s="10" t="s">
        <v>1285</v>
      </c>
      <c r="B1452" s="255">
        <v>9</v>
      </c>
      <c r="C1452" s="10" t="s">
        <v>0</v>
      </c>
      <c r="D1452" s="10">
        <v>3</v>
      </c>
      <c r="E1452" s="10">
        <v>49</v>
      </c>
      <c r="F1452" s="10" t="s">
        <v>711</v>
      </c>
      <c r="G1452" s="10" t="s">
        <v>696</v>
      </c>
      <c r="H1452" s="10" t="str" cm="1">
        <f t="array" aca="1" ref="H1452" ca="1">IF(INDEX(I1452:Z1452,$H$1)=0,"",INDEX(I1452:Z1452,$H$1))</f>
        <v>Basis for Industry Segment</v>
      </c>
      <c r="I1452" s="10" t="s">
        <v>42</v>
      </c>
      <c r="J1452" s="10" t="s">
        <v>1204</v>
      </c>
      <c r="K1452" s="27" t="s">
        <v>1689</v>
      </c>
    </row>
    <row r="1453" spans="1:11" x14ac:dyDescent="0.35">
      <c r="A1453" s="10" t="s">
        <v>1285</v>
      </c>
      <c r="B1453" s="255">
        <v>9</v>
      </c>
      <c r="C1453" s="10" t="s">
        <v>0</v>
      </c>
      <c r="D1453" s="10">
        <v>3</v>
      </c>
      <c r="E1453" s="10">
        <v>50</v>
      </c>
      <c r="F1453" s="10" t="s">
        <v>711</v>
      </c>
      <c r="G1453" s="10" t="s">
        <v>696</v>
      </c>
      <c r="H1453" s="10" t="str" cm="1">
        <f t="array" aca="1" ref="H1453" ca="1">IF(INDEX(I1453:Z1453,$H$1)=0,"",INDEX(I1453:Z1453,$H$1))</f>
        <v>(Mol%)</v>
      </c>
      <c r="I1453" s="10" t="s">
        <v>43</v>
      </c>
      <c r="J1453" s="10" t="s">
        <v>43</v>
      </c>
      <c r="K1453" s="27" t="s">
        <v>1496</v>
      </c>
    </row>
    <row r="1454" spans="1:11" x14ac:dyDescent="0.35">
      <c r="A1454" s="10" t="s">
        <v>1285</v>
      </c>
      <c r="B1454" s="255">
        <v>9</v>
      </c>
      <c r="C1454" s="10" t="s">
        <v>0</v>
      </c>
      <c r="D1454" s="10">
        <v>3</v>
      </c>
      <c r="E1454" s="10">
        <f>ROW('EFs - Other'!B$98)</f>
        <v>98</v>
      </c>
      <c r="F1454" s="10" t="s">
        <v>690</v>
      </c>
      <c r="G1454" s="10" t="s">
        <v>695</v>
      </c>
      <c r="H1454" s="10" t="str" cm="1">
        <f t="array" aca="1" ref="H1454" ca="1">IF(INDEX(I1454:Z1454,$H$1)=0,"",INDEX(I1454:Z1454,$H$1))</f>
        <v>With Gas-Assisted Pump Emissions</v>
      </c>
      <c r="I1454" s="10" t="s">
        <v>358</v>
      </c>
      <c r="J1454" s="10" t="s">
        <v>1106</v>
      </c>
      <c r="K1454" s="27" t="s">
        <v>1692</v>
      </c>
    </row>
    <row r="1455" spans="1:11" x14ac:dyDescent="0.35">
      <c r="A1455" s="10" t="s">
        <v>1285</v>
      </c>
      <c r="B1455" s="255">
        <v>9</v>
      </c>
      <c r="C1455" s="10" t="s">
        <v>0</v>
      </c>
      <c r="D1455" s="10">
        <v>3</v>
      </c>
      <c r="E1455" s="10">
        <f>ROW('EFs - Other'!B$99)</f>
        <v>99</v>
      </c>
      <c r="F1455" s="10" t="s">
        <v>690</v>
      </c>
      <c r="G1455" s="10" t="s">
        <v>695</v>
      </c>
      <c r="H1455" s="10" t="str" cm="1">
        <f t="array" aca="1" ref="H1455" ca="1">IF(INDEX(I1455:Z1455,$H$1)=0,"",INDEX(I1455:Z1455,$H$1))</f>
        <v>Without Gas-Assisted Pump Emissions</v>
      </c>
      <c r="I1455" s="10" t="s">
        <v>385</v>
      </c>
      <c r="J1455" s="10" t="s">
        <v>1105</v>
      </c>
      <c r="K1455" s="27" t="s">
        <v>1693</v>
      </c>
    </row>
    <row r="1456" spans="1:11" x14ac:dyDescent="0.35">
      <c r="A1456" s="10" t="s">
        <v>1285</v>
      </c>
      <c r="B1456" s="255">
        <v>9</v>
      </c>
      <c r="C1456" s="10" t="s">
        <v>0</v>
      </c>
      <c r="D1456" s="10">
        <v>3</v>
      </c>
      <c r="E1456" s="10">
        <f>ROW('EFs - Other'!B$106)</f>
        <v>106</v>
      </c>
      <c r="F1456" s="10" t="s">
        <v>690</v>
      </c>
      <c r="G1456" s="10" t="s">
        <v>695</v>
      </c>
      <c r="H1456" s="10" t="str" cm="1">
        <f t="array" aca="1" ref="H1456" ca="1">IF(INDEX(I1456:Z1456,$H$1)=0,"",INDEX(I1456:Z1456,$H$1))</f>
        <v>With Gas-Assisted Pump Emissions</v>
      </c>
      <c r="I1456" s="10" t="s">
        <v>358</v>
      </c>
      <c r="J1456" s="10" t="s">
        <v>1106</v>
      </c>
      <c r="K1456" s="27" t="s">
        <v>1692</v>
      </c>
    </row>
    <row r="1457" spans="1:11" x14ac:dyDescent="0.35">
      <c r="A1457" s="10" t="s">
        <v>1285</v>
      </c>
      <c r="B1457" s="255">
        <v>9</v>
      </c>
      <c r="C1457" s="10" t="s">
        <v>0</v>
      </c>
      <c r="D1457" s="10">
        <v>3</v>
      </c>
      <c r="E1457" s="10">
        <f>ROW('EFs - Other'!B$107)</f>
        <v>107</v>
      </c>
      <c r="F1457" s="10" t="s">
        <v>690</v>
      </c>
      <c r="G1457" s="10" t="s">
        <v>695</v>
      </c>
      <c r="H1457" s="10" t="str" cm="1">
        <f t="array" aca="1" ref="H1457" ca="1">IF(INDEX(I1457:Z1457,$H$1)=0,"",INDEX(I1457:Z1457,$H$1))</f>
        <v>Without Gas-Assisted Pump Emissions</v>
      </c>
      <c r="I1457" s="10" t="s">
        <v>385</v>
      </c>
      <c r="J1457" s="10" t="s">
        <v>1105</v>
      </c>
      <c r="K1457" s="27" t="s">
        <v>1693</v>
      </c>
    </row>
    <row r="1458" spans="1:11" x14ac:dyDescent="0.35">
      <c r="A1458" s="10" t="s">
        <v>1285</v>
      </c>
      <c r="B1458" s="255">
        <v>9</v>
      </c>
      <c r="C1458" s="10" t="s">
        <v>0</v>
      </c>
      <c r="D1458" s="10">
        <v>3</v>
      </c>
      <c r="E1458" s="10">
        <f>ROW('EFs - Other'!B$108)</f>
        <v>108</v>
      </c>
      <c r="F1458" s="10" t="s">
        <v>690</v>
      </c>
      <c r="G1458" s="10" t="s">
        <v>695</v>
      </c>
      <c r="H1458" s="10" t="str" cm="1">
        <f t="array" aca="1" ref="H1458" ca="1">IF(INDEX(I1458:Z1458,$H$1)=0,"",INDEX(I1458:Z1458,$H$1))</f>
        <v>Without Gas-Assisted Pump Emissions</v>
      </c>
      <c r="I1458" s="10" t="s">
        <v>385</v>
      </c>
      <c r="J1458" s="10" t="s">
        <v>1105</v>
      </c>
      <c r="K1458" s="27" t="s">
        <v>1693</v>
      </c>
    </row>
    <row r="1459" spans="1:11" x14ac:dyDescent="0.35">
      <c r="A1459" s="10" t="s">
        <v>1285</v>
      </c>
      <c r="B1459" s="255">
        <v>9</v>
      </c>
      <c r="C1459" s="10" t="s">
        <v>0</v>
      </c>
      <c r="D1459" s="10">
        <v>3</v>
      </c>
      <c r="E1459" s="10">
        <f>ROW('EFs - Other'!B$115)</f>
        <v>115</v>
      </c>
      <c r="F1459" s="10" t="s">
        <v>690</v>
      </c>
      <c r="G1459" s="10" t="s">
        <v>695</v>
      </c>
      <c r="H1459" s="10" t="str" cm="1">
        <f t="array" aca="1" ref="H1459" ca="1">IF(INDEX(I1459:Z1459,$H$1)=0,"",INDEX(I1459:Z1459,$H$1))</f>
        <v>Without Gas-Assisted Pump Emissions</v>
      </c>
      <c r="I1459" s="10" t="s">
        <v>385</v>
      </c>
      <c r="J1459" s="10" t="s">
        <v>1105</v>
      </c>
      <c r="K1459" s="27" t="s">
        <v>1693</v>
      </c>
    </row>
    <row r="1460" spans="1:11" x14ac:dyDescent="0.35">
      <c r="A1460" s="10" t="s">
        <v>1285</v>
      </c>
      <c r="B1460" s="255">
        <v>9</v>
      </c>
      <c r="C1460" s="10" t="s">
        <v>48</v>
      </c>
      <c r="D1460" s="10">
        <v>4</v>
      </c>
      <c r="E1460" s="10">
        <v>58</v>
      </c>
      <c r="F1460" s="10" t="s">
        <v>687</v>
      </c>
      <c r="G1460" s="10" t="s">
        <v>688</v>
      </c>
      <c r="H1460" s="10" t="str" cm="1">
        <f t="array" aca="1" ref="H1460" ca="1">IF(INDEX(I1460:Z1460,$H$1)=0,"",INDEX(I1460:Z1460,$H$1))</f>
        <v>Gas Sweetening Units:</v>
      </c>
      <c r="I1460" s="10" t="s">
        <v>48</v>
      </c>
      <c r="J1460" s="10" t="s">
        <v>940</v>
      </c>
      <c r="K1460" s="27" t="s">
        <v>1694</v>
      </c>
    </row>
    <row r="1461" spans="1:11" x14ac:dyDescent="0.35">
      <c r="A1461" s="10" t="s">
        <v>1285</v>
      </c>
      <c r="B1461" s="255">
        <v>9</v>
      </c>
      <c r="C1461" s="10" t="s">
        <v>48</v>
      </c>
      <c r="D1461" s="10">
        <v>4</v>
      </c>
      <c r="E1461" s="10">
        <v>60</v>
      </c>
      <c r="F1461" s="10" t="s">
        <v>687</v>
      </c>
      <c r="G1461" s="10" t="s">
        <v>696</v>
      </c>
      <c r="H1461" s="10" t="str" cm="1">
        <f t="array" aca="1" ref="H1461" ca="1">IF(INDEX(I1461:Z1461,$H$1)=0,"",INDEX(I1461:Z1461,$H$1))</f>
        <v>Industry Segment</v>
      </c>
      <c r="I1461" s="10" t="s">
        <v>30</v>
      </c>
      <c r="J1461" s="10" t="s">
        <v>697</v>
      </c>
      <c r="K1461" s="27" t="s">
        <v>1385</v>
      </c>
    </row>
    <row r="1462" spans="1:11" x14ac:dyDescent="0.35">
      <c r="A1462" s="10" t="s">
        <v>1285</v>
      </c>
      <c r="B1462" s="255">
        <v>9</v>
      </c>
      <c r="C1462" s="10" t="s">
        <v>48</v>
      </c>
      <c r="D1462" s="10">
        <v>4</v>
      </c>
      <c r="E1462" s="10">
        <v>60</v>
      </c>
      <c r="F1462" s="10" t="s">
        <v>690</v>
      </c>
      <c r="G1462" s="10" t="s">
        <v>696</v>
      </c>
      <c r="H1462" s="10" t="str" cm="1">
        <f t="array" aca="1" ref="H1462" ca="1">IF(INDEX(I1462:Z1462,$H$1)=0,"",INDEX(I1462:Z1462,$H$1))</f>
        <v>Subcategory</v>
      </c>
      <c r="I1462" s="10" t="s">
        <v>46</v>
      </c>
      <c r="J1462" s="10" t="s">
        <v>940</v>
      </c>
      <c r="K1462" s="27" t="s">
        <v>1687</v>
      </c>
    </row>
    <row r="1463" spans="1:11" x14ac:dyDescent="0.35">
      <c r="A1463" s="10" t="s">
        <v>1285</v>
      </c>
      <c r="B1463" s="255">
        <v>9</v>
      </c>
      <c r="C1463" s="10" t="s">
        <v>48</v>
      </c>
      <c r="D1463" s="10">
        <v>4</v>
      </c>
      <c r="E1463" s="10">
        <v>60</v>
      </c>
      <c r="F1463" s="10" t="s">
        <v>38</v>
      </c>
      <c r="G1463" s="10" t="s">
        <v>696</v>
      </c>
      <c r="H1463" s="10" t="str" cm="1">
        <f t="array" aca="1" ref="H1463" ca="1">IF(INDEX(I1463:Z1463,$H$1)=0,"",INDEX(I1463:Z1463,$H$1))</f>
        <v>Uncontrolled Emission Factor</v>
      </c>
      <c r="I1463" s="10" t="s">
        <v>349</v>
      </c>
      <c r="J1463" s="10" t="s">
        <v>937</v>
      </c>
      <c r="K1463" s="27" t="s">
        <v>1675</v>
      </c>
    </row>
    <row r="1464" spans="1:11" x14ac:dyDescent="0.35">
      <c r="A1464" s="10" t="s">
        <v>1285</v>
      </c>
      <c r="B1464" s="255">
        <v>9</v>
      </c>
      <c r="C1464" s="10" t="s">
        <v>48</v>
      </c>
      <c r="D1464" s="10">
        <v>4</v>
      </c>
      <c r="E1464" s="10">
        <v>60</v>
      </c>
      <c r="F1464" s="10" t="s">
        <v>692</v>
      </c>
      <c r="G1464" s="10" t="s">
        <v>696</v>
      </c>
      <c r="H1464" s="10" t="str" cm="1">
        <f t="array" aca="1" ref="H1464" ca="1">IF(INDEX(I1464:Z1464,$H$1)=0,"",INDEX(I1464:Z1464,$H$1))</f>
        <v>Data Source</v>
      </c>
      <c r="I1464" s="10" t="s">
        <v>36</v>
      </c>
      <c r="J1464" s="10" t="s">
        <v>938</v>
      </c>
      <c r="K1464" s="27" t="s">
        <v>1688</v>
      </c>
    </row>
    <row r="1465" spans="1:11" x14ac:dyDescent="0.35">
      <c r="A1465" s="10" t="s">
        <v>1285</v>
      </c>
      <c r="B1465" s="255">
        <v>9</v>
      </c>
      <c r="C1465" s="10" t="s">
        <v>48</v>
      </c>
      <c r="D1465" s="10">
        <v>4</v>
      </c>
      <c r="E1465" s="10">
        <v>60</v>
      </c>
      <c r="F1465" s="10" t="s">
        <v>693</v>
      </c>
      <c r="G1465" s="10" t="s">
        <v>696</v>
      </c>
      <c r="H1465" s="10" t="str" cm="1">
        <f t="array" aca="1" ref="H1465" ca="1">IF(INDEX(I1465:Z1465,$H$1)=0,"",INDEX(I1465:Z1465,$H$1))</f>
        <v>As Reported in the Reference</v>
      </c>
      <c r="I1465" s="10" t="s">
        <v>40</v>
      </c>
      <c r="J1465" s="10" t="s">
        <v>933</v>
      </c>
      <c r="K1465" s="27" t="s">
        <v>1677</v>
      </c>
    </row>
    <row r="1466" spans="1:11" x14ac:dyDescent="0.35">
      <c r="A1466" s="10" t="s">
        <v>1285</v>
      </c>
      <c r="B1466" s="255">
        <v>9</v>
      </c>
      <c r="C1466" s="10" t="s">
        <v>48</v>
      </c>
      <c r="D1466" s="10">
        <v>4</v>
      </c>
      <c r="E1466" s="10">
        <v>60</v>
      </c>
      <c r="F1466" s="10" t="s">
        <v>712</v>
      </c>
      <c r="G1466" s="10" t="s">
        <v>696</v>
      </c>
      <c r="H1466" s="10" t="str" cm="1">
        <f t="array" aca="1" ref="H1466" ca="1">IF(INDEX(I1466:Z1466,$H$1)=0,"",INDEX(I1466:Z1466,$H$1))</f>
        <v>Conversion Factor</v>
      </c>
      <c r="I1466" s="10" t="s">
        <v>15</v>
      </c>
      <c r="J1466" s="10" t="s">
        <v>1220</v>
      </c>
      <c r="K1466" s="27" t="s">
        <v>1678</v>
      </c>
    </row>
    <row r="1467" spans="1:11" ht="16.5" x14ac:dyDescent="0.35">
      <c r="A1467" s="10" t="s">
        <v>1285</v>
      </c>
      <c r="B1467" s="255">
        <v>9</v>
      </c>
      <c r="C1467" s="10" t="s">
        <v>48</v>
      </c>
      <c r="D1467" s="10">
        <v>4</v>
      </c>
      <c r="E1467" s="10">
        <v>61</v>
      </c>
      <c r="F1467" s="10" t="s">
        <v>38</v>
      </c>
      <c r="G1467" s="10" t="s">
        <v>696</v>
      </c>
      <c r="H1467" s="10" t="str" cm="1">
        <f t="array" aca="1" ref="H1467" ca="1">IF(INDEX(I1467:Z1467,$H$1)=0,"",INDEX(I1467:Z1467,$H$1))</f>
        <v>(Nm3/106 Nm3 of Gas Processed)</v>
      </c>
      <c r="I1467" s="10" t="s">
        <v>1084</v>
      </c>
      <c r="J1467" s="10" t="s">
        <v>1085</v>
      </c>
      <c r="K1467" s="27" t="s">
        <v>1628</v>
      </c>
    </row>
    <row r="1468" spans="1:11" x14ac:dyDescent="0.35">
      <c r="A1468" s="10" t="s">
        <v>1285</v>
      </c>
      <c r="B1468" s="255">
        <v>9</v>
      </c>
      <c r="C1468" s="10" t="s">
        <v>48</v>
      </c>
      <c r="D1468" s="10">
        <v>4</v>
      </c>
      <c r="E1468" s="10">
        <v>61</v>
      </c>
      <c r="F1468" s="10" t="s">
        <v>693</v>
      </c>
      <c r="G1468" s="10" t="s">
        <v>696</v>
      </c>
      <c r="H1468" s="10" t="str" cm="1">
        <f t="array" aca="1" ref="H1468" ca="1">IF(INDEX(I1468:Z1468,$H$1)=0,"",INDEX(I1468:Z1468,$H$1))</f>
        <v>EF Value</v>
      </c>
      <c r="I1468" s="10" t="s">
        <v>39</v>
      </c>
      <c r="J1468" s="10" t="s">
        <v>934</v>
      </c>
      <c r="K1468" s="27" t="s">
        <v>1682</v>
      </c>
    </row>
    <row r="1469" spans="1:11" x14ac:dyDescent="0.35">
      <c r="A1469" s="10" t="s">
        <v>1285</v>
      </c>
      <c r="B1469" s="255">
        <v>9</v>
      </c>
      <c r="C1469" s="10" t="s">
        <v>48</v>
      </c>
      <c r="D1469" s="10">
        <v>4</v>
      </c>
      <c r="E1469" s="10">
        <v>61</v>
      </c>
      <c r="F1469" s="10" t="s">
        <v>694</v>
      </c>
      <c r="G1469" s="10" t="s">
        <v>696</v>
      </c>
      <c r="H1469" s="10" t="str" cm="1">
        <f t="array" aca="1" ref="H1469" ca="1">IF(INDEX(I1469:Z1469,$H$1)=0,"",INDEX(I1469:Z1469,$H$1))</f>
        <v xml:space="preserve">Units of </v>
      </c>
      <c r="I1469" s="10" t="s">
        <v>37</v>
      </c>
      <c r="J1469" s="10" t="s">
        <v>740</v>
      </c>
      <c r="K1469" s="27" t="s">
        <v>1685</v>
      </c>
    </row>
    <row r="1470" spans="1:11" x14ac:dyDescent="0.35">
      <c r="A1470" s="10" t="s">
        <v>1285</v>
      </c>
      <c r="B1470" s="255">
        <v>9</v>
      </c>
      <c r="C1470" s="10" t="s">
        <v>48</v>
      </c>
      <c r="D1470" s="10">
        <v>4</v>
      </c>
      <c r="E1470" s="10">
        <v>61</v>
      </c>
      <c r="F1470" s="10" t="s">
        <v>711</v>
      </c>
      <c r="G1470" s="10" t="s">
        <v>696</v>
      </c>
      <c r="H1470" s="10" t="str" cm="1">
        <f t="array" aca="1" ref="H1470" ca="1">IF(INDEX(I1470:Z1470,$H$1)=0,"",INDEX(I1470:Z1470,$H$1))</f>
        <v xml:space="preserve">CH4 Content </v>
      </c>
      <c r="I1470" s="10" t="s">
        <v>41</v>
      </c>
      <c r="J1470" s="10" t="s">
        <v>805</v>
      </c>
      <c r="K1470" s="27" t="s">
        <v>1502</v>
      </c>
    </row>
    <row r="1471" spans="1:11" x14ac:dyDescent="0.35">
      <c r="A1471" s="10" t="s">
        <v>1285</v>
      </c>
      <c r="B1471" s="255">
        <v>9</v>
      </c>
      <c r="C1471" s="10" t="s">
        <v>48</v>
      </c>
      <c r="D1471" s="10">
        <v>4</v>
      </c>
      <c r="E1471" s="10">
        <v>61</v>
      </c>
      <c r="F1471" s="10" t="s">
        <v>591</v>
      </c>
      <c r="G1471" s="10" t="s">
        <v>696</v>
      </c>
      <c r="H1471" s="10" t="str" cm="1">
        <f t="array" aca="1" ref="H1471" ca="1">IF(INDEX(I1471:Z1471,$H$1)=0,"",INDEX(I1471:Z1471,$H$1))</f>
        <v>Value</v>
      </c>
      <c r="I1471" s="10" t="s">
        <v>6</v>
      </c>
      <c r="J1471" s="10" t="s">
        <v>725</v>
      </c>
      <c r="K1471" s="27" t="s">
        <v>1411</v>
      </c>
    </row>
    <row r="1472" spans="1:11" x14ac:dyDescent="0.35">
      <c r="A1472" s="10" t="s">
        <v>1285</v>
      </c>
      <c r="B1472" s="255">
        <v>9</v>
      </c>
      <c r="C1472" s="10" t="s">
        <v>48</v>
      </c>
      <c r="D1472" s="10">
        <v>4</v>
      </c>
      <c r="E1472" s="10">
        <v>61</v>
      </c>
      <c r="F1472" s="10" t="s">
        <v>712</v>
      </c>
      <c r="G1472" s="10" t="s">
        <v>696</v>
      </c>
      <c r="H1472" s="10" t="str" cm="1">
        <f t="array" aca="1" ref="H1472" ca="1">IF(INDEX(I1472:Z1472,$H$1)=0,"",INDEX(I1472:Z1472,$H$1))</f>
        <v>Conversion</v>
      </c>
      <c r="I1472" s="10" t="s">
        <v>16</v>
      </c>
      <c r="J1472" s="10" t="s">
        <v>1219</v>
      </c>
      <c r="K1472" s="27" t="s">
        <v>1684</v>
      </c>
    </row>
    <row r="1473" spans="1:11" x14ac:dyDescent="0.35">
      <c r="A1473" s="10" t="s">
        <v>1285</v>
      </c>
      <c r="B1473" s="255">
        <v>9</v>
      </c>
      <c r="C1473" s="10" t="s">
        <v>48</v>
      </c>
      <c r="D1473" s="10">
        <v>4</v>
      </c>
      <c r="E1473" s="10">
        <v>62</v>
      </c>
      <c r="F1473" s="10" t="s">
        <v>694</v>
      </c>
      <c r="G1473" s="10" t="s">
        <v>696</v>
      </c>
      <c r="H1473" s="10" t="str" cm="1">
        <f t="array" aca="1" ref="H1473" ca="1">IF(INDEX(I1473:Z1473,$H$1)=0,"",INDEX(I1473:Z1473,$H$1))</f>
        <v>Measure</v>
      </c>
      <c r="I1473" s="10" t="s">
        <v>8</v>
      </c>
      <c r="J1473" s="10" t="s">
        <v>1262</v>
      </c>
      <c r="K1473" s="27" t="s">
        <v>1683</v>
      </c>
    </row>
    <row r="1474" spans="1:11" x14ac:dyDescent="0.35">
      <c r="A1474" s="10" t="s">
        <v>1285</v>
      </c>
      <c r="B1474" s="255">
        <v>9</v>
      </c>
      <c r="C1474" s="10" t="s">
        <v>48</v>
      </c>
      <c r="D1474" s="10">
        <v>4</v>
      </c>
      <c r="E1474" s="10">
        <v>62</v>
      </c>
      <c r="F1474" s="10" t="s">
        <v>711</v>
      </c>
      <c r="G1474" s="10" t="s">
        <v>696</v>
      </c>
      <c r="H1474" s="10" t="str" cm="1">
        <f t="array" aca="1" ref="H1474" ca="1">IF(INDEX(I1474:Z1474,$H$1)=0,"",INDEX(I1474:Z1474,$H$1))</f>
        <v>Basis for Industry Segment</v>
      </c>
      <c r="I1474" s="10" t="s">
        <v>42</v>
      </c>
      <c r="J1474" s="10" t="s">
        <v>1204</v>
      </c>
      <c r="K1474" s="27" t="s">
        <v>1689</v>
      </c>
    </row>
    <row r="1475" spans="1:11" x14ac:dyDescent="0.35">
      <c r="A1475" s="10" t="s">
        <v>1285</v>
      </c>
      <c r="B1475" s="255">
        <v>9</v>
      </c>
      <c r="C1475" s="10" t="s">
        <v>48</v>
      </c>
      <c r="D1475" s="10">
        <v>4</v>
      </c>
      <c r="E1475" s="10">
        <v>63</v>
      </c>
      <c r="F1475" s="10" t="s">
        <v>711</v>
      </c>
      <c r="G1475" s="10" t="s">
        <v>696</v>
      </c>
      <c r="H1475" s="10" t="str" cm="1">
        <f t="array" aca="1" ref="H1475" ca="1">IF(INDEX(I1475:Z1475,$H$1)=0,"",INDEX(I1475:Z1475,$H$1))</f>
        <v>(Mol%)</v>
      </c>
      <c r="I1475" s="10" t="s">
        <v>43</v>
      </c>
      <c r="J1475" s="10" t="s">
        <v>43</v>
      </c>
      <c r="K1475" s="27" t="s">
        <v>1496</v>
      </c>
    </row>
    <row r="1476" spans="1:11" x14ac:dyDescent="0.35">
      <c r="A1476" s="10" t="s">
        <v>1285</v>
      </c>
      <c r="B1476" s="255">
        <v>9</v>
      </c>
      <c r="C1476" s="10" t="s">
        <v>48</v>
      </c>
      <c r="D1476" s="10">
        <v>4</v>
      </c>
      <c r="E1476" s="10">
        <v>69</v>
      </c>
      <c r="F1476" s="10" t="s">
        <v>687</v>
      </c>
      <c r="G1476" s="10" t="s">
        <v>695</v>
      </c>
      <c r="H1476" s="10" t="str" cm="1">
        <f t="array" aca="1" ref="H1476" ca="1">IF(INDEX(I1476:Z1476,$H$1)=0,"",INDEX(I1476:Z1476,$H$1))</f>
        <v>All</v>
      </c>
      <c r="I1476" s="10" t="s">
        <v>49</v>
      </c>
      <c r="J1476" s="10" t="s">
        <v>1376</v>
      </c>
      <c r="K1476" s="27" t="s">
        <v>1557</v>
      </c>
    </row>
    <row r="1477" spans="1:11" x14ac:dyDescent="0.35">
      <c r="A1477" s="10" t="s">
        <v>1285</v>
      </c>
      <c r="B1477" s="255">
        <v>9</v>
      </c>
      <c r="C1477" s="10" t="s">
        <v>48</v>
      </c>
      <c r="D1477" s="10">
        <v>4</v>
      </c>
      <c r="E1477" s="10">
        <v>69</v>
      </c>
      <c r="F1477" s="10" t="s">
        <v>690</v>
      </c>
      <c r="G1477" s="10" t="s">
        <v>695</v>
      </c>
      <c r="H1477" s="10" t="str" cm="1">
        <f t="array" aca="1" ref="H1477" ca="1">IF(INDEX(I1477:Z1477,$H$1)=0,"",INDEX(I1477:Z1477,$H$1))</f>
        <v>All</v>
      </c>
      <c r="I1477" s="10" t="s">
        <v>49</v>
      </c>
      <c r="J1477" s="10" t="s">
        <v>1376</v>
      </c>
      <c r="K1477" s="27" t="s">
        <v>1557</v>
      </c>
    </row>
    <row r="1478" spans="1:11" x14ac:dyDescent="0.35">
      <c r="A1478" s="10" t="s">
        <v>1285</v>
      </c>
      <c r="B1478" s="255">
        <v>9</v>
      </c>
      <c r="C1478" s="10" t="s">
        <v>48</v>
      </c>
      <c r="D1478" s="10">
        <v>4</v>
      </c>
      <c r="E1478" s="10">
        <v>69</v>
      </c>
      <c r="F1478" s="10" t="s">
        <v>711</v>
      </c>
      <c r="G1478" s="10" t="s">
        <v>695</v>
      </c>
      <c r="H1478" s="10" t="str" cm="1">
        <f t="array" aca="1" ref="H1478" ca="1">IF(INDEX(I1478:Z1478,$H$1)=0,"",INDEX(I1478:Z1478,$H$1))</f>
        <v>Not Applicable</v>
      </c>
      <c r="I1478" s="10" t="s">
        <v>50</v>
      </c>
      <c r="J1478" s="10" t="s">
        <v>888</v>
      </c>
      <c r="K1478" s="27" t="s">
        <v>1579</v>
      </c>
    </row>
    <row r="1479" spans="1:11" x14ac:dyDescent="0.35">
      <c r="A1479" s="10" t="s">
        <v>1285</v>
      </c>
      <c r="B1479" s="255">
        <v>9</v>
      </c>
      <c r="C1479" s="10" t="s">
        <v>51</v>
      </c>
      <c r="D1479" s="10">
        <v>5</v>
      </c>
      <c r="E1479" s="10">
        <v>66</v>
      </c>
      <c r="F1479" s="10" t="s">
        <v>687</v>
      </c>
      <c r="G1479" s="10" t="s">
        <v>696</v>
      </c>
      <c r="H1479" s="10" t="str" cm="1">
        <f t="array" aca="1" ref="H1479" ca="1">IF(INDEX(I1479:Z1479,$H$1)=0,"",INDEX(I1479:Z1479,$H$1))</f>
        <v>Storage Tanks:</v>
      </c>
      <c r="I1479" s="10" t="s">
        <v>51</v>
      </c>
      <c r="J1479" s="10" t="s">
        <v>941</v>
      </c>
      <c r="K1479" s="27" t="s">
        <v>1695</v>
      </c>
    </row>
    <row r="1480" spans="1:11" x14ac:dyDescent="0.35">
      <c r="A1480" s="10" t="s">
        <v>1285</v>
      </c>
      <c r="B1480" s="255">
        <v>9</v>
      </c>
      <c r="C1480" s="10" t="s">
        <v>51</v>
      </c>
      <c r="D1480" s="10">
        <v>5</v>
      </c>
      <c r="E1480" s="10">
        <v>68</v>
      </c>
      <c r="F1480" s="10" t="s">
        <v>687</v>
      </c>
      <c r="G1480" s="10" t="s">
        <v>696</v>
      </c>
      <c r="H1480" s="10" t="str" cm="1">
        <f t="array" aca="1" ref="H1480" ca="1">IF(INDEX(I1480:Z1480,$H$1)=0,"",INDEX(I1480:Z1480,$H$1))</f>
        <v>Industry Segment</v>
      </c>
      <c r="I1480" s="10" t="s">
        <v>30</v>
      </c>
      <c r="J1480" s="10" t="s">
        <v>697</v>
      </c>
      <c r="K1480" s="27" t="s">
        <v>1385</v>
      </c>
    </row>
    <row r="1481" spans="1:11" x14ac:dyDescent="0.35">
      <c r="A1481" s="10" t="s">
        <v>1285</v>
      </c>
      <c r="B1481" s="255">
        <v>9</v>
      </c>
      <c r="C1481" s="10" t="s">
        <v>51</v>
      </c>
      <c r="D1481" s="10">
        <v>5</v>
      </c>
      <c r="E1481" s="10">
        <v>68</v>
      </c>
      <c r="F1481" s="10" t="s">
        <v>690</v>
      </c>
      <c r="G1481" s="10" t="s">
        <v>696</v>
      </c>
      <c r="H1481" s="10" t="str" cm="1">
        <f t="array" aca="1" ref="H1481" ca="1">IF(INDEX(I1481:Z1481,$H$1)=0,"",INDEX(I1481:Z1481,$H$1))</f>
        <v>Subcategory</v>
      </c>
      <c r="I1481" s="10" t="s">
        <v>46</v>
      </c>
      <c r="J1481" s="10" t="s">
        <v>936</v>
      </c>
      <c r="K1481" s="27" t="s">
        <v>1687</v>
      </c>
    </row>
    <row r="1482" spans="1:11" x14ac:dyDescent="0.35">
      <c r="A1482" s="10" t="s">
        <v>1285</v>
      </c>
      <c r="B1482" s="255">
        <v>9</v>
      </c>
      <c r="C1482" s="10" t="s">
        <v>51</v>
      </c>
      <c r="D1482" s="10">
        <v>5</v>
      </c>
      <c r="E1482" s="10">
        <v>68</v>
      </c>
      <c r="F1482" s="10" t="s">
        <v>38</v>
      </c>
      <c r="G1482" s="10" t="s">
        <v>696</v>
      </c>
      <c r="H1482" s="10" t="str" cm="1">
        <f t="array" aca="1" ref="H1482" ca="1">IF(INDEX(I1482:Z1482,$H$1)=0,"",INDEX(I1482:Z1482,$H$1))</f>
        <v>Uncontrolled Flashing Loss</v>
      </c>
      <c r="I1482" s="10" t="s">
        <v>350</v>
      </c>
      <c r="J1482" s="10" t="s">
        <v>942</v>
      </c>
      <c r="K1482" s="27" t="s">
        <v>1696</v>
      </c>
    </row>
    <row r="1483" spans="1:11" x14ac:dyDescent="0.35">
      <c r="A1483" s="10" t="s">
        <v>1285</v>
      </c>
      <c r="B1483" s="255">
        <v>9</v>
      </c>
      <c r="C1483" s="10" t="s">
        <v>51</v>
      </c>
      <c r="D1483" s="10">
        <v>5</v>
      </c>
      <c r="E1483" s="10">
        <v>68</v>
      </c>
      <c r="F1483" s="10" t="s">
        <v>692</v>
      </c>
      <c r="G1483" s="10" t="s">
        <v>696</v>
      </c>
      <c r="H1483" s="10" t="str" cm="1">
        <f t="array" aca="1" ref="H1483" ca="1">IF(INDEX(I1483:Z1483,$H$1)=0,"",INDEX(I1483:Z1483,$H$1))</f>
        <v>Data Source</v>
      </c>
      <c r="I1483" s="10" t="s">
        <v>36</v>
      </c>
      <c r="J1483" s="10" t="s">
        <v>938</v>
      </c>
      <c r="K1483" s="27" t="s">
        <v>1688</v>
      </c>
    </row>
    <row r="1484" spans="1:11" x14ac:dyDescent="0.35">
      <c r="A1484" s="10" t="s">
        <v>1285</v>
      </c>
      <c r="B1484" s="255">
        <v>9</v>
      </c>
      <c r="C1484" s="10" t="s">
        <v>51</v>
      </c>
      <c r="D1484" s="10">
        <v>5</v>
      </c>
      <c r="E1484" s="10">
        <v>68</v>
      </c>
      <c r="F1484" s="10" t="s">
        <v>693</v>
      </c>
      <c r="G1484" s="10" t="s">
        <v>696</v>
      </c>
      <c r="H1484" s="10" t="str" cm="1">
        <f t="array" aca="1" ref="H1484" ca="1">IF(INDEX(I1484:Z1484,$H$1)=0,"",INDEX(I1484:Z1484,$H$1))</f>
        <v>As Reported in the Reference</v>
      </c>
      <c r="I1484" s="10" t="s">
        <v>40</v>
      </c>
      <c r="J1484" s="10" t="s">
        <v>933</v>
      </c>
      <c r="K1484" s="27" t="s">
        <v>1677</v>
      </c>
    </row>
    <row r="1485" spans="1:11" x14ac:dyDescent="0.35">
      <c r="A1485" s="10" t="s">
        <v>1285</v>
      </c>
      <c r="B1485" s="255">
        <v>9</v>
      </c>
      <c r="C1485" s="10" t="s">
        <v>51</v>
      </c>
      <c r="D1485" s="10">
        <v>5</v>
      </c>
      <c r="E1485" s="10">
        <v>68</v>
      </c>
      <c r="F1485" s="10" t="s">
        <v>591</v>
      </c>
      <c r="G1485" s="10" t="s">
        <v>696</v>
      </c>
      <c r="H1485" s="10" t="str" cm="1">
        <f t="array" aca="1" ref="H1485" ca="1">IF(INDEX(I1485:Z1485,$H$1)=0,"",INDEX(I1485:Z1485,$H$1))</f>
        <v xml:space="preserve">China-Specific </v>
      </c>
      <c r="I1485" s="10" t="s">
        <v>44</v>
      </c>
      <c r="J1485" s="10" t="s">
        <v>943</v>
      </c>
      <c r="K1485" s="27" t="s">
        <v>1697</v>
      </c>
    </row>
    <row r="1486" spans="1:11" x14ac:dyDescent="0.35">
      <c r="A1486" s="10" t="s">
        <v>1285</v>
      </c>
      <c r="B1486" s="255">
        <v>9</v>
      </c>
      <c r="C1486" s="10" t="s">
        <v>51</v>
      </c>
      <c r="D1486" s="10">
        <v>5</v>
      </c>
      <c r="E1486" s="10">
        <v>68</v>
      </c>
      <c r="F1486" s="10" t="s">
        <v>712</v>
      </c>
      <c r="G1486" s="10" t="s">
        <v>696</v>
      </c>
      <c r="H1486" s="10" t="str" cm="1">
        <f t="array" aca="1" ref="H1486" ca="1">IF(INDEX(I1486:Z1486,$H$1)=0,"",INDEX(I1486:Z1486,$H$1))</f>
        <v>Conversion Factor</v>
      </c>
      <c r="I1486" s="10" t="s">
        <v>15</v>
      </c>
      <c r="J1486" s="10" t="s">
        <v>1220</v>
      </c>
      <c r="K1486" s="27" t="s">
        <v>1678</v>
      </c>
    </row>
    <row r="1487" spans="1:11" x14ac:dyDescent="0.35">
      <c r="A1487" s="10" t="s">
        <v>1285</v>
      </c>
      <c r="B1487" s="255">
        <v>9</v>
      </c>
      <c r="C1487" s="10" t="s">
        <v>51</v>
      </c>
      <c r="D1487" s="10">
        <v>5</v>
      </c>
      <c r="E1487" s="10">
        <v>69</v>
      </c>
      <c r="F1487" s="10" t="s">
        <v>38</v>
      </c>
      <c r="G1487" s="10" t="s">
        <v>696</v>
      </c>
      <c r="H1487" s="10" t="str" cm="1">
        <f t="array" aca="1" ref="H1487" ca="1">IF(INDEX(I1487:Z1487,$H$1)=0,"",INDEX(I1487:Z1487,$H$1))</f>
        <v>Emissions Factor</v>
      </c>
      <c r="I1487" s="10" t="s">
        <v>54</v>
      </c>
      <c r="J1487" s="10" t="s">
        <v>910</v>
      </c>
      <c r="K1487" s="27" t="s">
        <v>1583</v>
      </c>
    </row>
    <row r="1488" spans="1:11" x14ac:dyDescent="0.35">
      <c r="A1488" s="10" t="s">
        <v>1285</v>
      </c>
      <c r="B1488" s="255">
        <v>9</v>
      </c>
      <c r="C1488" s="10" t="s">
        <v>51</v>
      </c>
      <c r="D1488" s="10">
        <v>5</v>
      </c>
      <c r="E1488" s="10">
        <v>69</v>
      </c>
      <c r="F1488" s="10" t="s">
        <v>693</v>
      </c>
      <c r="G1488" s="10" t="s">
        <v>696</v>
      </c>
      <c r="H1488" s="10" t="str" cm="1">
        <f t="array" aca="1" ref="H1488" ca="1">IF(INDEX(I1488:Z1488,$H$1)=0,"",INDEX(I1488:Z1488,$H$1))</f>
        <v>EF Value</v>
      </c>
      <c r="I1488" s="10" t="s">
        <v>39</v>
      </c>
      <c r="J1488" s="10" t="s">
        <v>934</v>
      </c>
      <c r="K1488" s="27" t="s">
        <v>1682</v>
      </c>
    </row>
    <row r="1489" spans="1:11" x14ac:dyDescent="0.35">
      <c r="A1489" s="10" t="s">
        <v>1285</v>
      </c>
      <c r="B1489" s="255">
        <v>9</v>
      </c>
      <c r="C1489" s="10" t="s">
        <v>51</v>
      </c>
      <c r="D1489" s="10">
        <v>5</v>
      </c>
      <c r="E1489" s="10">
        <v>69</v>
      </c>
      <c r="F1489" s="10" t="s">
        <v>694</v>
      </c>
      <c r="G1489" s="10" t="s">
        <v>696</v>
      </c>
      <c r="H1489" s="10" t="str" cm="1">
        <f t="array" aca="1" ref="H1489" ca="1">IF(INDEX(I1489:Z1489,$H$1)=0,"",INDEX(I1489:Z1489,$H$1))</f>
        <v xml:space="preserve">Units of </v>
      </c>
      <c r="I1489" s="10" t="s">
        <v>37</v>
      </c>
      <c r="J1489" s="10" t="s">
        <v>740</v>
      </c>
      <c r="K1489" s="27" t="s">
        <v>1685</v>
      </c>
    </row>
    <row r="1490" spans="1:11" x14ac:dyDescent="0.35">
      <c r="A1490" s="10" t="s">
        <v>1285</v>
      </c>
      <c r="B1490" s="255">
        <v>9</v>
      </c>
      <c r="C1490" s="10" t="s">
        <v>51</v>
      </c>
      <c r="D1490" s="10">
        <v>5</v>
      </c>
      <c r="E1490" s="10">
        <v>69</v>
      </c>
      <c r="F1490" s="10" t="s">
        <v>711</v>
      </c>
      <c r="G1490" s="10" t="s">
        <v>696</v>
      </c>
      <c r="H1490" s="10" t="str" cm="1">
        <f t="array" aca="1" ref="H1490" ca="1">IF(INDEX(I1490:Z1490,$H$1)=0,"",INDEX(I1490:Z1490,$H$1))</f>
        <v xml:space="preserve">CH4 Content </v>
      </c>
      <c r="I1490" s="10" t="s">
        <v>41</v>
      </c>
      <c r="J1490" s="10" t="s">
        <v>805</v>
      </c>
      <c r="K1490" s="27" t="s">
        <v>1502</v>
      </c>
    </row>
    <row r="1491" spans="1:11" x14ac:dyDescent="0.35">
      <c r="A1491" s="10" t="s">
        <v>1285</v>
      </c>
      <c r="B1491" s="255">
        <v>9</v>
      </c>
      <c r="C1491" s="10" t="s">
        <v>51</v>
      </c>
      <c r="D1491" s="10">
        <v>5</v>
      </c>
      <c r="E1491" s="10">
        <v>69</v>
      </c>
      <c r="F1491" s="10" t="s">
        <v>591</v>
      </c>
      <c r="G1491" s="10" t="s">
        <v>696</v>
      </c>
      <c r="H1491" s="10" t="str" cm="1">
        <f t="array" aca="1" ref="H1491" ca="1">IF(INDEX(I1491:Z1491,$H$1)=0,"",INDEX(I1491:Z1491,$H$1))</f>
        <v>CH4 Content</v>
      </c>
      <c r="I1491" s="10" t="s">
        <v>45</v>
      </c>
      <c r="J1491" s="10" t="s">
        <v>805</v>
      </c>
      <c r="K1491" s="27" t="s">
        <v>1502</v>
      </c>
    </row>
    <row r="1492" spans="1:11" x14ac:dyDescent="0.35">
      <c r="A1492" s="10" t="s">
        <v>1285</v>
      </c>
      <c r="B1492" s="255">
        <v>9</v>
      </c>
      <c r="C1492" s="10" t="s">
        <v>51</v>
      </c>
      <c r="D1492" s="10">
        <v>5</v>
      </c>
      <c r="E1492" s="10">
        <v>69</v>
      </c>
      <c r="F1492" s="10" t="s">
        <v>712</v>
      </c>
      <c r="G1492" s="10" t="s">
        <v>696</v>
      </c>
      <c r="H1492" s="10" t="str" cm="1">
        <f t="array" aca="1" ref="H1492" ca="1">IF(INDEX(I1492:Z1492,$H$1)=0,"",INDEX(I1492:Z1492,$H$1))</f>
        <v>Value</v>
      </c>
      <c r="I1492" s="10" t="s">
        <v>6</v>
      </c>
      <c r="J1492" s="10" t="s">
        <v>725</v>
      </c>
      <c r="K1492" s="27" t="s">
        <v>1411</v>
      </c>
    </row>
    <row r="1493" spans="1:11" x14ac:dyDescent="0.35">
      <c r="A1493" s="10" t="s">
        <v>1285</v>
      </c>
      <c r="B1493" s="255">
        <v>9</v>
      </c>
      <c r="C1493" s="10" t="s">
        <v>51</v>
      </c>
      <c r="D1493" s="10">
        <v>5</v>
      </c>
      <c r="E1493" s="10">
        <v>69</v>
      </c>
      <c r="F1493" s="10" t="s">
        <v>713</v>
      </c>
      <c r="G1493" s="10" t="s">
        <v>696</v>
      </c>
      <c r="H1493" s="10" t="str" cm="1">
        <f t="array" aca="1" ref="H1493" ca="1">IF(INDEX(I1493:Z1493,$H$1)=0,"",INDEX(I1493:Z1493,$H$1))</f>
        <v>Conversion</v>
      </c>
      <c r="I1493" s="10" t="s">
        <v>16</v>
      </c>
      <c r="J1493" s="10" t="s">
        <v>1219</v>
      </c>
      <c r="K1493" s="27" t="s">
        <v>1684</v>
      </c>
    </row>
    <row r="1494" spans="1:11" x14ac:dyDescent="0.35">
      <c r="A1494" s="10" t="s">
        <v>1285</v>
      </c>
      <c r="B1494" s="255">
        <v>9</v>
      </c>
      <c r="C1494" s="10" t="s">
        <v>51</v>
      </c>
      <c r="D1494" s="10">
        <v>5</v>
      </c>
      <c r="E1494" s="10">
        <v>70</v>
      </c>
      <c r="F1494" s="10" t="s">
        <v>38</v>
      </c>
      <c r="G1494" s="10" t="s">
        <v>696</v>
      </c>
      <c r="H1494" s="10" t="str" cm="1">
        <f t="array" aca="1" ref="H1494" ca="1">IF(INDEX(I1494:Z1494,$H$1)=0,"",INDEX(I1494:Z1494,$H$1))</f>
        <v>(Nm3/m3 of liquid received)</v>
      </c>
      <c r="I1494" s="10" t="s">
        <v>1091</v>
      </c>
      <c r="J1494" s="10" t="s">
        <v>1092</v>
      </c>
      <c r="K1494" s="27" t="s">
        <v>1698</v>
      </c>
    </row>
    <row r="1495" spans="1:11" x14ac:dyDescent="0.35">
      <c r="A1495" s="10" t="s">
        <v>1285</v>
      </c>
      <c r="B1495" s="255">
        <v>9</v>
      </c>
      <c r="C1495" s="10" t="s">
        <v>51</v>
      </c>
      <c r="D1495" s="10">
        <v>5</v>
      </c>
      <c r="E1495" s="10">
        <v>70</v>
      </c>
      <c r="F1495" s="10" t="s">
        <v>694</v>
      </c>
      <c r="G1495" s="10" t="s">
        <v>696</v>
      </c>
      <c r="H1495" s="10" t="str" cm="1">
        <f t="array" aca="1" ref="H1495" ca="1">IF(INDEX(I1495:Z1495,$H$1)=0,"",INDEX(I1495:Z1495,$H$1))</f>
        <v>Measure</v>
      </c>
      <c r="I1495" s="10" t="s">
        <v>8</v>
      </c>
      <c r="J1495" s="10" t="s">
        <v>1262</v>
      </c>
      <c r="K1495" s="27" t="s">
        <v>1683</v>
      </c>
    </row>
    <row r="1496" spans="1:11" x14ac:dyDescent="0.35">
      <c r="A1496" s="10" t="s">
        <v>1285</v>
      </c>
      <c r="B1496" s="255">
        <v>9</v>
      </c>
      <c r="C1496" s="10" t="s">
        <v>51</v>
      </c>
      <c r="D1496" s="10">
        <v>5</v>
      </c>
      <c r="E1496" s="10">
        <v>70</v>
      </c>
      <c r="F1496" s="10" t="s">
        <v>711</v>
      </c>
      <c r="G1496" s="10" t="s">
        <v>696</v>
      </c>
      <c r="H1496" s="10" t="str" cm="1">
        <f t="array" aca="1" ref="H1496" ca="1">IF(INDEX(I1496:Z1496,$H$1)=0,"",INDEX(I1496:Z1496,$H$1))</f>
        <v>Basis for Industry Segment</v>
      </c>
      <c r="I1496" s="10" t="s">
        <v>42</v>
      </c>
      <c r="J1496" s="10" t="s">
        <v>1204</v>
      </c>
      <c r="K1496" s="27" t="s">
        <v>1689</v>
      </c>
    </row>
    <row r="1497" spans="1:11" x14ac:dyDescent="0.35">
      <c r="A1497" s="10" t="s">
        <v>1285</v>
      </c>
      <c r="B1497" s="255">
        <v>9</v>
      </c>
      <c r="C1497" s="10" t="s">
        <v>51</v>
      </c>
      <c r="D1497" s="10">
        <v>5</v>
      </c>
      <c r="E1497" s="10">
        <v>70</v>
      </c>
      <c r="F1497" s="10" t="s">
        <v>591</v>
      </c>
      <c r="G1497" s="10" t="s">
        <v>696</v>
      </c>
      <c r="H1497" s="10" t="str" cm="1">
        <f t="array" aca="1" ref="H1497" ca="1">IF(INDEX(I1497:Z1497,$H$1)=0,"",INDEX(I1497:Z1497,$H$1))</f>
        <v>Basis for Industry Segment</v>
      </c>
      <c r="I1497" s="10" t="s">
        <v>42</v>
      </c>
      <c r="J1497" s="10" t="s">
        <v>1204</v>
      </c>
      <c r="K1497" s="27" t="s">
        <v>1689</v>
      </c>
    </row>
    <row r="1498" spans="1:11" x14ac:dyDescent="0.35">
      <c r="A1498" s="10" t="s">
        <v>1285</v>
      </c>
      <c r="B1498" s="255">
        <v>9</v>
      </c>
      <c r="C1498" s="10" t="s">
        <v>51</v>
      </c>
      <c r="D1498" s="10">
        <v>5</v>
      </c>
      <c r="E1498" s="10">
        <v>71</v>
      </c>
      <c r="F1498" s="10" t="s">
        <v>711</v>
      </c>
      <c r="G1498" s="10" t="s">
        <v>696</v>
      </c>
      <c r="H1498" s="10" t="str" cm="1">
        <f t="array" aca="1" ref="H1498" ca="1">IF(INDEX(I1498:Z1498,$H$1)=0,"",INDEX(I1498:Z1498,$H$1))</f>
        <v>(Mol%)</v>
      </c>
      <c r="I1498" s="10" t="s">
        <v>43</v>
      </c>
      <c r="J1498" s="10" t="s">
        <v>43</v>
      </c>
      <c r="K1498" s="27" t="s">
        <v>1496</v>
      </c>
    </row>
    <row r="1499" spans="1:11" x14ac:dyDescent="0.35">
      <c r="A1499" s="10" t="s">
        <v>1285</v>
      </c>
      <c r="B1499" s="255">
        <v>9</v>
      </c>
      <c r="C1499" s="10" t="s">
        <v>51</v>
      </c>
      <c r="D1499" s="10">
        <v>5</v>
      </c>
      <c r="E1499" s="10">
        <v>71</v>
      </c>
      <c r="F1499" s="10" t="s">
        <v>591</v>
      </c>
      <c r="G1499" s="10" t="s">
        <v>696</v>
      </c>
      <c r="H1499" s="10" t="str" cm="1">
        <f t="array" aca="1" ref="H1499" ca="1">IF(INDEX(I1499:Z1499,$H$1)=0,"",INDEX(I1499:Z1499,$H$1))</f>
        <v>(Mol%)</v>
      </c>
      <c r="I1499" s="10" t="s">
        <v>43</v>
      </c>
      <c r="J1499" s="10" t="s">
        <v>43</v>
      </c>
      <c r="K1499" s="27" t="s">
        <v>1496</v>
      </c>
    </row>
    <row r="1500" spans="1:11" x14ac:dyDescent="0.35">
      <c r="A1500" s="10" t="s">
        <v>1285</v>
      </c>
      <c r="B1500" s="255">
        <v>9</v>
      </c>
      <c r="C1500" s="10" t="s">
        <v>51</v>
      </c>
      <c r="D1500" s="10">
        <v>5</v>
      </c>
      <c r="E1500" s="10">
        <v>72</v>
      </c>
      <c r="F1500" s="10" t="s">
        <v>690</v>
      </c>
      <c r="G1500" s="10" t="s">
        <v>695</v>
      </c>
      <c r="H1500" s="10" t="str" cm="1">
        <f t="array" aca="1" ref="H1500" ca="1">IF(INDEX(I1500:Z1500,$H$1)=0,"",INDEX(I1500:Z1500,$H$1))</f>
        <v>Crude Oil (Without Control)</v>
      </c>
      <c r="I1500" s="10" t="s">
        <v>3350</v>
      </c>
      <c r="J1500" s="10" t="s">
        <v>2118</v>
      </c>
      <c r="K1500" s="27" t="s">
        <v>2119</v>
      </c>
    </row>
    <row r="1501" spans="1:11" x14ac:dyDescent="0.35">
      <c r="A1501" s="10" t="s">
        <v>1285</v>
      </c>
      <c r="B1501" s="255">
        <v>9</v>
      </c>
      <c r="C1501" s="10" t="s">
        <v>51</v>
      </c>
      <c r="D1501" s="10">
        <v>5</v>
      </c>
      <c r="E1501" s="10">
        <v>72</v>
      </c>
      <c r="F1501" s="10" t="s">
        <v>690</v>
      </c>
      <c r="G1501" s="10" t="s">
        <v>695</v>
      </c>
      <c r="H1501" s="10" t="str" cm="1">
        <f t="array" aca="1" ref="H1501" ca="1">IF(INDEX(I1501:Z1501,$H$1)=0,"",INDEX(I1501:Z1501,$H$1))</f>
        <v>Crude Oil (Large Tanks Without Control)</v>
      </c>
      <c r="I1501" s="10" t="s">
        <v>3351</v>
      </c>
      <c r="J1501" s="10" t="s">
        <v>2120</v>
      </c>
      <c r="K1501" s="27" t="s">
        <v>2121</v>
      </c>
    </row>
    <row r="1502" spans="1:11" x14ac:dyDescent="0.35">
      <c r="A1502" s="10" t="s">
        <v>1285</v>
      </c>
      <c r="B1502" s="255">
        <v>9</v>
      </c>
      <c r="C1502" s="10" t="s">
        <v>51</v>
      </c>
      <c r="D1502" s="10">
        <v>5</v>
      </c>
      <c r="E1502" s="10">
        <v>72</v>
      </c>
      <c r="F1502" s="10" t="s">
        <v>690</v>
      </c>
      <c r="G1502" s="10" t="s">
        <v>695</v>
      </c>
      <c r="H1502" s="10" t="str" cm="1">
        <f t="array" aca="1" ref="H1502" ca="1">IF(INDEX(I1502:Z1502,$H$1)=0,"",INDEX(I1502:Z1502,$H$1))</f>
        <v>Crude Oil (Large Tanks with VRU)</v>
      </c>
      <c r="I1502" s="10" t="s">
        <v>3352</v>
      </c>
      <c r="J1502" s="10" t="s">
        <v>2122</v>
      </c>
      <c r="K1502" s="27" t="s">
        <v>2123</v>
      </c>
    </row>
    <row r="1503" spans="1:11" x14ac:dyDescent="0.35">
      <c r="A1503" s="10" t="s">
        <v>1285</v>
      </c>
      <c r="B1503" s="255">
        <v>9</v>
      </c>
      <c r="C1503" s="10" t="s">
        <v>51</v>
      </c>
      <c r="D1503" s="10">
        <v>5</v>
      </c>
      <c r="E1503" s="10">
        <v>72</v>
      </c>
      <c r="F1503" s="10" t="s">
        <v>690</v>
      </c>
      <c r="G1503" s="10" t="s">
        <v>695</v>
      </c>
      <c r="H1503" s="10" t="str" cm="1">
        <f t="array" aca="1" ref="H1503" ca="1">IF(INDEX(I1503:Z1503,$H$1)=0,"",INDEX(I1503:Z1503,$H$1))</f>
        <v>Crude Oil (Large Tanks with Flares)</v>
      </c>
      <c r="I1503" s="10" t="s">
        <v>3353</v>
      </c>
      <c r="J1503" s="10" t="s">
        <v>2124</v>
      </c>
      <c r="K1503" s="27" t="s">
        <v>2125</v>
      </c>
    </row>
    <row r="1504" spans="1:11" x14ac:dyDescent="0.35">
      <c r="A1504" s="10" t="s">
        <v>1285</v>
      </c>
      <c r="B1504" s="255">
        <v>9</v>
      </c>
      <c r="C1504" s="10" t="s">
        <v>51</v>
      </c>
      <c r="D1504" s="10">
        <v>5</v>
      </c>
      <c r="E1504" s="10">
        <v>72</v>
      </c>
      <c r="F1504" s="10" t="s">
        <v>690</v>
      </c>
      <c r="G1504" s="10" t="s">
        <v>695</v>
      </c>
      <c r="H1504" s="10" t="str" cm="1">
        <f t="array" aca="1" ref="H1504" ca="1">IF(INDEX(I1504:Z1504,$H$1)=0,"",INDEX(I1504:Z1504,$H$1))</f>
        <v>Crude Oil (Small Tanks Without Control)</v>
      </c>
      <c r="I1504" s="10" t="s">
        <v>3354</v>
      </c>
      <c r="J1504" s="10" t="s">
        <v>2126</v>
      </c>
      <c r="K1504" s="27" t="s">
        <v>2127</v>
      </c>
    </row>
    <row r="1505" spans="1:11" x14ac:dyDescent="0.35">
      <c r="A1505" s="10" t="s">
        <v>1285</v>
      </c>
      <c r="B1505" s="255">
        <v>9</v>
      </c>
      <c r="C1505" s="10" t="s">
        <v>51</v>
      </c>
      <c r="D1505" s="10">
        <v>5</v>
      </c>
      <c r="E1505" s="10">
        <v>72</v>
      </c>
      <c r="F1505" s="10" t="s">
        <v>690</v>
      </c>
      <c r="G1505" s="10" t="s">
        <v>695</v>
      </c>
      <c r="H1505" s="10" t="str" cm="1">
        <f t="array" aca="1" ref="H1505" ca="1">IF(INDEX(I1505:Z1505,$H$1)=0,"",INDEX(I1505:Z1505,$H$1))</f>
        <v>Crude Oil (Small Tanks with Flares)</v>
      </c>
      <c r="I1505" s="10" t="s">
        <v>3355</v>
      </c>
      <c r="J1505" s="10" t="s">
        <v>2128</v>
      </c>
      <c r="K1505" s="27" t="s">
        <v>2129</v>
      </c>
    </row>
    <row r="1506" spans="1:11" x14ac:dyDescent="0.35">
      <c r="A1506" s="10" t="s">
        <v>1285</v>
      </c>
      <c r="B1506" s="255">
        <v>9</v>
      </c>
      <c r="C1506" s="10" t="s">
        <v>51</v>
      </c>
      <c r="D1506" s="10">
        <v>5</v>
      </c>
      <c r="E1506" s="10">
        <v>73</v>
      </c>
      <c r="F1506" s="10" t="s">
        <v>690</v>
      </c>
      <c r="G1506" s="10" t="s">
        <v>695</v>
      </c>
      <c r="H1506" s="10" t="str" cm="1">
        <f t="array" aca="1" ref="H1506" ca="1">IF(INDEX(I1506:Z1506,$H$1)=0,"",INDEX(I1506:Z1506,$H$1))</f>
        <v>Condensate (Large Tanks Without Control)</v>
      </c>
      <c r="I1506" s="10" t="s">
        <v>3356</v>
      </c>
      <c r="J1506" s="10" t="s">
        <v>2130</v>
      </c>
      <c r="K1506" s="27" t="s">
        <v>2131</v>
      </c>
    </row>
    <row r="1507" spans="1:11" x14ac:dyDescent="0.35">
      <c r="A1507" s="10" t="s">
        <v>1285</v>
      </c>
      <c r="B1507" s="255">
        <v>9</v>
      </c>
      <c r="C1507" s="10" t="s">
        <v>51</v>
      </c>
      <c r="D1507" s="10">
        <v>5</v>
      </c>
      <c r="E1507" s="10">
        <v>73</v>
      </c>
      <c r="F1507" s="10" t="s">
        <v>690</v>
      </c>
      <c r="G1507" s="10" t="s">
        <v>695</v>
      </c>
      <c r="H1507" s="10" t="str" cm="1">
        <f t="array" aca="1" ref="H1507" ca="1">IF(INDEX(I1507:Z1507,$H$1)=0,"",INDEX(I1507:Z1507,$H$1))</f>
        <v>Condensate (Large Tanks with VRU)</v>
      </c>
      <c r="I1507" s="10" t="s">
        <v>3357</v>
      </c>
      <c r="J1507" s="10" t="s">
        <v>2132</v>
      </c>
      <c r="K1507" s="27" t="s">
        <v>2133</v>
      </c>
    </row>
    <row r="1508" spans="1:11" x14ac:dyDescent="0.35">
      <c r="A1508" s="10" t="s">
        <v>1285</v>
      </c>
      <c r="B1508" s="255">
        <v>9</v>
      </c>
      <c r="C1508" s="10" t="s">
        <v>51</v>
      </c>
      <c r="D1508" s="10">
        <v>5</v>
      </c>
      <c r="E1508" s="10">
        <v>73</v>
      </c>
      <c r="F1508" s="10" t="s">
        <v>690</v>
      </c>
      <c r="G1508" s="10" t="s">
        <v>695</v>
      </c>
      <c r="H1508" s="10" t="str" cm="1">
        <f t="array" aca="1" ref="H1508" ca="1">IF(INDEX(I1508:Z1508,$H$1)=0,"",INDEX(I1508:Z1508,$H$1))</f>
        <v>Condensate (Large Tanks with Flares)</v>
      </c>
      <c r="I1508" s="10" t="s">
        <v>3358</v>
      </c>
      <c r="J1508" s="10" t="s">
        <v>2134</v>
      </c>
      <c r="K1508" s="27" t="s">
        <v>2135</v>
      </c>
    </row>
    <row r="1509" spans="1:11" x14ac:dyDescent="0.35">
      <c r="A1509" s="10" t="s">
        <v>1285</v>
      </c>
      <c r="B1509" s="255">
        <v>9</v>
      </c>
      <c r="C1509" s="10" t="s">
        <v>51</v>
      </c>
      <c r="D1509" s="10">
        <v>5</v>
      </c>
      <c r="E1509" s="10">
        <v>73</v>
      </c>
      <c r="F1509" s="10" t="s">
        <v>690</v>
      </c>
      <c r="G1509" s="10" t="s">
        <v>695</v>
      </c>
      <c r="H1509" s="10" t="str" cm="1">
        <f t="array" aca="1" ref="H1509" ca="1">IF(INDEX(I1509:Z1509,$H$1)=0,"",INDEX(I1509:Z1509,$H$1))</f>
        <v>Condensate (Small Tanks without Flares)</v>
      </c>
      <c r="I1509" s="10" t="s">
        <v>3359</v>
      </c>
      <c r="J1509" s="10" t="s">
        <v>2136</v>
      </c>
      <c r="K1509" s="27" t="s">
        <v>2137</v>
      </c>
    </row>
    <row r="1510" spans="1:11" x14ac:dyDescent="0.35">
      <c r="A1510" s="10" t="s">
        <v>1285</v>
      </c>
      <c r="B1510" s="255">
        <v>9</v>
      </c>
      <c r="C1510" s="10" t="s">
        <v>51</v>
      </c>
      <c r="D1510" s="10">
        <v>5</v>
      </c>
      <c r="E1510" s="10">
        <v>73</v>
      </c>
      <c r="F1510" s="10" t="s">
        <v>690</v>
      </c>
      <c r="G1510" s="10" t="s">
        <v>695</v>
      </c>
      <c r="H1510" s="10" t="str" cm="1">
        <f t="array" aca="1" ref="H1510" ca="1">IF(INDEX(I1510:Z1510,$H$1)=0,"",INDEX(I1510:Z1510,$H$1))</f>
        <v>Condensate (Small Tanks with Flares)</v>
      </c>
      <c r="I1510" s="10" t="s">
        <v>3360</v>
      </c>
      <c r="J1510" s="10" t="s">
        <v>2138</v>
      </c>
      <c r="K1510" s="27" t="s">
        <v>2139</v>
      </c>
    </row>
    <row r="1511" spans="1:11" x14ac:dyDescent="0.35">
      <c r="A1511" s="10" t="s">
        <v>1285</v>
      </c>
      <c r="B1511" s="255">
        <v>9</v>
      </c>
      <c r="C1511" s="10" t="s">
        <v>51</v>
      </c>
      <c r="D1511" s="10">
        <v>5</v>
      </c>
      <c r="E1511" s="10">
        <v>73</v>
      </c>
      <c r="F1511" s="10" t="s">
        <v>690</v>
      </c>
      <c r="G1511" s="10" t="s">
        <v>695</v>
      </c>
      <c r="H1511" s="10" t="str" cm="1">
        <f t="array" aca="1" ref="H1511" ca="1">IF(INDEX(I1511:Z1511,$H$1)=0,"",INDEX(I1511:Z1511,$H$1))</f>
        <v>Condensate (Without Control)</v>
      </c>
      <c r="I1511" s="10" t="s">
        <v>3361</v>
      </c>
      <c r="J1511" s="10" t="s">
        <v>2140</v>
      </c>
      <c r="K1511" s="27" t="s">
        <v>2141</v>
      </c>
    </row>
    <row r="1512" spans="1:11" x14ac:dyDescent="0.35">
      <c r="A1512" s="10" t="s">
        <v>1285</v>
      </c>
      <c r="B1512" s="255">
        <v>9</v>
      </c>
      <c r="C1512" s="10" t="s">
        <v>51</v>
      </c>
      <c r="D1512" s="10">
        <v>5</v>
      </c>
      <c r="E1512" s="10">
        <v>74</v>
      </c>
      <c r="F1512" s="10" t="s">
        <v>690</v>
      </c>
      <c r="G1512" s="10" t="s">
        <v>695</v>
      </c>
      <c r="H1512" s="10" t="str" cm="1">
        <f t="array" aca="1" ref="H1512" ca="1">IF(INDEX(I1512:Z1512,$H$1)=0,"",INDEX(I1512:Z1512,$H$1))</f>
        <v>Produced Water</v>
      </c>
      <c r="I1512" s="10" t="s">
        <v>71</v>
      </c>
      <c r="J1512" s="10" t="s">
        <v>951</v>
      </c>
      <c r="K1512" s="27" t="s">
        <v>1700</v>
      </c>
    </row>
    <row r="1513" spans="1:11" x14ac:dyDescent="0.35">
      <c r="A1513" s="10" t="s">
        <v>1285</v>
      </c>
      <c r="B1513" s="255">
        <v>9</v>
      </c>
      <c r="C1513" s="10" t="s">
        <v>51</v>
      </c>
      <c r="D1513" s="10">
        <v>5</v>
      </c>
      <c r="E1513" s="10">
        <v>75</v>
      </c>
      <c r="F1513" s="10" t="s">
        <v>690</v>
      </c>
      <c r="G1513" s="10" t="s">
        <v>695</v>
      </c>
      <c r="H1513" s="10" t="str" cm="1">
        <f t="array" aca="1" ref="H1513" ca="1">IF(INDEX(I1513:Z1513,$H$1)=0,"",INDEX(I1513:Z1513,$H$1))</f>
        <v>Chemicals (Fixed - Roof Tank with Natural Gas Blanketing)</v>
      </c>
      <c r="I1513" s="10" t="s">
        <v>2493</v>
      </c>
      <c r="J1513" s="10"/>
      <c r="K1513" s="27"/>
    </row>
    <row r="1514" spans="1:11" x14ac:dyDescent="0.35">
      <c r="A1514" s="10" t="s">
        <v>1285</v>
      </c>
      <c r="B1514" s="255">
        <v>9</v>
      </c>
      <c r="C1514" s="10" t="s">
        <v>51</v>
      </c>
      <c r="D1514" s="10">
        <v>5</v>
      </c>
      <c r="E1514" s="10">
        <v>75</v>
      </c>
      <c r="F1514" s="10" t="s">
        <v>690</v>
      </c>
      <c r="G1514" s="10" t="s">
        <v>695</v>
      </c>
      <c r="H1514" s="10" t="str" cm="1">
        <f t="array" aca="1" ref="H1514" ca="1">IF(INDEX(I1514:Z1514,$H$1)=0,"",INDEX(I1514:Z1514,$H$1))</f>
        <v>Condensate (External Floating - Roof Tank)</v>
      </c>
      <c r="I1514" s="10" t="s">
        <v>2494</v>
      </c>
      <c r="J1514" s="10"/>
      <c r="K1514" s="27"/>
    </row>
    <row r="1515" spans="1:11" x14ac:dyDescent="0.35">
      <c r="A1515" s="10" t="s">
        <v>1285</v>
      </c>
      <c r="B1515" s="255">
        <v>9</v>
      </c>
      <c r="C1515" s="10" t="s">
        <v>51</v>
      </c>
      <c r="D1515" s="10">
        <v>5</v>
      </c>
      <c r="E1515" s="10">
        <v>75</v>
      </c>
      <c r="F1515" s="10" t="s">
        <v>690</v>
      </c>
      <c r="G1515" s="10" t="s">
        <v>695</v>
      </c>
      <c r="H1515" s="10" t="str" cm="1">
        <f t="array" aca="1" ref="H1515" ca="1">IF(INDEX(I1515:Z1515,$H$1)=0,"",INDEX(I1515:Z1515,$H$1))</f>
        <v>Condensate (Fixed - Roof Tank with Vapor Control)</v>
      </c>
      <c r="I1515" s="10" t="s">
        <v>2495</v>
      </c>
      <c r="J1515" s="10"/>
      <c r="K1515" s="27"/>
    </row>
    <row r="1516" spans="1:11" x14ac:dyDescent="0.35">
      <c r="A1516" s="10" t="s">
        <v>1285</v>
      </c>
      <c r="B1516" s="255">
        <v>9</v>
      </c>
      <c r="C1516" s="10" t="s">
        <v>51</v>
      </c>
      <c r="D1516" s="10">
        <v>5</v>
      </c>
      <c r="E1516" s="10">
        <v>75</v>
      </c>
      <c r="F1516" s="10" t="s">
        <v>690</v>
      </c>
      <c r="G1516" s="10" t="s">
        <v>695</v>
      </c>
      <c r="H1516" s="10" t="str" cm="1">
        <f t="array" aca="1" ref="H1516" ca="1">IF(INDEX(I1516:Z1516,$H$1)=0,"",INDEX(I1516:Z1516,$H$1))</f>
        <v>Condensate (Fixed - Roof Tank without Vapor Control)</v>
      </c>
      <c r="I1516" s="10" t="s">
        <v>2496</v>
      </c>
      <c r="J1516" s="10"/>
      <c r="K1516" s="27"/>
    </row>
    <row r="1517" spans="1:11" x14ac:dyDescent="0.35">
      <c r="A1517" s="10" t="s">
        <v>1285</v>
      </c>
      <c r="B1517" s="255">
        <v>9</v>
      </c>
      <c r="C1517" s="10" t="s">
        <v>51</v>
      </c>
      <c r="D1517" s="10">
        <v>5</v>
      </c>
      <c r="E1517" s="10">
        <v>75</v>
      </c>
      <c r="F1517" s="10" t="s">
        <v>690</v>
      </c>
      <c r="G1517" s="10" t="s">
        <v>695</v>
      </c>
      <c r="H1517" s="10" t="str" cm="1">
        <f t="array" aca="1" ref="H1517" ca="1">IF(INDEX(I1517:Z1517,$H$1)=0,"",INDEX(I1517:Z1517,$H$1))</f>
        <v>Condensate (Internal Floating - Roof Tank))</v>
      </c>
      <c r="I1517" s="10" t="s">
        <v>2497</v>
      </c>
      <c r="J1517" s="10"/>
      <c r="K1517" s="27"/>
    </row>
    <row r="1518" spans="1:11" x14ac:dyDescent="0.35">
      <c r="A1518" s="10" t="s">
        <v>1285</v>
      </c>
      <c r="B1518" s="255">
        <v>9</v>
      </c>
      <c r="C1518" s="10" t="s">
        <v>51</v>
      </c>
      <c r="D1518" s="10">
        <v>5</v>
      </c>
      <c r="E1518" s="10">
        <v>75</v>
      </c>
      <c r="F1518" s="10" t="s">
        <v>690</v>
      </c>
      <c r="G1518" s="10" t="s">
        <v>695</v>
      </c>
      <c r="H1518" s="10" t="str" cm="1">
        <f t="array" aca="1" ref="H1518" ca="1">IF(INDEX(I1518:Z1518,$H$1)=0,"",INDEX(I1518:Z1518,$H$1))</f>
        <v>Produced Water (External Floating - Roof Tank)</v>
      </c>
      <c r="I1518" s="10" t="s">
        <v>2498</v>
      </c>
      <c r="J1518" s="10"/>
      <c r="K1518" s="27"/>
    </row>
    <row r="1519" spans="1:11" x14ac:dyDescent="0.35">
      <c r="A1519" s="10" t="s">
        <v>1285</v>
      </c>
      <c r="B1519" s="255">
        <v>9</v>
      </c>
      <c r="C1519" s="10" t="s">
        <v>51</v>
      </c>
      <c r="D1519" s="10">
        <v>5</v>
      </c>
      <c r="E1519" s="10">
        <v>75</v>
      </c>
      <c r="F1519" s="10" t="s">
        <v>690</v>
      </c>
      <c r="G1519" s="10" t="s">
        <v>695</v>
      </c>
      <c r="H1519" s="10" t="str" cm="1">
        <f t="array" aca="1" ref="H1519" ca="1">IF(INDEX(I1519:Z1519,$H$1)=0,"",INDEX(I1519:Z1519,$H$1))</f>
        <v>Produced Water (Fixed - Roof Tank with Vapor Control)</v>
      </c>
      <c r="I1519" s="10" t="s">
        <v>2499</v>
      </c>
      <c r="J1519" s="10"/>
      <c r="K1519" s="27"/>
    </row>
    <row r="1520" spans="1:11" x14ac:dyDescent="0.35">
      <c r="A1520" s="10" t="s">
        <v>1285</v>
      </c>
      <c r="B1520" s="255">
        <v>9</v>
      </c>
      <c r="C1520" s="10" t="s">
        <v>51</v>
      </c>
      <c r="D1520" s="10">
        <v>5</v>
      </c>
      <c r="E1520" s="10">
        <v>75</v>
      </c>
      <c r="F1520" s="10" t="s">
        <v>690</v>
      </c>
      <c r="G1520" s="10" t="s">
        <v>695</v>
      </c>
      <c r="H1520" s="10" t="str" cm="1">
        <f t="array" aca="1" ref="H1520" ca="1">IF(INDEX(I1520:Z1520,$H$1)=0,"",INDEX(I1520:Z1520,$H$1))</f>
        <v>Produced Water (Fixed - Roof Tank without Vapor Control)</v>
      </c>
      <c r="I1520" s="10" t="s">
        <v>2500</v>
      </c>
      <c r="J1520" s="10"/>
      <c r="K1520" s="27"/>
    </row>
    <row r="1521" spans="1:11" x14ac:dyDescent="0.35">
      <c r="A1521" s="10" t="s">
        <v>1285</v>
      </c>
      <c r="B1521" s="255">
        <v>9</v>
      </c>
      <c r="C1521" s="10" t="s">
        <v>51</v>
      </c>
      <c r="D1521" s="10">
        <v>5</v>
      </c>
      <c r="E1521" s="10">
        <v>75</v>
      </c>
      <c r="F1521" s="10" t="s">
        <v>690</v>
      </c>
      <c r="G1521" s="10" t="s">
        <v>695</v>
      </c>
      <c r="H1521" s="10" t="str" cm="1">
        <f t="array" aca="1" ref="H1521" ca="1">IF(INDEX(I1521:Z1521,$H$1)=0,"",INDEX(I1521:Z1521,$H$1))</f>
        <v>Produced Water (Internal Floating - Roof Tank)</v>
      </c>
      <c r="I1521" s="10" t="s">
        <v>2501</v>
      </c>
      <c r="J1521" s="10"/>
      <c r="K1521" s="27"/>
    </row>
    <row r="1522" spans="1:11" x14ac:dyDescent="0.35">
      <c r="A1522" s="10" t="s">
        <v>1285</v>
      </c>
      <c r="B1522" s="255">
        <v>9</v>
      </c>
      <c r="C1522" s="10" t="s">
        <v>51</v>
      </c>
      <c r="D1522" s="10">
        <v>5</v>
      </c>
      <c r="E1522" s="10">
        <v>76</v>
      </c>
      <c r="F1522" s="10" t="s">
        <v>690</v>
      </c>
      <c r="G1522" s="10" t="s">
        <v>695</v>
      </c>
      <c r="H1522" s="10" t="str" cm="1">
        <f t="array" aca="1" ref="H1522" ca="1">IF(INDEX(I1522:Z1522,$H$1)=0,"",INDEX(I1522:Z1522,$H$1))</f>
        <v>Condensate</v>
      </c>
      <c r="I1522" s="10" t="s">
        <v>66</v>
      </c>
      <c r="J1522" s="10" t="s">
        <v>952</v>
      </c>
      <c r="K1522" s="27" t="s">
        <v>1699</v>
      </c>
    </row>
    <row r="1523" spans="1:11" x14ac:dyDescent="0.35">
      <c r="A1523" s="10" t="s">
        <v>1285</v>
      </c>
      <c r="B1523" s="255">
        <v>9</v>
      </c>
      <c r="C1523" s="10" t="s">
        <v>51</v>
      </c>
      <c r="D1523" s="10">
        <v>5</v>
      </c>
      <c r="E1523" s="10">
        <v>76</v>
      </c>
      <c r="F1523" s="10" t="s">
        <v>690</v>
      </c>
      <c r="G1523" s="10" t="s">
        <v>695</v>
      </c>
      <c r="H1523" s="10" t="str" cm="1">
        <f t="array" aca="1" ref="H1523" ca="1">IF(INDEX(I1523:Z1523,$H$1)=0,"",INDEX(I1523:Z1523,$H$1))</f>
        <v>Adapted from API</v>
      </c>
      <c r="I1523" s="10" t="s">
        <v>2502</v>
      </c>
      <c r="K1523" s="27"/>
    </row>
    <row r="1524" spans="1:11" x14ac:dyDescent="0.35">
      <c r="A1524" s="10" t="s">
        <v>1285</v>
      </c>
      <c r="B1524" s="255">
        <v>9</v>
      </c>
      <c r="C1524" s="10" t="s">
        <v>51</v>
      </c>
      <c r="D1524" s="10">
        <v>5</v>
      </c>
      <c r="E1524" s="10">
        <v>76</v>
      </c>
      <c r="F1524" s="10" t="s">
        <v>690</v>
      </c>
      <c r="G1524" s="10" t="s">
        <v>695</v>
      </c>
      <c r="H1524" s="10" t="str" cm="1">
        <f t="array" aca="1" ref="H1524" ca="1">IF(INDEX(I1524:Z1524,$H$1)=0,"",INDEX(I1524:Z1524,$H$1))</f>
        <v>Assumed</v>
      </c>
      <c r="I1524" s="10" t="s">
        <v>237</v>
      </c>
      <c r="K1524" s="27"/>
    </row>
    <row r="1525" spans="1:11" x14ac:dyDescent="0.35">
      <c r="A1525" s="10" t="s">
        <v>1285</v>
      </c>
      <c r="B1525" s="255">
        <v>9</v>
      </c>
      <c r="C1525" s="10" t="s">
        <v>51</v>
      </c>
      <c r="D1525" s="10">
        <v>5</v>
      </c>
      <c r="E1525" s="10">
        <v>77</v>
      </c>
      <c r="F1525" s="10" t="s">
        <v>690</v>
      </c>
      <c r="G1525" s="10" t="s">
        <v>695</v>
      </c>
      <c r="H1525" s="10" t="str" cm="1">
        <f t="array" aca="1" ref="H1525" ca="1">IF(INDEX(I1525:Z1525,$H$1)=0,"",INDEX(I1525:Z1525,$H$1))</f>
        <v>Not Applicable</v>
      </c>
      <c r="I1525" s="10" t="s">
        <v>50</v>
      </c>
      <c r="J1525" s="10" t="s">
        <v>888</v>
      </c>
      <c r="K1525" s="27" t="s">
        <v>1579</v>
      </c>
    </row>
    <row r="1526" spans="1:11" x14ac:dyDescent="0.35">
      <c r="A1526" s="10" t="s">
        <v>1285</v>
      </c>
      <c r="B1526" s="255">
        <v>9</v>
      </c>
      <c r="C1526" s="10" t="s">
        <v>51</v>
      </c>
      <c r="D1526" s="10">
        <v>5</v>
      </c>
      <c r="E1526" s="10">
        <v>77</v>
      </c>
      <c r="F1526" s="10" t="s">
        <v>711</v>
      </c>
      <c r="G1526" s="10" t="s">
        <v>695</v>
      </c>
      <c r="H1526" s="10" t="str" cm="1">
        <f t="array" aca="1" ref="H1526" ca="1">IF(INDEX(I1526:Z1526,$H$1)=0,"",INDEX(I1526:Z1526,$H$1))</f>
        <v>Not Applicable</v>
      </c>
      <c r="I1526" s="10" t="s">
        <v>50</v>
      </c>
      <c r="J1526" s="10" t="s">
        <v>888</v>
      </c>
      <c r="K1526" s="27" t="s">
        <v>1579</v>
      </c>
    </row>
    <row r="1527" spans="1:11" x14ac:dyDescent="0.35">
      <c r="A1527" s="10" t="s">
        <v>1285</v>
      </c>
      <c r="B1527" s="255">
        <v>9</v>
      </c>
      <c r="C1527" s="10" t="s">
        <v>51</v>
      </c>
      <c r="D1527" s="10">
        <v>5</v>
      </c>
      <c r="E1527" s="10">
        <v>78</v>
      </c>
      <c r="F1527" s="10" t="s">
        <v>711</v>
      </c>
      <c r="G1527" s="10" t="s">
        <v>695</v>
      </c>
      <c r="H1527" s="10" t="str" cm="1">
        <f t="array" aca="1" ref="H1527" ca="1">IF(INDEX(I1527:Z1527,$H$1)=0,"",INDEX(I1527:Z1527,$H$1))</f>
        <v>Not Applicable</v>
      </c>
      <c r="I1527" s="10" t="s">
        <v>50</v>
      </c>
      <c r="J1527" s="10" t="s">
        <v>888</v>
      </c>
      <c r="K1527" s="27" t="s">
        <v>1579</v>
      </c>
    </row>
    <row r="1528" spans="1:11" x14ac:dyDescent="0.35">
      <c r="A1528" s="10" t="s">
        <v>1285</v>
      </c>
      <c r="B1528" s="255">
        <v>9</v>
      </c>
      <c r="C1528" s="10" t="s">
        <v>51</v>
      </c>
      <c r="D1528" s="10">
        <v>5</v>
      </c>
      <c r="E1528" s="10">
        <v>79</v>
      </c>
      <c r="F1528" s="10" t="s">
        <v>711</v>
      </c>
      <c r="G1528" s="10" t="s">
        <v>695</v>
      </c>
      <c r="H1528" s="10" t="str" cm="1">
        <f t="array" aca="1" ref="H1528" ca="1">IF(INDEX(I1528:Z1528,$H$1)=0,"",INDEX(I1528:Z1528,$H$1))</f>
        <v>Not Applicable</v>
      </c>
      <c r="I1528" s="10" t="s">
        <v>50</v>
      </c>
      <c r="J1528" s="10" t="s">
        <v>888</v>
      </c>
      <c r="K1528" s="27" t="s">
        <v>1579</v>
      </c>
    </row>
    <row r="1529" spans="1:11" x14ac:dyDescent="0.35">
      <c r="A1529" s="10" t="s">
        <v>1285</v>
      </c>
      <c r="B1529" s="255">
        <v>9</v>
      </c>
      <c r="C1529" s="10" t="s">
        <v>51</v>
      </c>
      <c r="D1529" s="10">
        <v>5</v>
      </c>
      <c r="E1529" s="10">
        <v>80</v>
      </c>
      <c r="F1529" s="10" t="s">
        <v>711</v>
      </c>
      <c r="G1529" s="10" t="s">
        <v>695</v>
      </c>
      <c r="H1529" s="10" t="str" cm="1">
        <f t="array" aca="1" ref="H1529" ca="1">IF(INDEX(I1529:Z1529,$H$1)=0,"",INDEX(I1529:Z1529,$H$1))</f>
        <v>Not Applicable</v>
      </c>
      <c r="I1529" s="10" t="s">
        <v>50</v>
      </c>
      <c r="J1529" s="10" t="s">
        <v>888</v>
      </c>
      <c r="K1529" s="27" t="s">
        <v>1579</v>
      </c>
    </row>
    <row r="1530" spans="1:11" x14ac:dyDescent="0.35">
      <c r="A1530" s="10" t="s">
        <v>1285</v>
      </c>
      <c r="B1530" s="255">
        <v>9</v>
      </c>
      <c r="C1530" s="10" t="s">
        <v>51</v>
      </c>
      <c r="D1530" s="10">
        <v>5</v>
      </c>
      <c r="E1530" s="10">
        <v>81</v>
      </c>
      <c r="F1530" s="10" t="s">
        <v>711</v>
      </c>
      <c r="G1530" s="10" t="s">
        <v>695</v>
      </c>
      <c r="H1530" s="10" t="str" cm="1">
        <f t="array" aca="1" ref="H1530" ca="1">IF(INDEX(I1530:Z1530,$H$1)=0,"",INDEX(I1530:Z1530,$H$1))</f>
        <v>Not Applicable</v>
      </c>
      <c r="I1530" s="10" t="s">
        <v>50</v>
      </c>
      <c r="J1530" s="10" t="s">
        <v>888</v>
      </c>
      <c r="K1530" s="27" t="s">
        <v>1579</v>
      </c>
    </row>
    <row r="1531" spans="1:11" x14ac:dyDescent="0.35">
      <c r="A1531" s="10" t="s">
        <v>1285</v>
      </c>
      <c r="B1531" s="255">
        <v>9</v>
      </c>
      <c r="C1531" s="10" t="s">
        <v>51</v>
      </c>
      <c r="D1531" s="10">
        <v>5</v>
      </c>
      <c r="E1531" s="10">
        <v>82</v>
      </c>
      <c r="F1531" s="10" t="s">
        <v>711</v>
      </c>
      <c r="G1531" s="10" t="s">
        <v>695</v>
      </c>
      <c r="H1531" s="10" t="str" cm="1">
        <f t="array" aca="1" ref="H1531" ca="1">IF(INDEX(I1531:Z1531,$H$1)=0,"",INDEX(I1531:Z1531,$H$1))</f>
        <v>Not Applicable</v>
      </c>
      <c r="I1531" s="10" t="s">
        <v>50</v>
      </c>
      <c r="J1531" s="10" t="s">
        <v>888</v>
      </c>
      <c r="K1531" s="27" t="s">
        <v>1579</v>
      </c>
    </row>
    <row r="1532" spans="1:11" x14ac:dyDescent="0.35">
      <c r="A1532" s="10" t="s">
        <v>1285</v>
      </c>
      <c r="B1532" s="255">
        <v>9</v>
      </c>
      <c r="C1532" s="10" t="s">
        <v>51</v>
      </c>
      <c r="D1532" s="10">
        <v>5</v>
      </c>
      <c r="E1532" s="10">
        <v>77</v>
      </c>
      <c r="F1532" s="10" t="s">
        <v>591</v>
      </c>
      <c r="G1532" s="10" t="s">
        <v>695</v>
      </c>
      <c r="H1532" s="10" t="str" cm="1">
        <f t="array" aca="1" ref="H1532" ca="1">IF(INDEX(I1532:Z1532,$H$1)=0,"",INDEX(I1532:Z1532,$H$1))</f>
        <v>Not Applicable</v>
      </c>
      <c r="I1532" s="10" t="s">
        <v>50</v>
      </c>
      <c r="J1532" s="10" t="s">
        <v>888</v>
      </c>
      <c r="K1532" s="27" t="s">
        <v>1579</v>
      </c>
    </row>
    <row r="1533" spans="1:11" x14ac:dyDescent="0.35">
      <c r="A1533" s="10" t="s">
        <v>1285</v>
      </c>
      <c r="B1533" s="255">
        <v>9</v>
      </c>
      <c r="C1533" s="10" t="s">
        <v>51</v>
      </c>
      <c r="D1533" s="10">
        <v>5</v>
      </c>
      <c r="E1533" s="10">
        <v>77</v>
      </c>
      <c r="F1533" s="10" t="s">
        <v>591</v>
      </c>
      <c r="G1533" s="10" t="s">
        <v>695</v>
      </c>
      <c r="H1533" s="10" t="str" cm="1">
        <f t="array" aca="1" ref="H1533" ca="1">IF(INDEX(I1533:Z1533,$H$1)=0,"",INDEX(I1533:Z1533,$H$1))</f>
        <v>Not Applicable</v>
      </c>
      <c r="I1533" s="10" t="s">
        <v>50</v>
      </c>
      <c r="J1533" s="10" t="s">
        <v>888</v>
      </c>
      <c r="K1533" s="27" t="s">
        <v>1579</v>
      </c>
    </row>
    <row r="1534" spans="1:11" x14ac:dyDescent="0.35">
      <c r="A1534" s="10" t="s">
        <v>1285</v>
      </c>
      <c r="B1534" s="255">
        <v>9</v>
      </c>
      <c r="C1534" s="10" t="s">
        <v>51</v>
      </c>
      <c r="D1534" s="10">
        <v>5</v>
      </c>
      <c r="E1534" s="10">
        <v>77</v>
      </c>
      <c r="F1534" s="10" t="s">
        <v>591</v>
      </c>
      <c r="G1534" s="10" t="s">
        <v>695</v>
      </c>
      <c r="H1534" s="10" t="str" cm="1">
        <f t="array" aca="1" ref="H1534" ca="1">IF(INDEX(I1534:Z1534,$H$1)=0,"",INDEX(I1534:Z1534,$H$1))</f>
        <v>Not Applicable</v>
      </c>
      <c r="I1534" s="10" t="s">
        <v>50</v>
      </c>
      <c r="J1534" s="10" t="s">
        <v>888</v>
      </c>
      <c r="K1534" s="27" t="s">
        <v>1579</v>
      </c>
    </row>
    <row r="1535" spans="1:11" x14ac:dyDescent="0.35">
      <c r="A1535" s="10" t="s">
        <v>1285</v>
      </c>
      <c r="B1535" s="255">
        <v>9</v>
      </c>
      <c r="C1535" s="10" t="s">
        <v>51</v>
      </c>
      <c r="D1535" s="10">
        <v>5</v>
      </c>
      <c r="E1535" s="10">
        <v>77</v>
      </c>
      <c r="F1535" s="10" t="s">
        <v>591</v>
      </c>
      <c r="G1535" s="10" t="s">
        <v>695</v>
      </c>
      <c r="H1535" s="10" t="str" cm="1">
        <f t="array" aca="1" ref="H1535" ca="1">IF(INDEX(I1535:Z1535,$H$1)=0,"",INDEX(I1535:Z1535,$H$1))</f>
        <v>Not Applicable</v>
      </c>
      <c r="I1535" s="10" t="s">
        <v>50</v>
      </c>
      <c r="J1535" s="10" t="s">
        <v>888</v>
      </c>
      <c r="K1535" s="27" t="s">
        <v>1579</v>
      </c>
    </row>
    <row r="1536" spans="1:11" x14ac:dyDescent="0.35">
      <c r="A1536" s="10" t="s">
        <v>1285</v>
      </c>
      <c r="B1536" s="255">
        <v>9</v>
      </c>
      <c r="C1536" s="10" t="s">
        <v>51</v>
      </c>
      <c r="D1536" s="10">
        <v>5</v>
      </c>
      <c r="E1536" s="10">
        <v>77</v>
      </c>
      <c r="F1536" s="10" t="s">
        <v>591</v>
      </c>
      <c r="G1536" s="10" t="s">
        <v>695</v>
      </c>
      <c r="H1536" s="10" t="str" cm="1">
        <f t="array" aca="1" ref="H1536" ca="1">IF(INDEX(I1536:Z1536,$H$1)=0,"",INDEX(I1536:Z1536,$H$1))</f>
        <v>Not Applicable</v>
      </c>
      <c r="I1536" s="10" t="s">
        <v>50</v>
      </c>
      <c r="J1536" s="10" t="s">
        <v>888</v>
      </c>
      <c r="K1536" s="27" t="s">
        <v>1579</v>
      </c>
    </row>
    <row r="1537" spans="1:11" x14ac:dyDescent="0.35">
      <c r="A1537" s="10" t="s">
        <v>1285</v>
      </c>
      <c r="B1537" s="255">
        <v>9</v>
      </c>
      <c r="C1537" s="10" t="s">
        <v>51</v>
      </c>
      <c r="D1537" s="10">
        <v>5</v>
      </c>
      <c r="E1537" s="10">
        <v>77</v>
      </c>
      <c r="F1537" s="10" t="s">
        <v>591</v>
      </c>
      <c r="G1537" s="10" t="s">
        <v>695</v>
      </c>
      <c r="H1537" s="10" t="str" cm="1">
        <f t="array" aca="1" ref="H1537" ca="1">IF(INDEX(I1537:Z1537,$H$1)=0,"",INDEX(I1537:Z1537,$H$1))</f>
        <v>Not Applicable</v>
      </c>
      <c r="I1537" s="10" t="s">
        <v>50</v>
      </c>
      <c r="J1537" s="10" t="s">
        <v>888</v>
      </c>
      <c r="K1537" s="27" t="s">
        <v>1579</v>
      </c>
    </row>
    <row r="1538" spans="1:11" x14ac:dyDescent="0.35">
      <c r="A1538" s="10" t="s">
        <v>1285</v>
      </c>
      <c r="B1538" s="255">
        <v>9</v>
      </c>
      <c r="C1538" s="10" t="s">
        <v>51</v>
      </c>
      <c r="D1538" s="10">
        <v>5</v>
      </c>
      <c r="E1538" s="10">
        <v>77</v>
      </c>
      <c r="F1538" s="10" t="s">
        <v>591</v>
      </c>
      <c r="G1538" s="10" t="s">
        <v>695</v>
      </c>
      <c r="H1538" s="10" t="str" cm="1">
        <f t="array" aca="1" ref="H1538" ca="1">IF(INDEX(I1538:Z1538,$H$1)=0,"",INDEX(I1538:Z1538,$H$1))</f>
        <v>Not Applicable</v>
      </c>
      <c r="I1538" s="10" t="s">
        <v>50</v>
      </c>
      <c r="J1538" s="10" t="s">
        <v>888</v>
      </c>
      <c r="K1538" s="27" t="s">
        <v>1579</v>
      </c>
    </row>
    <row r="1539" spans="1:11" x14ac:dyDescent="0.35">
      <c r="A1539" s="10" t="s">
        <v>1285</v>
      </c>
      <c r="B1539" s="255">
        <v>9</v>
      </c>
      <c r="C1539" s="10" t="s">
        <v>51</v>
      </c>
      <c r="D1539" s="10">
        <v>5</v>
      </c>
      <c r="E1539" s="10">
        <v>77</v>
      </c>
      <c r="F1539" s="10" t="s">
        <v>591</v>
      </c>
      <c r="G1539" s="10" t="s">
        <v>695</v>
      </c>
      <c r="H1539" s="10" t="str" cm="1">
        <f t="array" aca="1" ref="H1539" ca="1">IF(INDEX(I1539:Z1539,$H$1)=0,"",INDEX(I1539:Z1539,$H$1))</f>
        <v>Not Applicable</v>
      </c>
      <c r="I1539" s="10" t="s">
        <v>50</v>
      </c>
      <c r="J1539" s="10" t="s">
        <v>888</v>
      </c>
      <c r="K1539" s="27" t="s">
        <v>1579</v>
      </c>
    </row>
    <row r="1540" spans="1:11" x14ac:dyDescent="0.35">
      <c r="A1540" s="10" t="s">
        <v>1285</v>
      </c>
      <c r="B1540" s="255">
        <v>9</v>
      </c>
      <c r="C1540" s="10" t="s">
        <v>51</v>
      </c>
      <c r="D1540" s="10">
        <v>5</v>
      </c>
      <c r="E1540" s="10">
        <v>77</v>
      </c>
      <c r="F1540" s="10" t="s">
        <v>591</v>
      </c>
      <c r="G1540" s="10" t="s">
        <v>695</v>
      </c>
      <c r="H1540" s="10" t="str" cm="1">
        <f t="array" aca="1" ref="H1540" ca="1">IF(INDEX(I1540:Z1540,$H$1)=0,"",INDEX(I1540:Z1540,$H$1))</f>
        <v>Not Applicable</v>
      </c>
      <c r="I1540" s="10" t="s">
        <v>50</v>
      </c>
      <c r="J1540" s="10" t="s">
        <v>888</v>
      </c>
      <c r="K1540" s="27" t="s">
        <v>1579</v>
      </c>
    </row>
    <row r="1541" spans="1:11" x14ac:dyDescent="0.35">
      <c r="A1541" s="10" t="s">
        <v>1285</v>
      </c>
      <c r="B1541" s="255">
        <v>9</v>
      </c>
      <c r="C1541" s="10" t="s">
        <v>51</v>
      </c>
      <c r="D1541" s="10">
        <v>5</v>
      </c>
      <c r="E1541" s="10">
        <v>77</v>
      </c>
      <c r="F1541" s="10" t="s">
        <v>591</v>
      </c>
      <c r="G1541" s="10" t="s">
        <v>695</v>
      </c>
      <c r="H1541" s="10" t="str" cm="1">
        <f t="array" aca="1" ref="H1541" ca="1">IF(INDEX(I1541:Z1541,$H$1)=0,"",INDEX(I1541:Z1541,$H$1))</f>
        <v>Not Applicable</v>
      </c>
      <c r="I1541" s="10" t="s">
        <v>50</v>
      </c>
      <c r="J1541" s="10" t="s">
        <v>888</v>
      </c>
      <c r="K1541" s="27" t="s">
        <v>1579</v>
      </c>
    </row>
    <row r="1542" spans="1:11" x14ac:dyDescent="0.35">
      <c r="A1542" s="10" t="s">
        <v>1285</v>
      </c>
      <c r="B1542" s="255">
        <v>9</v>
      </c>
      <c r="C1542" s="10" t="s">
        <v>51</v>
      </c>
      <c r="D1542" s="10">
        <v>5</v>
      </c>
      <c r="E1542" s="10">
        <v>77</v>
      </c>
      <c r="F1542" s="10" t="s">
        <v>591</v>
      </c>
      <c r="G1542" s="10" t="s">
        <v>695</v>
      </c>
      <c r="H1542" s="10" t="str" cm="1">
        <f t="array" aca="1" ref="H1542" ca="1">IF(INDEX(I1542:Z1542,$H$1)=0,"",INDEX(I1542:Z1542,$H$1))</f>
        <v>Not Applicable</v>
      </c>
      <c r="I1542" s="10" t="s">
        <v>50</v>
      </c>
      <c r="J1542" s="10" t="s">
        <v>888</v>
      </c>
      <c r="K1542" s="27" t="s">
        <v>1579</v>
      </c>
    </row>
    <row r="1543" spans="1:11" x14ac:dyDescent="0.35">
      <c r="A1543" s="10" t="s">
        <v>1285</v>
      </c>
      <c r="B1543" s="255">
        <v>9</v>
      </c>
      <c r="C1543" s="10" t="s">
        <v>51</v>
      </c>
      <c r="D1543" s="10">
        <v>5</v>
      </c>
      <c r="E1543" s="10">
        <v>78</v>
      </c>
      <c r="F1543" s="10" t="s">
        <v>591</v>
      </c>
      <c r="G1543" s="10" t="s">
        <v>695</v>
      </c>
      <c r="H1543" s="10" t="str" cm="1">
        <f t="array" aca="1" ref="H1543" ca="1">IF(INDEX(I1543:Z1543,$H$1)=0,"",INDEX(I1543:Z1543,$H$1))</f>
        <v>Not Applicable</v>
      </c>
      <c r="I1543" s="10" t="s">
        <v>50</v>
      </c>
      <c r="J1543" s="10" t="s">
        <v>888</v>
      </c>
      <c r="K1543" s="27" t="s">
        <v>1579</v>
      </c>
    </row>
    <row r="1544" spans="1:11" x14ac:dyDescent="0.35">
      <c r="A1544" s="10" t="s">
        <v>1285</v>
      </c>
      <c r="B1544" s="255">
        <v>9</v>
      </c>
      <c r="C1544" s="10" t="s">
        <v>51</v>
      </c>
      <c r="D1544" s="10">
        <v>5</v>
      </c>
      <c r="E1544" s="10">
        <v>79</v>
      </c>
      <c r="F1544" s="10" t="s">
        <v>591</v>
      </c>
      <c r="G1544" s="10" t="s">
        <v>695</v>
      </c>
      <c r="H1544" s="10" t="str" cm="1">
        <f t="array" aca="1" ref="H1544" ca="1">IF(INDEX(I1544:Z1544,$H$1)=0,"",INDEX(I1544:Z1544,$H$1))</f>
        <v>Not Applicable</v>
      </c>
      <c r="I1544" s="10" t="s">
        <v>50</v>
      </c>
      <c r="J1544" s="10" t="s">
        <v>888</v>
      </c>
      <c r="K1544" s="27" t="s">
        <v>1579</v>
      </c>
    </row>
    <row r="1545" spans="1:11" x14ac:dyDescent="0.35">
      <c r="A1545" s="10" t="s">
        <v>1285</v>
      </c>
      <c r="B1545" s="255">
        <v>9</v>
      </c>
      <c r="C1545" s="10" t="s">
        <v>51</v>
      </c>
      <c r="D1545" s="10">
        <v>5</v>
      </c>
      <c r="E1545" s="10">
        <v>80</v>
      </c>
      <c r="F1545" s="10" t="s">
        <v>591</v>
      </c>
      <c r="G1545" s="10" t="s">
        <v>695</v>
      </c>
      <c r="H1545" s="10" t="str" cm="1">
        <f t="array" aca="1" ref="H1545" ca="1">IF(INDEX(I1545:Z1545,$H$1)=0,"",INDEX(I1545:Z1545,$H$1))</f>
        <v>Not Applicable</v>
      </c>
      <c r="I1545" s="10" t="s">
        <v>50</v>
      </c>
      <c r="J1545" s="10" t="s">
        <v>888</v>
      </c>
      <c r="K1545" s="27" t="s">
        <v>1579</v>
      </c>
    </row>
    <row r="1546" spans="1:11" x14ac:dyDescent="0.35">
      <c r="A1546" s="10" t="s">
        <v>1285</v>
      </c>
      <c r="B1546" s="255">
        <v>9</v>
      </c>
      <c r="C1546" s="10" t="s">
        <v>51</v>
      </c>
      <c r="D1546" s="10">
        <v>5</v>
      </c>
      <c r="E1546" s="10">
        <v>81</v>
      </c>
      <c r="F1546" s="10" t="s">
        <v>591</v>
      </c>
      <c r="G1546" s="10" t="s">
        <v>695</v>
      </c>
      <c r="H1546" s="10" t="str" cm="1">
        <f t="array" aca="1" ref="H1546" ca="1">IF(INDEX(I1546:Z1546,$H$1)=0,"",INDEX(I1546:Z1546,$H$1))</f>
        <v>Not Applicable</v>
      </c>
      <c r="I1546" s="10" t="s">
        <v>50</v>
      </c>
      <c r="J1546" s="10" t="s">
        <v>888</v>
      </c>
      <c r="K1546" s="27" t="s">
        <v>1579</v>
      </c>
    </row>
    <row r="1547" spans="1:11" x14ac:dyDescent="0.35">
      <c r="A1547" s="10" t="s">
        <v>1285</v>
      </c>
      <c r="B1547" s="255">
        <v>9</v>
      </c>
      <c r="C1547" s="10" t="s">
        <v>51</v>
      </c>
      <c r="D1547" s="10">
        <v>5</v>
      </c>
      <c r="E1547" s="10">
        <v>82</v>
      </c>
      <c r="F1547" s="10" t="s">
        <v>591</v>
      </c>
      <c r="G1547" s="10" t="s">
        <v>695</v>
      </c>
      <c r="H1547" s="10" t="str" cm="1">
        <f t="array" aca="1" ref="H1547" ca="1">IF(INDEX(I1547:Z1547,$H$1)=0,"",INDEX(I1547:Z1547,$H$1))</f>
        <v>Not Applicable</v>
      </c>
      <c r="I1547" s="10" t="s">
        <v>50</v>
      </c>
      <c r="J1547" s="10" t="s">
        <v>888</v>
      </c>
      <c r="K1547" s="27" t="s">
        <v>1579</v>
      </c>
    </row>
    <row r="1548" spans="1:11" x14ac:dyDescent="0.35">
      <c r="A1548" s="10" t="s">
        <v>1285</v>
      </c>
      <c r="B1548" s="255">
        <v>9</v>
      </c>
      <c r="C1548" s="10" t="s">
        <v>79</v>
      </c>
      <c r="D1548" s="10">
        <v>6</v>
      </c>
      <c r="E1548" s="10">
        <v>79</v>
      </c>
      <c r="F1548" s="10" t="s">
        <v>687</v>
      </c>
      <c r="G1548" s="10" t="s">
        <v>688</v>
      </c>
      <c r="H1548" s="10" t="str" cm="1">
        <f t="array" aca="1" ref="H1548" ca="1">IF(INDEX(I1548:Z1548,$H$1)=0,"",INDEX(I1548:Z1548,$H$1))</f>
        <v>Oil Well Casing Vents:</v>
      </c>
      <c r="I1548" s="10" t="s">
        <v>79</v>
      </c>
      <c r="J1548" s="10" t="s">
        <v>944</v>
      </c>
      <c r="K1548" s="27" t="s">
        <v>1701</v>
      </c>
    </row>
    <row r="1549" spans="1:11" x14ac:dyDescent="0.35">
      <c r="A1549" s="10" t="s">
        <v>1285</v>
      </c>
      <c r="B1549" s="255">
        <v>9</v>
      </c>
      <c r="C1549" s="10" t="s">
        <v>79</v>
      </c>
      <c r="D1549" s="10">
        <v>6</v>
      </c>
      <c r="E1549" s="10">
        <v>81</v>
      </c>
      <c r="F1549" s="10" t="s">
        <v>687</v>
      </c>
      <c r="G1549" s="10" t="s">
        <v>696</v>
      </c>
      <c r="H1549" s="10" t="str" cm="1">
        <f t="array" aca="1" ref="H1549" ca="1">IF(INDEX(I1549:Z1549,$H$1)=0,"",INDEX(I1549:Z1549,$H$1))</f>
        <v>Industry Segment</v>
      </c>
      <c r="I1549" s="10" t="s">
        <v>30</v>
      </c>
      <c r="J1549" s="10" t="s">
        <v>697</v>
      </c>
      <c r="K1549" s="27" t="s">
        <v>1385</v>
      </c>
    </row>
    <row r="1550" spans="1:11" x14ac:dyDescent="0.35">
      <c r="A1550" s="10" t="s">
        <v>1285</v>
      </c>
      <c r="B1550" s="255">
        <v>9</v>
      </c>
      <c r="C1550" s="10" t="s">
        <v>79</v>
      </c>
      <c r="D1550" s="10">
        <v>6</v>
      </c>
      <c r="E1550" s="10">
        <v>81</v>
      </c>
      <c r="F1550" s="10" t="s">
        <v>690</v>
      </c>
      <c r="G1550" s="10" t="s">
        <v>696</v>
      </c>
      <c r="H1550" s="10" t="str" cm="1">
        <f t="array" aca="1" ref="H1550" ca="1">IF(INDEX(I1550:Z1550,$H$1)=0,"",INDEX(I1550:Z1550,$H$1))</f>
        <v>Well Type</v>
      </c>
      <c r="I1550" s="10" t="s">
        <v>78</v>
      </c>
      <c r="J1550" s="10" t="s">
        <v>945</v>
      </c>
      <c r="K1550" s="27" t="s">
        <v>1702</v>
      </c>
    </row>
    <row r="1551" spans="1:11" x14ac:dyDescent="0.35">
      <c r="A1551" s="10" t="s">
        <v>1285</v>
      </c>
      <c r="B1551" s="255">
        <v>9</v>
      </c>
      <c r="C1551" s="10" t="s">
        <v>79</v>
      </c>
      <c r="D1551" s="10">
        <v>6</v>
      </c>
      <c r="E1551" s="10">
        <v>81</v>
      </c>
      <c r="F1551" s="10" t="s">
        <v>38</v>
      </c>
      <c r="G1551" s="10" t="s">
        <v>696</v>
      </c>
      <c r="H1551" s="10" t="str" cm="1">
        <f t="array" aca="1" ref="H1551" ca="1">IF(INDEX(I1551:Z1551,$H$1)=0,"",INDEX(I1551:Z1551,$H$1))</f>
        <v>Uncontrolled CH4 Flashing Loss</v>
      </c>
      <c r="I1551" s="10" t="s">
        <v>53</v>
      </c>
      <c r="J1551" s="10" t="s">
        <v>942</v>
      </c>
      <c r="K1551" s="27" t="s">
        <v>1703</v>
      </c>
    </row>
    <row r="1552" spans="1:11" x14ac:dyDescent="0.35">
      <c r="A1552" s="10" t="s">
        <v>1285</v>
      </c>
      <c r="B1552" s="255">
        <v>9</v>
      </c>
      <c r="C1552" s="10" t="s">
        <v>79</v>
      </c>
      <c r="D1552" s="10">
        <v>6</v>
      </c>
      <c r="E1552" s="10">
        <v>81</v>
      </c>
      <c r="F1552" s="10" t="s">
        <v>692</v>
      </c>
      <c r="G1552" s="10" t="s">
        <v>696</v>
      </c>
      <c r="H1552" s="10" t="str" cm="1">
        <f t="array" aca="1" ref="H1552" ca="1">IF(INDEX(I1552:Z1552,$H$1)=0,"",INDEX(I1552:Z1552,$H$1))</f>
        <v>Data Source</v>
      </c>
      <c r="I1552" s="10" t="s">
        <v>36</v>
      </c>
      <c r="J1552" s="10" t="s">
        <v>938</v>
      </c>
      <c r="K1552" s="27" t="s">
        <v>1688</v>
      </c>
    </row>
    <row r="1553" spans="1:11" x14ac:dyDescent="0.35">
      <c r="A1553" s="10" t="s">
        <v>1285</v>
      </c>
      <c r="B1553" s="255">
        <v>9</v>
      </c>
      <c r="C1553" s="10" t="s">
        <v>79</v>
      </c>
      <c r="D1553" s="10">
        <v>6</v>
      </c>
      <c r="E1553" s="10">
        <v>81</v>
      </c>
      <c r="F1553" s="10" t="s">
        <v>693</v>
      </c>
      <c r="G1553" s="10" t="s">
        <v>696</v>
      </c>
      <c r="H1553" s="10" t="str" cm="1">
        <f t="array" aca="1" ref="H1553" ca="1">IF(INDEX(I1553:Z1553,$H$1)=0,"",INDEX(I1553:Z1553,$H$1))</f>
        <v>As Reported in the Reference</v>
      </c>
      <c r="I1553" s="10" t="s">
        <v>40</v>
      </c>
      <c r="J1553" s="10" t="s">
        <v>933</v>
      </c>
      <c r="K1553" s="27" t="s">
        <v>1677</v>
      </c>
    </row>
    <row r="1554" spans="1:11" x14ac:dyDescent="0.35">
      <c r="A1554" s="10" t="s">
        <v>1285</v>
      </c>
      <c r="B1554" s="255">
        <v>9</v>
      </c>
      <c r="C1554" s="10" t="s">
        <v>79</v>
      </c>
      <c r="D1554" s="10">
        <v>6</v>
      </c>
      <c r="E1554" s="10">
        <v>81</v>
      </c>
      <c r="F1554" s="10" t="s">
        <v>591</v>
      </c>
      <c r="G1554" s="10" t="s">
        <v>696</v>
      </c>
      <c r="H1554" s="10" t="str" cm="1">
        <f t="array" aca="1" ref="H1554" ca="1">IF(INDEX(I1554:Z1554,$H$1)=0,"",INDEX(I1554:Z1554,$H$1))</f>
        <v xml:space="preserve">China-Specific </v>
      </c>
      <c r="I1554" s="10" t="s">
        <v>44</v>
      </c>
      <c r="J1554" s="10" t="s">
        <v>943</v>
      </c>
      <c r="K1554" s="27" t="s">
        <v>1697</v>
      </c>
    </row>
    <row r="1555" spans="1:11" x14ac:dyDescent="0.35">
      <c r="A1555" s="10" t="s">
        <v>1285</v>
      </c>
      <c r="B1555" s="255">
        <v>9</v>
      </c>
      <c r="C1555" s="10" t="s">
        <v>79</v>
      </c>
      <c r="D1555" s="10">
        <v>6</v>
      </c>
      <c r="E1555" s="10">
        <v>81</v>
      </c>
      <c r="F1555" s="10" t="s">
        <v>712</v>
      </c>
      <c r="G1555" s="10" t="s">
        <v>696</v>
      </c>
      <c r="H1555" s="10" t="str" cm="1">
        <f t="array" aca="1" ref="H1555" ca="1">IF(INDEX(I1555:Z1555,$H$1)=0,"",INDEX(I1555:Z1555,$H$1))</f>
        <v>Conversion Factor</v>
      </c>
      <c r="I1555" s="10" t="s">
        <v>15</v>
      </c>
      <c r="J1555" s="10" t="s">
        <v>1220</v>
      </c>
      <c r="K1555" s="27" t="s">
        <v>1678</v>
      </c>
    </row>
    <row r="1556" spans="1:11" x14ac:dyDescent="0.35">
      <c r="A1556" s="10" t="s">
        <v>1285</v>
      </c>
      <c r="B1556" s="255">
        <v>9</v>
      </c>
      <c r="C1556" s="10" t="s">
        <v>79</v>
      </c>
      <c r="D1556" s="10">
        <v>6</v>
      </c>
      <c r="E1556" s="10">
        <v>82</v>
      </c>
      <c r="F1556" s="10" t="s">
        <v>38</v>
      </c>
      <c r="G1556" s="10" t="s">
        <v>696</v>
      </c>
      <c r="H1556" s="10" t="str" cm="1">
        <f t="array" aca="1" ref="H1556" ca="1">IF(INDEX(I1556:Z1556,$H$1)=0,"",INDEX(I1556:Z1556,$H$1))</f>
        <v>Emissions Factor</v>
      </c>
      <c r="I1556" s="10" t="s">
        <v>54</v>
      </c>
      <c r="J1556" s="10" t="s">
        <v>910</v>
      </c>
      <c r="K1556" s="27" t="s">
        <v>1583</v>
      </c>
    </row>
    <row r="1557" spans="1:11" x14ac:dyDescent="0.35">
      <c r="A1557" s="10" t="s">
        <v>1285</v>
      </c>
      <c r="B1557" s="255">
        <v>9</v>
      </c>
      <c r="C1557" s="10" t="s">
        <v>79</v>
      </c>
      <c r="D1557" s="10">
        <v>6</v>
      </c>
      <c r="E1557" s="10">
        <v>82</v>
      </c>
      <c r="F1557" s="10" t="s">
        <v>693</v>
      </c>
      <c r="G1557" s="10" t="s">
        <v>696</v>
      </c>
      <c r="H1557" s="10" t="str" cm="1">
        <f t="array" aca="1" ref="H1557" ca="1">IF(INDEX(I1557:Z1557,$H$1)=0,"",INDEX(I1557:Z1557,$H$1))</f>
        <v>EF Value</v>
      </c>
      <c r="I1557" s="10" t="s">
        <v>39</v>
      </c>
      <c r="J1557" s="10" t="s">
        <v>934</v>
      </c>
      <c r="K1557" s="27" t="s">
        <v>1682</v>
      </c>
    </row>
    <row r="1558" spans="1:11" x14ac:dyDescent="0.35">
      <c r="A1558" s="10" t="s">
        <v>1285</v>
      </c>
      <c r="B1558" s="255">
        <v>9</v>
      </c>
      <c r="C1558" s="10" t="s">
        <v>79</v>
      </c>
      <c r="D1558" s="10">
        <v>6</v>
      </c>
      <c r="E1558" s="10">
        <v>82</v>
      </c>
      <c r="F1558" s="10" t="s">
        <v>694</v>
      </c>
      <c r="G1558" s="10" t="s">
        <v>696</v>
      </c>
      <c r="H1558" s="10" t="str" cm="1">
        <f t="array" aca="1" ref="H1558" ca="1">IF(INDEX(I1558:Z1558,$H$1)=0,"",INDEX(I1558:Z1558,$H$1))</f>
        <v xml:space="preserve">Units of </v>
      </c>
      <c r="I1558" s="10" t="s">
        <v>37</v>
      </c>
      <c r="J1558" s="10" t="s">
        <v>740</v>
      </c>
      <c r="K1558" s="27" t="s">
        <v>1685</v>
      </c>
    </row>
    <row r="1559" spans="1:11" x14ac:dyDescent="0.35">
      <c r="A1559" s="10" t="s">
        <v>1285</v>
      </c>
      <c r="B1559" s="255">
        <v>9</v>
      </c>
      <c r="C1559" s="10" t="s">
        <v>79</v>
      </c>
      <c r="D1559" s="10">
        <v>6</v>
      </c>
      <c r="E1559" s="10">
        <v>82</v>
      </c>
      <c r="F1559" s="10" t="s">
        <v>711</v>
      </c>
      <c r="G1559" s="10" t="s">
        <v>696</v>
      </c>
      <c r="H1559" s="10" t="str" cm="1">
        <f t="array" aca="1" ref="H1559" ca="1">IF(INDEX(I1559:Z1559,$H$1)=0,"",INDEX(I1559:Z1559,$H$1))</f>
        <v xml:space="preserve">CH4 Content </v>
      </c>
      <c r="I1559" s="10" t="s">
        <v>41</v>
      </c>
      <c r="J1559" s="10" t="s">
        <v>805</v>
      </c>
      <c r="K1559" s="27" t="s">
        <v>1502</v>
      </c>
    </row>
    <row r="1560" spans="1:11" x14ac:dyDescent="0.35">
      <c r="A1560" s="10" t="s">
        <v>1285</v>
      </c>
      <c r="B1560" s="255">
        <v>9</v>
      </c>
      <c r="C1560" s="10" t="s">
        <v>79</v>
      </c>
      <c r="D1560" s="10">
        <v>6</v>
      </c>
      <c r="E1560" s="10">
        <v>82</v>
      </c>
      <c r="F1560" s="10" t="s">
        <v>591</v>
      </c>
      <c r="G1560" s="10" t="s">
        <v>696</v>
      </c>
      <c r="H1560" s="10" t="str" cm="1">
        <f t="array" aca="1" ref="H1560" ca="1">IF(INDEX(I1560:Z1560,$H$1)=0,"",INDEX(I1560:Z1560,$H$1))</f>
        <v>CH4 Content</v>
      </c>
      <c r="I1560" s="10" t="s">
        <v>45</v>
      </c>
      <c r="J1560" s="10" t="s">
        <v>805</v>
      </c>
      <c r="K1560" s="27" t="s">
        <v>1502</v>
      </c>
    </row>
    <row r="1561" spans="1:11" x14ac:dyDescent="0.35">
      <c r="A1561" s="10" t="s">
        <v>1285</v>
      </c>
      <c r="B1561" s="255">
        <v>9</v>
      </c>
      <c r="C1561" s="10" t="s">
        <v>79</v>
      </c>
      <c r="D1561" s="10">
        <v>6</v>
      </c>
      <c r="E1561" s="10">
        <v>82</v>
      </c>
      <c r="F1561" s="10" t="s">
        <v>712</v>
      </c>
      <c r="G1561" s="10" t="s">
        <v>696</v>
      </c>
      <c r="H1561" s="10" t="str" cm="1">
        <f t="array" aca="1" ref="H1561" ca="1">IF(INDEX(I1561:Z1561,$H$1)=0,"",INDEX(I1561:Z1561,$H$1))</f>
        <v>Value</v>
      </c>
      <c r="I1561" s="10" t="s">
        <v>6</v>
      </c>
      <c r="J1561" s="10" t="s">
        <v>725</v>
      </c>
      <c r="K1561" s="27" t="s">
        <v>1411</v>
      </c>
    </row>
    <row r="1562" spans="1:11" x14ac:dyDescent="0.35">
      <c r="A1562" s="10" t="s">
        <v>1285</v>
      </c>
      <c r="B1562" s="255">
        <v>9</v>
      </c>
      <c r="C1562" s="10" t="s">
        <v>79</v>
      </c>
      <c r="D1562" s="10">
        <v>6</v>
      </c>
      <c r="E1562" s="10">
        <v>82</v>
      </c>
      <c r="F1562" s="10" t="s">
        <v>713</v>
      </c>
      <c r="G1562" s="10" t="s">
        <v>696</v>
      </c>
      <c r="H1562" s="10" t="str" cm="1">
        <f t="array" aca="1" ref="H1562" ca="1">IF(INDEX(I1562:Z1562,$H$1)=0,"",INDEX(I1562:Z1562,$H$1))</f>
        <v>Conversion</v>
      </c>
      <c r="I1562" s="10" t="s">
        <v>16</v>
      </c>
      <c r="J1562" s="10" t="s">
        <v>1219</v>
      </c>
      <c r="K1562" s="27" t="s">
        <v>1684</v>
      </c>
    </row>
    <row r="1563" spans="1:11" x14ac:dyDescent="0.35">
      <c r="A1563" s="10" t="s">
        <v>1285</v>
      </c>
      <c r="B1563" s="255">
        <v>9</v>
      </c>
      <c r="C1563" s="10" t="s">
        <v>79</v>
      </c>
      <c r="D1563" s="10">
        <v>6</v>
      </c>
      <c r="E1563" s="10">
        <v>83</v>
      </c>
      <c r="F1563" s="10" t="s">
        <v>38</v>
      </c>
      <c r="G1563" s="10" t="s">
        <v>696</v>
      </c>
      <c r="H1563" s="10" t="str" cm="1">
        <f t="array" aca="1" ref="H1563" ca="1">IF(INDEX(I1563:Z1563,$H$1)=0,"",INDEX(I1563:Z1563,$H$1))</f>
        <v>(Nm3 /m3 of liquid produced)</v>
      </c>
      <c r="I1563" s="10" t="s">
        <v>1081</v>
      </c>
      <c r="J1563" s="10" t="s">
        <v>1082</v>
      </c>
      <c r="K1563" s="27" t="s">
        <v>1704</v>
      </c>
    </row>
    <row r="1564" spans="1:11" x14ac:dyDescent="0.35">
      <c r="A1564" s="10" t="s">
        <v>1285</v>
      </c>
      <c r="B1564" s="255">
        <v>9</v>
      </c>
      <c r="C1564" s="10" t="s">
        <v>79</v>
      </c>
      <c r="D1564" s="10">
        <v>6</v>
      </c>
      <c r="E1564" s="10">
        <v>83</v>
      </c>
      <c r="F1564" s="10" t="s">
        <v>694</v>
      </c>
      <c r="G1564" s="10" t="s">
        <v>696</v>
      </c>
      <c r="H1564" s="10" t="str" cm="1">
        <f t="array" aca="1" ref="H1564" ca="1">IF(INDEX(I1564:Z1564,$H$1)=0,"",INDEX(I1564:Z1564,$H$1))</f>
        <v>Measure</v>
      </c>
      <c r="I1564" s="10" t="s">
        <v>8</v>
      </c>
      <c r="J1564" s="10" t="s">
        <v>1262</v>
      </c>
      <c r="K1564" s="27" t="s">
        <v>1683</v>
      </c>
    </row>
    <row r="1565" spans="1:11" x14ac:dyDescent="0.35">
      <c r="A1565" s="10" t="s">
        <v>1285</v>
      </c>
      <c r="B1565" s="255">
        <v>9</v>
      </c>
      <c r="C1565" s="10" t="s">
        <v>79</v>
      </c>
      <c r="D1565" s="10">
        <v>6</v>
      </c>
      <c r="E1565" s="10">
        <v>83</v>
      </c>
      <c r="F1565" s="10" t="s">
        <v>711</v>
      </c>
      <c r="G1565" s="10" t="s">
        <v>696</v>
      </c>
      <c r="H1565" s="10" t="str" cm="1">
        <f t="array" aca="1" ref="H1565" ca="1">IF(INDEX(I1565:Z1565,$H$1)=0,"",INDEX(I1565:Z1565,$H$1))</f>
        <v>Basis for Industry Segment</v>
      </c>
      <c r="I1565" s="10" t="s">
        <v>42</v>
      </c>
      <c r="J1565" s="10" t="s">
        <v>1204</v>
      </c>
      <c r="K1565" s="27" t="s">
        <v>1689</v>
      </c>
    </row>
    <row r="1566" spans="1:11" x14ac:dyDescent="0.35">
      <c r="A1566" s="10" t="s">
        <v>1285</v>
      </c>
      <c r="B1566" s="255">
        <v>9</v>
      </c>
      <c r="C1566" s="10" t="s">
        <v>79</v>
      </c>
      <c r="D1566" s="10">
        <v>6</v>
      </c>
      <c r="E1566" s="10">
        <v>83</v>
      </c>
      <c r="F1566" s="10" t="s">
        <v>591</v>
      </c>
      <c r="G1566" s="10" t="s">
        <v>696</v>
      </c>
      <c r="H1566" s="10" t="str" cm="1">
        <f t="array" aca="1" ref="H1566" ca="1">IF(INDEX(I1566:Z1566,$H$1)=0,"",INDEX(I1566:Z1566,$H$1))</f>
        <v>Basis for Industry Segment</v>
      </c>
      <c r="I1566" s="10" t="s">
        <v>42</v>
      </c>
      <c r="J1566" s="10" t="s">
        <v>1204</v>
      </c>
      <c r="K1566" s="27" t="s">
        <v>1689</v>
      </c>
    </row>
    <row r="1567" spans="1:11" x14ac:dyDescent="0.35">
      <c r="A1567" s="10" t="s">
        <v>1285</v>
      </c>
      <c r="B1567" s="255">
        <v>9</v>
      </c>
      <c r="C1567" s="10" t="s">
        <v>79</v>
      </c>
      <c r="D1567" s="10">
        <v>6</v>
      </c>
      <c r="E1567" s="10">
        <v>84</v>
      </c>
      <c r="F1567" s="10" t="s">
        <v>711</v>
      </c>
      <c r="G1567" s="10" t="s">
        <v>696</v>
      </c>
      <c r="H1567" s="10" t="str" cm="1">
        <f t="array" aca="1" ref="H1567" ca="1">IF(INDEX(I1567:Z1567,$H$1)=0,"",INDEX(I1567:Z1567,$H$1))</f>
        <v>(Mol%)</v>
      </c>
      <c r="I1567" s="10" t="s">
        <v>43</v>
      </c>
      <c r="J1567" s="10" t="s">
        <v>43</v>
      </c>
      <c r="K1567" s="27" t="s">
        <v>1496</v>
      </c>
    </row>
    <row r="1568" spans="1:11" x14ac:dyDescent="0.35">
      <c r="A1568" s="10" t="s">
        <v>1285</v>
      </c>
      <c r="B1568" s="255">
        <v>9</v>
      </c>
      <c r="C1568" s="10" t="s">
        <v>79</v>
      </c>
      <c r="D1568" s="10">
        <v>6</v>
      </c>
      <c r="E1568" s="10">
        <v>84</v>
      </c>
      <c r="F1568" s="10" t="s">
        <v>591</v>
      </c>
      <c r="G1568" s="10" t="s">
        <v>696</v>
      </c>
      <c r="H1568" s="10" t="str" cm="1">
        <f t="array" aca="1" ref="H1568" ca="1">IF(INDEX(I1568:Z1568,$H$1)=0,"",INDEX(I1568:Z1568,$H$1))</f>
        <v>(Mol%)</v>
      </c>
      <c r="I1568" s="10" t="s">
        <v>43</v>
      </c>
      <c r="J1568" s="10" t="s">
        <v>43</v>
      </c>
      <c r="K1568" s="27" t="s">
        <v>1496</v>
      </c>
    </row>
    <row r="1569" spans="1:11" x14ac:dyDescent="0.35">
      <c r="A1569" s="10" t="s">
        <v>1285</v>
      </c>
      <c r="B1569" s="255">
        <v>9</v>
      </c>
      <c r="C1569" s="10" t="s">
        <v>79</v>
      </c>
      <c r="D1569" s="10">
        <v>6</v>
      </c>
      <c r="E1569" s="10">
        <v>85</v>
      </c>
      <c r="F1569" s="10" t="s">
        <v>690</v>
      </c>
      <c r="G1569" s="10" t="s">
        <v>695</v>
      </c>
      <c r="H1569" s="10" t="str" cm="1">
        <f t="array" aca="1" ref="H1569" ca="1">IF(INDEX(I1569:Z1569,$H$1)=0,"",INDEX(I1569:Z1569,$H$1))</f>
        <v>Cold Heavy Oil (Active)</v>
      </c>
      <c r="I1569" s="10" t="s">
        <v>80</v>
      </c>
      <c r="J1569" s="10" t="s">
        <v>953</v>
      </c>
      <c r="K1569" s="27" t="s">
        <v>1705</v>
      </c>
    </row>
    <row r="1570" spans="1:11" x14ac:dyDescent="0.35">
      <c r="A1570" s="10" t="s">
        <v>1285</v>
      </c>
      <c r="B1570" s="255">
        <v>9</v>
      </c>
      <c r="C1570" s="10" t="s">
        <v>79</v>
      </c>
      <c r="D1570" s="10">
        <v>6</v>
      </c>
      <c r="E1570" s="10">
        <v>86</v>
      </c>
      <c r="F1570" s="10" t="s">
        <v>690</v>
      </c>
      <c r="G1570" s="10" t="s">
        <v>695</v>
      </c>
      <c r="H1570" s="10" t="str" cm="1">
        <f t="array" aca="1" ref="H1570" ca="1">IF(INDEX(I1570:Z1570,$H$1)=0,"",INDEX(I1570:Z1570,$H$1))</f>
        <v>Cold Heavy Oil (Inactive)</v>
      </c>
      <c r="I1570" s="10" t="s">
        <v>372</v>
      </c>
      <c r="J1570" s="10" t="s">
        <v>954</v>
      </c>
      <c r="K1570" s="27" t="s">
        <v>1706</v>
      </c>
    </row>
    <row r="1571" spans="1:11" x14ac:dyDescent="0.35">
      <c r="A1571" s="10" t="s">
        <v>1285</v>
      </c>
      <c r="B1571" s="255">
        <v>9</v>
      </c>
      <c r="C1571" s="10" t="s">
        <v>79</v>
      </c>
      <c r="D1571" s="10">
        <v>6</v>
      </c>
      <c r="E1571" s="10">
        <v>87</v>
      </c>
      <c r="F1571" s="10" t="s">
        <v>690</v>
      </c>
      <c r="G1571" s="10" t="s">
        <v>695</v>
      </c>
      <c r="H1571" s="10" t="str" cm="1">
        <f t="array" aca="1" ref="H1571" ca="1">IF(INDEX(I1571:Z1571,$H$1)=0,"",INDEX(I1571:Z1571,$H$1))</f>
        <v>Thermal Heavy Oil</v>
      </c>
      <c r="I1571" s="10" t="s">
        <v>74</v>
      </c>
      <c r="J1571" s="10" t="s">
        <v>955</v>
      </c>
      <c r="K1571" s="27" t="s">
        <v>1707</v>
      </c>
    </row>
    <row r="1572" spans="1:11" x14ac:dyDescent="0.35">
      <c r="A1572" s="10" t="s">
        <v>1285</v>
      </c>
      <c r="B1572" s="255">
        <v>9</v>
      </c>
      <c r="C1572" s="10" t="s">
        <v>79</v>
      </c>
      <c r="D1572" s="10">
        <v>6</v>
      </c>
      <c r="E1572" s="10">
        <v>88</v>
      </c>
      <c r="F1572" s="10" t="s">
        <v>690</v>
      </c>
      <c r="G1572" s="10" t="s">
        <v>695</v>
      </c>
      <c r="H1572" s="10" t="str" cm="1">
        <f t="array" aca="1" ref="H1572" ca="1">IF(INDEX(I1572:Z1572,$H$1)=0,"",INDEX(I1572:Z1572,$H$1))</f>
        <v>Crude Bitumen</v>
      </c>
      <c r="I1572" s="10" t="s">
        <v>75</v>
      </c>
      <c r="J1572" s="10" t="s">
        <v>956</v>
      </c>
      <c r="K1572" s="27" t="s">
        <v>564</v>
      </c>
    </row>
    <row r="1573" spans="1:11" x14ac:dyDescent="0.35">
      <c r="A1573" s="10" t="s">
        <v>1285</v>
      </c>
      <c r="B1573" s="255">
        <v>9</v>
      </c>
      <c r="C1573" s="10" t="s">
        <v>79</v>
      </c>
      <c r="D1573" s="10">
        <v>6</v>
      </c>
      <c r="E1573" s="10">
        <v>90</v>
      </c>
      <c r="F1573" s="10" t="s">
        <v>711</v>
      </c>
      <c r="G1573" s="10" t="s">
        <v>695</v>
      </c>
      <c r="H1573" s="10" t="str" cm="1">
        <f t="array" aca="1" ref="H1573" ca="1">IF(INDEX(I1573:Z1573,$H$1)=0,"",INDEX(I1573:Z1573,$H$1))</f>
        <v>Not Applicable</v>
      </c>
      <c r="I1573" s="10" t="s">
        <v>50</v>
      </c>
      <c r="J1573" s="10" t="s">
        <v>888</v>
      </c>
      <c r="K1573" s="27" t="s">
        <v>1579</v>
      </c>
    </row>
    <row r="1574" spans="1:11" x14ac:dyDescent="0.35">
      <c r="A1574" s="10" t="s">
        <v>1285</v>
      </c>
      <c r="B1574" s="255">
        <v>9</v>
      </c>
      <c r="C1574" s="10" t="s">
        <v>79</v>
      </c>
      <c r="D1574" s="10">
        <v>6</v>
      </c>
      <c r="E1574" s="10">
        <v>91</v>
      </c>
      <c r="F1574" s="10" t="s">
        <v>711</v>
      </c>
      <c r="G1574" s="10" t="s">
        <v>695</v>
      </c>
      <c r="H1574" s="10" t="str" cm="1">
        <f t="array" aca="1" ref="H1574" ca="1">IF(INDEX(I1574:Z1574,$H$1)=0,"",INDEX(I1574:Z1574,$H$1))</f>
        <v>Not Applicable</v>
      </c>
      <c r="I1574" s="10" t="s">
        <v>50</v>
      </c>
      <c r="J1574" s="10" t="s">
        <v>888</v>
      </c>
      <c r="K1574" s="27" t="s">
        <v>1579</v>
      </c>
    </row>
    <row r="1575" spans="1:11" x14ac:dyDescent="0.35">
      <c r="A1575" s="10" t="s">
        <v>1285</v>
      </c>
      <c r="B1575" s="255">
        <v>9</v>
      </c>
      <c r="C1575" s="10" t="s">
        <v>79</v>
      </c>
      <c r="D1575" s="10">
        <v>6</v>
      </c>
      <c r="E1575" s="10">
        <v>92</v>
      </c>
      <c r="F1575" s="10" t="s">
        <v>711</v>
      </c>
      <c r="G1575" s="10" t="s">
        <v>695</v>
      </c>
      <c r="H1575" s="10" t="str" cm="1">
        <f t="array" aca="1" ref="H1575" ca="1">IF(INDEX(I1575:Z1575,$H$1)=0,"",INDEX(I1575:Z1575,$H$1))</f>
        <v>Not Applicable</v>
      </c>
      <c r="I1575" s="10" t="s">
        <v>50</v>
      </c>
      <c r="J1575" s="10" t="s">
        <v>888</v>
      </c>
      <c r="K1575" s="27" t="s">
        <v>1579</v>
      </c>
    </row>
    <row r="1576" spans="1:11" x14ac:dyDescent="0.35">
      <c r="A1576" s="10" t="s">
        <v>1285</v>
      </c>
      <c r="B1576" s="255">
        <v>9</v>
      </c>
      <c r="C1576" s="10" t="s">
        <v>79</v>
      </c>
      <c r="D1576" s="10">
        <v>6</v>
      </c>
      <c r="E1576" s="10">
        <v>93</v>
      </c>
      <c r="F1576" s="10" t="s">
        <v>711</v>
      </c>
      <c r="G1576" s="10" t="s">
        <v>695</v>
      </c>
      <c r="H1576" s="10" t="str" cm="1">
        <f t="array" aca="1" ref="H1576" ca="1">IF(INDEX(I1576:Z1576,$H$1)=0,"",INDEX(I1576:Z1576,$H$1))</f>
        <v>Not Applicable</v>
      </c>
      <c r="I1576" s="10" t="s">
        <v>50</v>
      </c>
      <c r="J1576" s="10" t="s">
        <v>888</v>
      </c>
      <c r="K1576" s="27" t="s">
        <v>1579</v>
      </c>
    </row>
    <row r="1577" spans="1:11" x14ac:dyDescent="0.35">
      <c r="A1577" s="10" t="s">
        <v>1285</v>
      </c>
      <c r="B1577" s="255">
        <v>9</v>
      </c>
      <c r="C1577" s="10" t="s">
        <v>79</v>
      </c>
      <c r="D1577" s="10">
        <v>6</v>
      </c>
      <c r="E1577" s="10">
        <v>94</v>
      </c>
      <c r="F1577" s="10" t="s">
        <v>711</v>
      </c>
      <c r="G1577" s="10" t="s">
        <v>695</v>
      </c>
      <c r="H1577" s="10" t="str" cm="1">
        <f t="array" aca="1" ref="H1577" ca="1">IF(INDEX(I1577:Z1577,$H$1)=0,"",INDEX(I1577:Z1577,$H$1))</f>
        <v>Not Applicable</v>
      </c>
      <c r="I1577" s="10" t="s">
        <v>50</v>
      </c>
      <c r="J1577" s="10" t="s">
        <v>888</v>
      </c>
      <c r="K1577" s="27" t="s">
        <v>1579</v>
      </c>
    </row>
    <row r="1578" spans="1:11" x14ac:dyDescent="0.35">
      <c r="A1578" s="10" t="s">
        <v>1285</v>
      </c>
      <c r="B1578" s="255">
        <v>9</v>
      </c>
      <c r="C1578" s="10" t="s">
        <v>79</v>
      </c>
      <c r="D1578" s="10">
        <v>6</v>
      </c>
      <c r="E1578" s="10">
        <v>90</v>
      </c>
      <c r="F1578" s="10" t="s">
        <v>591</v>
      </c>
      <c r="G1578" s="10" t="s">
        <v>695</v>
      </c>
      <c r="H1578" s="10" t="str" cm="1">
        <f t="array" aca="1" ref="H1578" ca="1">IF(INDEX(I1578:Z1578,$H$1)=0,"",INDEX(I1578:Z1578,$H$1))</f>
        <v>Not Applicable</v>
      </c>
      <c r="I1578" s="10" t="s">
        <v>50</v>
      </c>
      <c r="J1578" s="10" t="s">
        <v>888</v>
      </c>
      <c r="K1578" s="27" t="s">
        <v>1579</v>
      </c>
    </row>
    <row r="1579" spans="1:11" x14ac:dyDescent="0.35">
      <c r="A1579" s="10" t="s">
        <v>1285</v>
      </c>
      <c r="B1579" s="255">
        <v>9</v>
      </c>
      <c r="C1579" s="10" t="s">
        <v>79</v>
      </c>
      <c r="D1579" s="10">
        <v>6</v>
      </c>
      <c r="E1579" s="10">
        <v>91</v>
      </c>
      <c r="F1579" s="10" t="s">
        <v>591</v>
      </c>
      <c r="G1579" s="10" t="s">
        <v>695</v>
      </c>
      <c r="H1579" s="10" t="str" cm="1">
        <f t="array" aca="1" ref="H1579" ca="1">IF(INDEX(I1579:Z1579,$H$1)=0,"",INDEX(I1579:Z1579,$H$1))</f>
        <v>Not Applicable</v>
      </c>
      <c r="I1579" s="10" t="s">
        <v>50</v>
      </c>
      <c r="J1579" s="10" t="s">
        <v>888</v>
      </c>
      <c r="K1579" s="27" t="s">
        <v>1579</v>
      </c>
    </row>
    <row r="1580" spans="1:11" x14ac:dyDescent="0.35">
      <c r="A1580" s="10" t="s">
        <v>1285</v>
      </c>
      <c r="B1580" s="255">
        <v>9</v>
      </c>
      <c r="C1580" s="10" t="s">
        <v>79</v>
      </c>
      <c r="D1580" s="10">
        <v>6</v>
      </c>
      <c r="E1580" s="10">
        <v>92</v>
      </c>
      <c r="F1580" s="10" t="s">
        <v>591</v>
      </c>
      <c r="G1580" s="10" t="s">
        <v>695</v>
      </c>
      <c r="H1580" s="10" t="str" cm="1">
        <f t="array" aca="1" ref="H1580" ca="1">IF(INDEX(I1580:Z1580,$H$1)=0,"",INDEX(I1580:Z1580,$H$1))</f>
        <v>Not Applicable</v>
      </c>
      <c r="I1580" s="10" t="s">
        <v>50</v>
      </c>
      <c r="J1580" s="10" t="s">
        <v>888</v>
      </c>
      <c r="K1580" s="27" t="s">
        <v>1579</v>
      </c>
    </row>
    <row r="1581" spans="1:11" x14ac:dyDescent="0.35">
      <c r="A1581" s="10" t="s">
        <v>1285</v>
      </c>
      <c r="B1581" s="255">
        <v>9</v>
      </c>
      <c r="C1581" s="10" t="s">
        <v>79</v>
      </c>
      <c r="D1581" s="10">
        <v>6</v>
      </c>
      <c r="E1581" s="10">
        <v>93</v>
      </c>
      <c r="F1581" s="10" t="s">
        <v>591</v>
      </c>
      <c r="G1581" s="10" t="s">
        <v>695</v>
      </c>
      <c r="H1581" s="10" t="str" cm="1">
        <f t="array" aca="1" ref="H1581" ca="1">IF(INDEX(I1581:Z1581,$H$1)=0,"",INDEX(I1581:Z1581,$H$1))</f>
        <v>Not Applicable</v>
      </c>
      <c r="I1581" s="10" t="s">
        <v>50</v>
      </c>
      <c r="J1581" s="10" t="s">
        <v>888</v>
      </c>
      <c r="K1581" s="27" t="s">
        <v>1579</v>
      </c>
    </row>
    <row r="1582" spans="1:11" x14ac:dyDescent="0.35">
      <c r="A1582" s="10" t="s">
        <v>1285</v>
      </c>
      <c r="B1582" s="255">
        <v>9</v>
      </c>
      <c r="C1582" s="10" t="s">
        <v>79</v>
      </c>
      <c r="D1582" s="10">
        <v>6</v>
      </c>
      <c r="E1582" s="10">
        <v>94</v>
      </c>
      <c r="F1582" s="10" t="s">
        <v>591</v>
      </c>
      <c r="G1582" s="10" t="s">
        <v>695</v>
      </c>
      <c r="H1582" s="10" t="str" cm="1">
        <f t="array" aca="1" ref="H1582" ca="1">IF(INDEX(I1582:Z1582,$H$1)=0,"",INDEX(I1582:Z1582,$H$1))</f>
        <v>Not Applicable</v>
      </c>
      <c r="I1582" s="10" t="s">
        <v>50</v>
      </c>
      <c r="J1582" s="10" t="s">
        <v>888</v>
      </c>
      <c r="K1582" s="27" t="s">
        <v>1579</v>
      </c>
    </row>
    <row r="1583" spans="1:11" x14ac:dyDescent="0.35">
      <c r="A1583" s="10" t="s">
        <v>1285</v>
      </c>
      <c r="B1583" s="255">
        <v>9</v>
      </c>
      <c r="C1583" s="10" t="s">
        <v>73</v>
      </c>
      <c r="D1583" s="10">
        <v>7</v>
      </c>
      <c r="E1583" s="10">
        <v>91</v>
      </c>
      <c r="F1583" s="10" t="s">
        <v>687</v>
      </c>
      <c r="G1583" s="10" t="s">
        <v>688</v>
      </c>
      <c r="H1583" s="10" t="str" cm="1">
        <f t="array" aca="1" ref="H1583" ca="1">IF(INDEX(I1583:Z1583,$H$1)=0,"",INDEX(I1583:Z1583,$H$1))</f>
        <v>Wellhead Casing Vents:</v>
      </c>
      <c r="I1583" s="10" t="s">
        <v>73</v>
      </c>
      <c r="J1583" s="10" t="s">
        <v>946</v>
      </c>
      <c r="K1583" s="27" t="s">
        <v>1708</v>
      </c>
    </row>
    <row r="1584" spans="1:11" x14ac:dyDescent="0.35">
      <c r="A1584" s="10" t="s">
        <v>1285</v>
      </c>
      <c r="B1584" s="255">
        <v>9</v>
      </c>
      <c r="C1584" s="10" t="s">
        <v>73</v>
      </c>
      <c r="D1584" s="10">
        <v>7</v>
      </c>
      <c r="E1584" s="10">
        <v>93</v>
      </c>
      <c r="F1584" s="10" t="s">
        <v>687</v>
      </c>
      <c r="G1584" s="10" t="s">
        <v>696</v>
      </c>
      <c r="H1584" s="10" t="str" cm="1">
        <f t="array" aca="1" ref="H1584" ca="1">IF(INDEX(I1584:Z1584,$H$1)=0,"",INDEX(I1584:Z1584,$H$1))</f>
        <v>Industry Segment</v>
      </c>
      <c r="I1584" s="10" t="s">
        <v>30</v>
      </c>
      <c r="J1584" s="10" t="s">
        <v>697</v>
      </c>
      <c r="K1584" s="27" t="s">
        <v>1385</v>
      </c>
    </row>
    <row r="1585" spans="1:11" x14ac:dyDescent="0.35">
      <c r="A1585" s="10" t="s">
        <v>1285</v>
      </c>
      <c r="B1585" s="255">
        <v>9</v>
      </c>
      <c r="C1585" s="10" t="s">
        <v>73</v>
      </c>
      <c r="D1585" s="10">
        <v>7</v>
      </c>
      <c r="E1585" s="10">
        <v>93</v>
      </c>
      <c r="F1585" s="10" t="s">
        <v>690</v>
      </c>
      <c r="G1585" s="10" t="s">
        <v>696</v>
      </c>
      <c r="H1585" s="10" t="str" cm="1">
        <f t="array" aca="1" ref="H1585" ca="1">IF(INDEX(I1585:Z1585,$H$1)=0,"",INDEX(I1585:Z1585,$H$1))</f>
        <v>Well Type</v>
      </c>
      <c r="I1585" s="10" t="s">
        <v>78</v>
      </c>
      <c r="J1585" s="10" t="s">
        <v>945</v>
      </c>
      <c r="K1585" s="27" t="s">
        <v>1702</v>
      </c>
    </row>
    <row r="1586" spans="1:11" x14ac:dyDescent="0.35">
      <c r="A1586" s="10" t="s">
        <v>1285</v>
      </c>
      <c r="B1586" s="255">
        <v>9</v>
      </c>
      <c r="C1586" s="10" t="s">
        <v>73</v>
      </c>
      <c r="D1586" s="10">
        <v>7</v>
      </c>
      <c r="E1586" s="10">
        <v>93</v>
      </c>
      <c r="F1586" s="10" t="s">
        <v>38</v>
      </c>
      <c r="G1586" s="10" t="s">
        <v>696</v>
      </c>
      <c r="H1586" s="10" t="str" cm="1">
        <f t="array" aca="1" ref="H1586" ca="1">IF(INDEX(I1586:Z1586,$H$1)=0,"",INDEX(I1586:Z1586,$H$1))</f>
        <v>Uncontrolled Flashing Loss</v>
      </c>
      <c r="I1586" s="10" t="s">
        <v>350</v>
      </c>
      <c r="J1586" s="10" t="s">
        <v>947</v>
      </c>
      <c r="K1586" s="27" t="s">
        <v>1696</v>
      </c>
    </row>
    <row r="1587" spans="1:11" x14ac:dyDescent="0.35">
      <c r="A1587" s="10" t="s">
        <v>1285</v>
      </c>
      <c r="B1587" s="255">
        <v>9</v>
      </c>
      <c r="C1587" s="10" t="s">
        <v>73</v>
      </c>
      <c r="D1587" s="10">
        <v>7</v>
      </c>
      <c r="E1587" s="10">
        <v>93</v>
      </c>
      <c r="F1587" s="10" t="s">
        <v>692</v>
      </c>
      <c r="G1587" s="10" t="s">
        <v>696</v>
      </c>
      <c r="H1587" s="10" t="str" cm="1">
        <f t="array" aca="1" ref="H1587" ca="1">IF(INDEX(I1587:Z1587,$H$1)=0,"",INDEX(I1587:Z1587,$H$1))</f>
        <v>Data Source</v>
      </c>
      <c r="I1587" s="10" t="s">
        <v>36</v>
      </c>
      <c r="J1587" s="10" t="s">
        <v>938</v>
      </c>
      <c r="K1587" s="27" t="s">
        <v>1688</v>
      </c>
    </row>
    <row r="1588" spans="1:11" x14ac:dyDescent="0.35">
      <c r="A1588" s="10" t="s">
        <v>1285</v>
      </c>
      <c r="B1588" s="255">
        <v>9</v>
      </c>
      <c r="C1588" s="10" t="s">
        <v>73</v>
      </c>
      <c r="D1588" s="10">
        <v>7</v>
      </c>
      <c r="E1588" s="10">
        <v>93</v>
      </c>
      <c r="F1588" s="10" t="s">
        <v>693</v>
      </c>
      <c r="G1588" s="10" t="s">
        <v>696</v>
      </c>
      <c r="H1588" s="10" t="str" cm="1">
        <f t="array" aca="1" ref="H1588" ca="1">IF(INDEX(I1588:Z1588,$H$1)=0,"",INDEX(I1588:Z1588,$H$1))</f>
        <v>As Reported in the Reference</v>
      </c>
      <c r="I1588" s="10" t="s">
        <v>40</v>
      </c>
      <c r="J1588" s="10" t="s">
        <v>933</v>
      </c>
      <c r="K1588" s="27" t="s">
        <v>1677</v>
      </c>
    </row>
    <row r="1589" spans="1:11" x14ac:dyDescent="0.35">
      <c r="A1589" s="10" t="s">
        <v>1285</v>
      </c>
      <c r="B1589" s="255">
        <v>9</v>
      </c>
      <c r="C1589" s="10" t="s">
        <v>73</v>
      </c>
      <c r="D1589" s="10">
        <v>7</v>
      </c>
      <c r="E1589" s="10">
        <v>93</v>
      </c>
      <c r="F1589" s="10" t="s">
        <v>591</v>
      </c>
      <c r="G1589" s="10" t="s">
        <v>696</v>
      </c>
      <c r="H1589" s="10" t="str" cm="1">
        <f t="array" aca="1" ref="H1589" ca="1">IF(INDEX(I1589:Z1589,$H$1)=0,"",INDEX(I1589:Z1589,$H$1))</f>
        <v>Conversion Factor</v>
      </c>
      <c r="I1589" s="10" t="s">
        <v>15</v>
      </c>
      <c r="J1589" s="10" t="s">
        <v>1220</v>
      </c>
      <c r="K1589" s="27" t="s">
        <v>1678</v>
      </c>
    </row>
    <row r="1590" spans="1:11" x14ac:dyDescent="0.35">
      <c r="A1590" s="10" t="s">
        <v>1285</v>
      </c>
      <c r="B1590" s="255">
        <v>9</v>
      </c>
      <c r="C1590" s="10" t="s">
        <v>73</v>
      </c>
      <c r="D1590" s="10">
        <v>7</v>
      </c>
      <c r="E1590" s="10">
        <v>94</v>
      </c>
      <c r="F1590" s="10" t="s">
        <v>38</v>
      </c>
      <c r="G1590" s="10" t="s">
        <v>696</v>
      </c>
      <c r="H1590" s="10" t="str" cm="1">
        <f t="array" aca="1" ref="H1590" ca="1">IF(INDEX(I1590:Z1590,$H$1)=0,"",INDEX(I1590:Z1590,$H$1))</f>
        <v>Emissions Factor</v>
      </c>
      <c r="I1590" s="10" t="s">
        <v>54</v>
      </c>
      <c r="J1590" s="10" t="s">
        <v>910</v>
      </c>
      <c r="K1590" s="27" t="s">
        <v>1583</v>
      </c>
    </row>
    <row r="1591" spans="1:11" x14ac:dyDescent="0.35">
      <c r="A1591" s="10" t="s">
        <v>1285</v>
      </c>
      <c r="B1591" s="255">
        <v>9</v>
      </c>
      <c r="C1591" s="10" t="s">
        <v>73</v>
      </c>
      <c r="D1591" s="10">
        <v>7</v>
      </c>
      <c r="E1591" s="10">
        <v>94</v>
      </c>
      <c r="F1591" s="10" t="s">
        <v>693</v>
      </c>
      <c r="G1591" s="10" t="s">
        <v>696</v>
      </c>
      <c r="H1591" s="10" t="str" cm="1">
        <f t="array" aca="1" ref="H1591" ca="1">IF(INDEX(I1591:Z1591,$H$1)=0,"",INDEX(I1591:Z1591,$H$1))</f>
        <v>EF Value</v>
      </c>
      <c r="I1591" s="10" t="s">
        <v>39</v>
      </c>
      <c r="J1591" s="10" t="s">
        <v>934</v>
      </c>
      <c r="K1591" s="27" t="s">
        <v>1682</v>
      </c>
    </row>
    <row r="1592" spans="1:11" x14ac:dyDescent="0.35">
      <c r="A1592" s="10" t="s">
        <v>1285</v>
      </c>
      <c r="B1592" s="255">
        <v>9</v>
      </c>
      <c r="C1592" s="10" t="s">
        <v>73</v>
      </c>
      <c r="D1592" s="10">
        <v>7</v>
      </c>
      <c r="E1592" s="10">
        <v>94</v>
      </c>
      <c r="F1592" s="10" t="s">
        <v>694</v>
      </c>
      <c r="G1592" s="10" t="s">
        <v>696</v>
      </c>
      <c r="H1592" s="10" t="str" cm="1">
        <f t="array" aca="1" ref="H1592" ca="1">IF(INDEX(I1592:Z1592,$H$1)=0,"",INDEX(I1592:Z1592,$H$1))</f>
        <v xml:space="preserve">Units of </v>
      </c>
      <c r="I1592" s="10" t="s">
        <v>37</v>
      </c>
      <c r="J1592" s="10" t="s">
        <v>740</v>
      </c>
      <c r="K1592" s="27" t="s">
        <v>1685</v>
      </c>
    </row>
    <row r="1593" spans="1:11" x14ac:dyDescent="0.35">
      <c r="A1593" s="10" t="s">
        <v>1285</v>
      </c>
      <c r="B1593" s="255">
        <v>9</v>
      </c>
      <c r="C1593" s="10" t="s">
        <v>73</v>
      </c>
      <c r="D1593" s="10">
        <v>7</v>
      </c>
      <c r="E1593" s="10">
        <v>94</v>
      </c>
      <c r="F1593" s="10" t="s">
        <v>711</v>
      </c>
      <c r="G1593" s="10" t="s">
        <v>696</v>
      </c>
      <c r="H1593" s="10" t="str" cm="1">
        <f t="array" aca="1" ref="H1593" ca="1">IF(INDEX(I1593:Z1593,$H$1)=0,"",INDEX(I1593:Z1593,$H$1))</f>
        <v xml:space="preserve">CH4 Content </v>
      </c>
      <c r="I1593" s="10" t="s">
        <v>41</v>
      </c>
      <c r="J1593" s="10" t="s">
        <v>805</v>
      </c>
      <c r="K1593" s="27" t="s">
        <v>1502</v>
      </c>
    </row>
    <row r="1594" spans="1:11" x14ac:dyDescent="0.35">
      <c r="A1594" s="10" t="s">
        <v>1285</v>
      </c>
      <c r="B1594" s="255">
        <v>9</v>
      </c>
      <c r="C1594" s="10" t="s">
        <v>73</v>
      </c>
      <c r="D1594" s="10">
        <v>7</v>
      </c>
      <c r="E1594" s="10">
        <v>94</v>
      </c>
      <c r="F1594" s="10" t="s">
        <v>591</v>
      </c>
      <c r="G1594" s="10" t="s">
        <v>696</v>
      </c>
      <c r="H1594" s="10" t="str" cm="1">
        <f t="array" aca="1" ref="H1594" ca="1">IF(INDEX(I1594:Z1594,$H$1)=0,"",INDEX(I1594:Z1594,$H$1))</f>
        <v>Value</v>
      </c>
      <c r="I1594" s="10" t="s">
        <v>6</v>
      </c>
      <c r="J1594" s="10" t="s">
        <v>725</v>
      </c>
      <c r="K1594" s="27" t="s">
        <v>1411</v>
      </c>
    </row>
    <row r="1595" spans="1:11" x14ac:dyDescent="0.35">
      <c r="A1595" s="10" t="s">
        <v>1285</v>
      </c>
      <c r="B1595" s="255">
        <v>9</v>
      </c>
      <c r="C1595" s="10" t="s">
        <v>73</v>
      </c>
      <c r="D1595" s="10">
        <v>7</v>
      </c>
      <c r="E1595" s="10">
        <v>94</v>
      </c>
      <c r="F1595" s="10" t="s">
        <v>712</v>
      </c>
      <c r="G1595" s="10" t="s">
        <v>696</v>
      </c>
      <c r="H1595" s="10" t="str" cm="1">
        <f t="array" aca="1" ref="H1595" ca="1">IF(INDEX(I1595:Z1595,$H$1)=0,"",INDEX(I1595:Z1595,$H$1))</f>
        <v>Conversion</v>
      </c>
      <c r="I1595" s="10" t="s">
        <v>16</v>
      </c>
      <c r="J1595" s="10" t="s">
        <v>1219</v>
      </c>
      <c r="K1595" s="27" t="s">
        <v>1684</v>
      </c>
    </row>
    <row r="1596" spans="1:11" x14ac:dyDescent="0.35">
      <c r="A1596" s="10" t="s">
        <v>1285</v>
      </c>
      <c r="B1596" s="255">
        <v>9</v>
      </c>
      <c r="C1596" s="10" t="s">
        <v>73</v>
      </c>
      <c r="D1596" s="10">
        <v>7</v>
      </c>
      <c r="E1596" s="10">
        <v>95</v>
      </c>
      <c r="F1596" s="10" t="s">
        <v>38</v>
      </c>
      <c r="G1596" s="10" t="s">
        <v>696</v>
      </c>
      <c r="H1596" s="10" t="str" cm="1">
        <f t="array" aca="1" ref="H1596" ca="1">IF(INDEX(I1596:Z1596,$H$1)=0,"",INDEX(I1596:Z1596,$H$1))</f>
        <v>(Nm3/d/well)</v>
      </c>
      <c r="I1596" s="10" t="s">
        <v>1088</v>
      </c>
      <c r="J1596" s="10" t="s">
        <v>1089</v>
      </c>
      <c r="K1596" s="27" t="s">
        <v>1709</v>
      </c>
    </row>
    <row r="1597" spans="1:11" x14ac:dyDescent="0.35">
      <c r="A1597" s="10" t="s">
        <v>1285</v>
      </c>
      <c r="B1597" s="255">
        <v>9</v>
      </c>
      <c r="C1597" s="10" t="s">
        <v>73</v>
      </c>
      <c r="D1597" s="10">
        <v>7</v>
      </c>
      <c r="E1597" s="10">
        <v>95</v>
      </c>
      <c r="F1597" s="10" t="s">
        <v>694</v>
      </c>
      <c r="G1597" s="10" t="s">
        <v>696</v>
      </c>
      <c r="H1597" s="10" t="str" cm="1">
        <f t="array" aca="1" ref="H1597" ca="1">IF(INDEX(I1597:Z1597,$H$1)=0,"",INDEX(I1597:Z1597,$H$1))</f>
        <v>Measure</v>
      </c>
      <c r="I1597" s="10" t="s">
        <v>8</v>
      </c>
      <c r="J1597" s="10" t="s">
        <v>1262</v>
      </c>
      <c r="K1597" s="27" t="s">
        <v>1683</v>
      </c>
    </row>
    <row r="1598" spans="1:11" x14ac:dyDescent="0.35">
      <c r="A1598" s="10" t="s">
        <v>1285</v>
      </c>
      <c r="B1598" s="255">
        <v>9</v>
      </c>
      <c r="C1598" s="10" t="s">
        <v>73</v>
      </c>
      <c r="D1598" s="10">
        <v>7</v>
      </c>
      <c r="E1598" s="10">
        <v>95</v>
      </c>
      <c r="F1598" s="10" t="s">
        <v>711</v>
      </c>
      <c r="G1598" s="10" t="s">
        <v>696</v>
      </c>
      <c r="H1598" s="10" t="str" cm="1">
        <f t="array" aca="1" ref="H1598" ca="1">IF(INDEX(I1598:Z1598,$H$1)=0,"",INDEX(I1598:Z1598,$H$1))</f>
        <v>Basis for Industry Segment</v>
      </c>
      <c r="I1598" s="10" t="s">
        <v>42</v>
      </c>
      <c r="J1598" s="10" t="s">
        <v>1204</v>
      </c>
      <c r="K1598" s="27" t="s">
        <v>1689</v>
      </c>
    </row>
    <row r="1599" spans="1:11" x14ac:dyDescent="0.35">
      <c r="A1599" s="10" t="s">
        <v>1285</v>
      </c>
      <c r="B1599" s="255">
        <v>9</v>
      </c>
      <c r="C1599" s="10" t="s">
        <v>73</v>
      </c>
      <c r="D1599" s="10">
        <v>7</v>
      </c>
      <c r="E1599" s="10">
        <v>96</v>
      </c>
      <c r="F1599" s="10" t="s">
        <v>711</v>
      </c>
      <c r="G1599" s="10" t="s">
        <v>696</v>
      </c>
      <c r="H1599" s="10" t="str" cm="1">
        <f t="array" aca="1" ref="H1599" ca="1">IF(INDEX(I1599:Z1599,$H$1)=0,"",INDEX(I1599:Z1599,$H$1))</f>
        <v>(Mol%)</v>
      </c>
      <c r="I1599" s="10" t="s">
        <v>43</v>
      </c>
      <c r="J1599" s="10" t="s">
        <v>43</v>
      </c>
      <c r="K1599" s="27" t="s">
        <v>1496</v>
      </c>
    </row>
    <row r="1600" spans="1:11" x14ac:dyDescent="0.35">
      <c r="A1600" s="10" t="s">
        <v>1285</v>
      </c>
      <c r="B1600" s="255">
        <v>9</v>
      </c>
      <c r="C1600" s="10" t="s">
        <v>73</v>
      </c>
      <c r="D1600" s="10">
        <v>7</v>
      </c>
      <c r="E1600" s="10">
        <v>97</v>
      </c>
      <c r="F1600" s="10" t="s">
        <v>690</v>
      </c>
      <c r="G1600" s="10" t="s">
        <v>695</v>
      </c>
      <c r="H1600" s="10" t="str" cm="1">
        <f t="array" aca="1" ref="H1600" ca="1">IF(INDEX(I1600:Z1600,$H$1)=0,"",INDEX(I1600:Z1600,$H$1))</f>
        <v>Low-Pressure Gas</v>
      </c>
      <c r="I1600" s="10" t="s">
        <v>76</v>
      </c>
      <c r="J1600" s="10" t="s">
        <v>957</v>
      </c>
      <c r="K1600" s="27" t="s">
        <v>1710</v>
      </c>
    </row>
    <row r="1601" spans="1:11" x14ac:dyDescent="0.35">
      <c r="A1601" s="10" t="s">
        <v>1285</v>
      </c>
      <c r="B1601" s="255">
        <v>9</v>
      </c>
      <c r="C1601" s="10" t="s">
        <v>73</v>
      </c>
      <c r="D1601" s="10">
        <v>7</v>
      </c>
      <c r="E1601" s="10">
        <v>98</v>
      </c>
      <c r="F1601" s="10" t="s">
        <v>690</v>
      </c>
      <c r="G1601" s="10" t="s">
        <v>695</v>
      </c>
      <c r="H1601" s="10" t="str" cm="1">
        <f t="array" aca="1" ref="H1601" ca="1">IF(INDEX(I1601:Z1601,$H$1)=0,"",INDEX(I1601:Z1601,$H$1))</f>
        <v>Conventional Crude Oil Wells</v>
      </c>
      <c r="I1601" s="10" t="s">
        <v>84</v>
      </c>
      <c r="J1601" s="10" t="s">
        <v>958</v>
      </c>
      <c r="K1601" s="27" t="s">
        <v>1711</v>
      </c>
    </row>
    <row r="1602" spans="1:11" x14ac:dyDescent="0.35">
      <c r="A1602" s="10" t="s">
        <v>1285</v>
      </c>
      <c r="B1602" s="255">
        <v>9</v>
      </c>
      <c r="C1602" s="10" t="s">
        <v>73</v>
      </c>
      <c r="D1602" s="10">
        <v>7</v>
      </c>
      <c r="E1602" s="10">
        <v>99</v>
      </c>
      <c r="F1602" s="10" t="s">
        <v>690</v>
      </c>
      <c r="G1602" s="10" t="s">
        <v>695</v>
      </c>
      <c r="H1602" s="10" t="str" cm="1">
        <f t="array" aca="1" ref="H1602" ca="1">IF(INDEX(I1602:Z1602,$H$1)=0,"",INDEX(I1602:Z1602,$H$1))</f>
        <v>Cold Heavy Oil (Active)</v>
      </c>
      <c r="I1602" s="10" t="s">
        <v>80</v>
      </c>
      <c r="J1602" s="10" t="s">
        <v>953</v>
      </c>
      <c r="K1602" s="27" t="s">
        <v>1705</v>
      </c>
    </row>
    <row r="1603" spans="1:11" x14ac:dyDescent="0.35">
      <c r="A1603" s="10" t="s">
        <v>1285</v>
      </c>
      <c r="B1603" s="255">
        <v>9</v>
      </c>
      <c r="C1603" s="10" t="s">
        <v>73</v>
      </c>
      <c r="D1603" s="10">
        <v>7</v>
      </c>
      <c r="E1603" s="10">
        <v>100</v>
      </c>
      <c r="F1603" s="10" t="s">
        <v>690</v>
      </c>
      <c r="G1603" s="10" t="s">
        <v>695</v>
      </c>
      <c r="H1603" s="10" t="str" cm="1">
        <f t="array" aca="1" ref="H1603" ca="1">IF(INDEX(I1603:Z1603,$H$1)=0,"",INDEX(I1603:Z1603,$H$1))</f>
        <v>Cold Heavy Oil (Suspended)</v>
      </c>
      <c r="I1603" s="10" t="s">
        <v>81</v>
      </c>
      <c r="J1603" s="10" t="s">
        <v>959</v>
      </c>
      <c r="K1603" s="27" t="s">
        <v>1706</v>
      </c>
    </row>
    <row r="1604" spans="1:11" x14ac:dyDescent="0.35">
      <c r="A1604" s="10" t="s">
        <v>1285</v>
      </c>
      <c r="B1604" s="255">
        <v>9</v>
      </c>
      <c r="C1604" s="10" t="s">
        <v>73</v>
      </c>
      <c r="D1604" s="10">
        <v>7</v>
      </c>
      <c r="E1604" s="10">
        <v>101</v>
      </c>
      <c r="F1604" s="10" t="s">
        <v>690</v>
      </c>
      <c r="G1604" s="10" t="s">
        <v>695</v>
      </c>
      <c r="H1604" s="10" t="str" cm="1">
        <f t="array" aca="1" ref="H1604" ca="1">IF(INDEX(I1604:Z1604,$H$1)=0,"",INDEX(I1604:Z1604,$H$1))</f>
        <v>Crude Bitumen (Active)</v>
      </c>
      <c r="I1604" s="10" t="s">
        <v>82</v>
      </c>
      <c r="J1604" s="10" t="s">
        <v>960</v>
      </c>
      <c r="K1604" s="27" t="s">
        <v>1712</v>
      </c>
    </row>
    <row r="1605" spans="1:11" x14ac:dyDescent="0.35">
      <c r="A1605" s="10" t="s">
        <v>1285</v>
      </c>
      <c r="B1605" s="255">
        <v>9</v>
      </c>
      <c r="C1605" s="10" t="s">
        <v>73</v>
      </c>
      <c r="D1605" s="10">
        <v>7</v>
      </c>
      <c r="E1605" s="10">
        <v>102</v>
      </c>
      <c r="F1605" s="10" t="s">
        <v>690</v>
      </c>
      <c r="G1605" s="10" t="s">
        <v>695</v>
      </c>
      <c r="H1605" s="10" t="str" cm="1">
        <f t="array" aca="1" ref="H1605" ca="1">IF(INDEX(I1605:Z1605,$H$1)=0,"",INDEX(I1605:Z1605,$H$1))</f>
        <v>Crude Bitumen (Suspended)</v>
      </c>
      <c r="I1605" s="10" t="s">
        <v>83</v>
      </c>
      <c r="J1605" s="10" t="s">
        <v>961</v>
      </c>
      <c r="K1605" s="27" t="s">
        <v>1713</v>
      </c>
    </row>
    <row r="1606" spans="1:11" x14ac:dyDescent="0.35">
      <c r="A1606" s="10" t="s">
        <v>1285</v>
      </c>
      <c r="B1606" s="255">
        <v>9</v>
      </c>
      <c r="C1606" s="10" t="s">
        <v>87</v>
      </c>
      <c r="D1606" s="10">
        <v>8</v>
      </c>
      <c r="E1606" s="10">
        <v>104</v>
      </c>
      <c r="F1606" s="10" t="s">
        <v>687</v>
      </c>
      <c r="G1606" s="10" t="s">
        <v>688</v>
      </c>
      <c r="H1606" s="10" t="str" cm="1">
        <f t="array" aca="1" ref="H1606" ca="1">IF(INDEX(I1606:Z1606,$H$1)=0,"",INDEX(I1606:Z1606,$H$1))</f>
        <v>Inspection and Maintenance Activities:</v>
      </c>
      <c r="I1606" s="10" t="s">
        <v>87</v>
      </c>
      <c r="J1606" s="10" t="s">
        <v>948</v>
      </c>
      <c r="K1606" s="27" t="s">
        <v>1406</v>
      </c>
    </row>
    <row r="1607" spans="1:11" x14ac:dyDescent="0.35">
      <c r="A1607" s="10" t="s">
        <v>1285</v>
      </c>
      <c r="B1607" s="255">
        <v>9</v>
      </c>
      <c r="C1607" s="10" t="s">
        <v>87</v>
      </c>
      <c r="D1607" s="10">
        <v>8</v>
      </c>
      <c r="E1607" s="10">
        <v>106</v>
      </c>
      <c r="F1607" s="10" t="s">
        <v>687</v>
      </c>
      <c r="G1607" s="10" t="s">
        <v>696</v>
      </c>
      <c r="H1607" s="10" t="str" cm="1">
        <f t="array" aca="1" ref="H1607" ca="1">IF(INDEX(I1607:Z1607,$H$1)=0,"",INDEX(I1607:Z1607,$H$1))</f>
        <v>Industry Segment</v>
      </c>
      <c r="I1607" s="10" t="s">
        <v>30</v>
      </c>
      <c r="J1607" s="10" t="s">
        <v>697</v>
      </c>
      <c r="K1607" s="27" t="s">
        <v>1385</v>
      </c>
    </row>
    <row r="1608" spans="1:11" x14ac:dyDescent="0.35">
      <c r="A1608" s="10" t="s">
        <v>1285</v>
      </c>
      <c r="B1608" s="255">
        <v>9</v>
      </c>
      <c r="C1608" s="10" t="s">
        <v>87</v>
      </c>
      <c r="D1608" s="10">
        <v>8</v>
      </c>
      <c r="E1608" s="10">
        <v>106</v>
      </c>
      <c r="F1608" s="10" t="s">
        <v>690</v>
      </c>
      <c r="G1608" s="10" t="s">
        <v>696</v>
      </c>
      <c r="H1608" s="10" t="str" cm="1">
        <f t="array" aca="1" ref="H1608" ca="1">IF(INDEX(I1608:Z1608,$H$1)=0,"",INDEX(I1608:Z1608,$H$1))</f>
        <v>Activity</v>
      </c>
      <c r="I1608" s="10" t="s">
        <v>368</v>
      </c>
      <c r="J1608" s="10" t="s">
        <v>949</v>
      </c>
      <c r="K1608" s="27" t="s">
        <v>1599</v>
      </c>
    </row>
    <row r="1609" spans="1:11" x14ac:dyDescent="0.35">
      <c r="A1609" s="10" t="s">
        <v>1285</v>
      </c>
      <c r="B1609" s="255">
        <v>9</v>
      </c>
      <c r="C1609" s="10" t="s">
        <v>87</v>
      </c>
      <c r="D1609" s="10">
        <v>8</v>
      </c>
      <c r="E1609" s="10">
        <v>106</v>
      </c>
      <c r="F1609" s="10" t="s">
        <v>38</v>
      </c>
      <c r="G1609" s="10" t="s">
        <v>696</v>
      </c>
      <c r="H1609" s="10" t="str" cm="1">
        <f t="array" aca="1" ref="H1609" ca="1">IF(INDEX(I1609:Z1609,$H$1)=0,"",INDEX(I1609:Z1609,$H$1))</f>
        <v>Uncontrolled Emissions Factor</v>
      </c>
      <c r="I1609" s="10" t="s">
        <v>348</v>
      </c>
      <c r="J1609" s="10" t="s">
        <v>937</v>
      </c>
      <c r="K1609" s="27" t="s">
        <v>1675</v>
      </c>
    </row>
    <row r="1610" spans="1:11" x14ac:dyDescent="0.35">
      <c r="A1610" s="10" t="s">
        <v>1285</v>
      </c>
      <c r="B1610" s="255">
        <v>9</v>
      </c>
      <c r="C1610" s="10" t="s">
        <v>87</v>
      </c>
      <c r="D1610" s="10">
        <v>8</v>
      </c>
      <c r="E1610" s="10">
        <v>106</v>
      </c>
      <c r="F1610" s="10" t="s">
        <v>693</v>
      </c>
      <c r="G1610" s="10" t="s">
        <v>696</v>
      </c>
      <c r="H1610" s="10" t="str" cm="1">
        <f t="array" aca="1" ref="H1610" ca="1">IF(INDEX(I1610:Z1610,$H$1)=0,"",INDEX(I1610:Z1610,$H$1))</f>
        <v>Data Source</v>
      </c>
      <c r="I1610" s="10" t="s">
        <v>36</v>
      </c>
      <c r="J1610" s="10" t="s">
        <v>938</v>
      </c>
      <c r="K1610" s="27" t="s">
        <v>1688</v>
      </c>
    </row>
    <row r="1611" spans="1:11" x14ac:dyDescent="0.35">
      <c r="A1611" s="10" t="s">
        <v>1285</v>
      </c>
      <c r="B1611" s="255">
        <v>9</v>
      </c>
      <c r="C1611" s="10" t="s">
        <v>87</v>
      </c>
      <c r="D1611" s="10">
        <v>8</v>
      </c>
      <c r="E1611" s="10">
        <v>106</v>
      </c>
      <c r="F1611" s="10" t="s">
        <v>694</v>
      </c>
      <c r="G1611" s="10" t="s">
        <v>696</v>
      </c>
      <c r="H1611" s="10" t="str" cm="1">
        <f t="array" aca="1" ref="H1611" ca="1">IF(INDEX(I1611:Z1611,$H$1)=0,"",INDEX(I1611:Z1611,$H$1))</f>
        <v>As Reported in the Reference</v>
      </c>
      <c r="I1611" s="10" t="s">
        <v>40</v>
      </c>
      <c r="J1611" s="10" t="s">
        <v>933</v>
      </c>
      <c r="K1611" s="27" t="s">
        <v>1677</v>
      </c>
    </row>
    <row r="1612" spans="1:11" x14ac:dyDescent="0.35">
      <c r="A1612" s="10" t="s">
        <v>1285</v>
      </c>
      <c r="B1612" s="255">
        <v>9</v>
      </c>
      <c r="C1612" s="10" t="s">
        <v>87</v>
      </c>
      <c r="D1612" s="10">
        <v>8</v>
      </c>
      <c r="E1612" s="10">
        <v>106</v>
      </c>
      <c r="F1612" s="10" t="s">
        <v>712</v>
      </c>
      <c r="G1612" s="10" t="s">
        <v>696</v>
      </c>
      <c r="H1612" s="10" t="str" cm="1">
        <f t="array" aca="1" ref="H1612" ca="1">IF(INDEX(I1612:Z1612,$H$1)=0,"",INDEX(I1612:Z1612,$H$1))</f>
        <v>Conversion Factor</v>
      </c>
      <c r="I1612" s="10" t="s">
        <v>15</v>
      </c>
      <c r="J1612" s="10" t="s">
        <v>1220</v>
      </c>
      <c r="K1612" s="27" t="s">
        <v>1678</v>
      </c>
    </row>
    <row r="1613" spans="1:11" x14ac:dyDescent="0.35">
      <c r="A1613" s="10" t="s">
        <v>1285</v>
      </c>
      <c r="B1613" s="255">
        <v>9</v>
      </c>
      <c r="C1613" s="10" t="s">
        <v>87</v>
      </c>
      <c r="D1613" s="10">
        <v>8</v>
      </c>
      <c r="E1613" s="10">
        <v>107</v>
      </c>
      <c r="F1613" s="10" t="s">
        <v>38</v>
      </c>
      <c r="G1613" s="10" t="s">
        <v>696</v>
      </c>
      <c r="H1613" s="10" t="str" cm="1">
        <f t="array" aca="1" ref="H1613" ca="1">IF(INDEX(I1613:Z1613,$H$1)=0,"",INDEX(I1613:Z1613,$H$1))</f>
        <v>Value</v>
      </c>
      <c r="I1613" s="10" t="s">
        <v>6</v>
      </c>
      <c r="J1613" s="10" t="s">
        <v>725</v>
      </c>
      <c r="K1613" s="27" t="s">
        <v>1411</v>
      </c>
    </row>
    <row r="1614" spans="1:11" x14ac:dyDescent="0.35">
      <c r="A1614" s="10" t="s">
        <v>1285</v>
      </c>
      <c r="B1614" s="255">
        <v>9</v>
      </c>
      <c r="C1614" s="10" t="s">
        <v>87</v>
      </c>
      <c r="D1614" s="10">
        <v>8</v>
      </c>
      <c r="E1614" s="10">
        <v>107</v>
      </c>
      <c r="F1614" s="10" t="s">
        <v>692</v>
      </c>
      <c r="G1614" s="10" t="s">
        <v>696</v>
      </c>
      <c r="H1614" s="10" t="str" cm="1">
        <f t="array" aca="1" ref="H1614" ca="1">IF(INDEX(I1614:Z1614,$H$1)=0,"",INDEX(I1614:Z1614,$H$1))</f>
        <v>Units of Measure</v>
      </c>
      <c r="I1614" s="10" t="s">
        <v>331</v>
      </c>
      <c r="J1614" s="10" t="s">
        <v>726</v>
      </c>
      <c r="K1614" s="27" t="s">
        <v>1416</v>
      </c>
    </row>
    <row r="1615" spans="1:11" x14ac:dyDescent="0.35">
      <c r="A1615" s="10" t="s">
        <v>1285</v>
      </c>
      <c r="B1615" s="255">
        <v>9</v>
      </c>
      <c r="C1615" s="10" t="s">
        <v>87</v>
      </c>
      <c r="D1615" s="10">
        <v>8</v>
      </c>
      <c r="E1615" s="10">
        <v>107</v>
      </c>
      <c r="F1615" s="10" t="s">
        <v>694</v>
      </c>
      <c r="G1615" s="10" t="s">
        <v>696</v>
      </c>
      <c r="H1615" s="10" t="str" cm="1">
        <f t="array" aca="1" ref="H1615" ca="1">IF(INDEX(I1615:Z1615,$H$1)=0,"",INDEX(I1615:Z1615,$H$1))</f>
        <v>CH4</v>
      </c>
      <c r="I1615" s="10" t="s">
        <v>60</v>
      </c>
      <c r="J1615" s="10" t="s">
        <v>60</v>
      </c>
      <c r="K1615" s="27" t="s">
        <v>60</v>
      </c>
    </row>
    <row r="1616" spans="1:11" x14ac:dyDescent="0.35">
      <c r="A1616" s="10" t="s">
        <v>1285</v>
      </c>
      <c r="B1616" s="255">
        <v>9</v>
      </c>
      <c r="C1616" s="10" t="s">
        <v>87</v>
      </c>
      <c r="D1616" s="10">
        <v>8</v>
      </c>
      <c r="E1616" s="10">
        <v>107</v>
      </c>
      <c r="F1616" s="10" t="s">
        <v>711</v>
      </c>
      <c r="G1616" s="10" t="s">
        <v>696</v>
      </c>
      <c r="H1616" s="10" t="str" cm="1">
        <f t="array" aca="1" ref="H1616" ca="1">IF(INDEX(I1616:Z1616,$H$1)=0,"",INDEX(I1616:Z1616,$H$1))</f>
        <v xml:space="preserve">Units of </v>
      </c>
      <c r="I1616" s="10" t="s">
        <v>37</v>
      </c>
      <c r="J1616" s="10" t="s">
        <v>740</v>
      </c>
      <c r="K1616" s="27" t="s">
        <v>1685</v>
      </c>
    </row>
    <row r="1617" spans="1:11" x14ac:dyDescent="0.35">
      <c r="A1617" s="10" t="s">
        <v>1285</v>
      </c>
      <c r="B1617" s="255">
        <v>9</v>
      </c>
      <c r="C1617" s="10" t="s">
        <v>87</v>
      </c>
      <c r="D1617" s="10">
        <v>8</v>
      </c>
      <c r="E1617" s="10">
        <v>107</v>
      </c>
      <c r="F1617" s="10" t="s">
        <v>591</v>
      </c>
      <c r="G1617" s="10" t="s">
        <v>696</v>
      </c>
      <c r="H1617" s="10" t="str" cm="1">
        <f t="array" aca="1" ref="H1617" ca="1">IF(INDEX(I1617:Z1617,$H$1)=0,"",INDEX(I1617:Z1617,$H$1))</f>
        <v xml:space="preserve">CH4 Content </v>
      </c>
      <c r="I1617" s="10" t="s">
        <v>41</v>
      </c>
      <c r="J1617" s="10" t="s">
        <v>805</v>
      </c>
      <c r="K1617" s="27" t="s">
        <v>1502</v>
      </c>
    </row>
    <row r="1618" spans="1:11" x14ac:dyDescent="0.35">
      <c r="A1618" s="10" t="s">
        <v>1285</v>
      </c>
      <c r="B1618" s="255">
        <v>9</v>
      </c>
      <c r="C1618" s="10" t="s">
        <v>87</v>
      </c>
      <c r="D1618" s="10">
        <v>8</v>
      </c>
      <c r="E1618" s="10">
        <v>107</v>
      </c>
      <c r="F1618" s="10" t="s">
        <v>712</v>
      </c>
      <c r="G1618" s="10" t="s">
        <v>696</v>
      </c>
      <c r="H1618" s="10" t="str" cm="1">
        <f t="array" aca="1" ref="H1618" ca="1">IF(INDEX(I1618:Z1618,$H$1)=0,"",INDEX(I1618:Z1618,$H$1))</f>
        <v>Value</v>
      </c>
      <c r="I1618" s="10" t="s">
        <v>6</v>
      </c>
      <c r="J1618" s="10" t="s">
        <v>725</v>
      </c>
      <c r="K1618" s="27" t="s">
        <v>1411</v>
      </c>
    </row>
    <row r="1619" spans="1:11" x14ac:dyDescent="0.35">
      <c r="A1619" s="10" t="s">
        <v>1285</v>
      </c>
      <c r="B1619" s="255">
        <v>9</v>
      </c>
      <c r="C1619" s="10" t="s">
        <v>87</v>
      </c>
      <c r="D1619" s="10">
        <v>8</v>
      </c>
      <c r="E1619" s="10">
        <v>107</v>
      </c>
      <c r="F1619" s="10" t="s">
        <v>713</v>
      </c>
      <c r="G1619" s="10" t="s">
        <v>696</v>
      </c>
      <c r="H1619" s="10" t="str" cm="1">
        <f t="array" aca="1" ref="H1619" ca="1">IF(INDEX(I1619:Z1619,$H$1)=0,"",INDEX(I1619:Z1619,$H$1))</f>
        <v>Conversion</v>
      </c>
      <c r="I1619" s="10" t="s">
        <v>16</v>
      </c>
      <c r="J1619" s="10" t="s">
        <v>1219</v>
      </c>
      <c r="K1619" s="27" t="s">
        <v>1684</v>
      </c>
    </row>
    <row r="1620" spans="1:11" x14ac:dyDescent="0.35">
      <c r="A1620" s="10" t="s">
        <v>1285</v>
      </c>
      <c r="B1620" s="255">
        <v>9</v>
      </c>
      <c r="C1620" s="10" t="s">
        <v>87</v>
      </c>
      <c r="D1620" s="10">
        <v>8</v>
      </c>
      <c r="E1620" s="10">
        <v>108</v>
      </c>
      <c r="F1620" s="10" t="s">
        <v>694</v>
      </c>
      <c r="G1620" s="10" t="s">
        <v>696</v>
      </c>
      <c r="H1620" s="10" t="str" cm="1">
        <f t="array" aca="1" ref="H1620" ca="1">IF(INDEX(I1620:Z1620,$H$1)=0,"",INDEX(I1620:Z1620,$H$1))</f>
        <v>Emission Factor</v>
      </c>
      <c r="I1620" s="10" t="s">
        <v>145</v>
      </c>
      <c r="J1620" s="10" t="s">
        <v>910</v>
      </c>
      <c r="K1620" s="27" t="s">
        <v>1583</v>
      </c>
    </row>
    <row r="1621" spans="1:11" x14ac:dyDescent="0.35">
      <c r="A1621" s="10" t="s">
        <v>1285</v>
      </c>
      <c r="B1621" s="255">
        <v>9</v>
      </c>
      <c r="C1621" s="10" t="s">
        <v>87</v>
      </c>
      <c r="D1621" s="10">
        <v>8</v>
      </c>
      <c r="E1621" s="10">
        <v>108</v>
      </c>
      <c r="F1621" s="10" t="s">
        <v>711</v>
      </c>
      <c r="G1621" s="10" t="s">
        <v>696</v>
      </c>
      <c r="H1621" s="10" t="str" cm="1">
        <f t="array" aca="1" ref="H1621" ca="1">IF(INDEX(I1621:Z1621,$H$1)=0,"",INDEX(I1621:Z1621,$H$1))</f>
        <v>Measure</v>
      </c>
      <c r="I1621" s="10" t="s">
        <v>8</v>
      </c>
      <c r="J1621" s="10" t="s">
        <v>1262</v>
      </c>
      <c r="K1621" s="27" t="s">
        <v>1683</v>
      </c>
    </row>
    <row r="1622" spans="1:11" x14ac:dyDescent="0.35">
      <c r="A1622" s="10" t="s">
        <v>1285</v>
      </c>
      <c r="B1622" s="255">
        <v>9</v>
      </c>
      <c r="C1622" s="10" t="s">
        <v>87</v>
      </c>
      <c r="D1622" s="10">
        <v>8</v>
      </c>
      <c r="E1622" s="10">
        <v>108</v>
      </c>
      <c r="F1622" s="10" t="s">
        <v>591</v>
      </c>
      <c r="G1622" s="10" t="s">
        <v>696</v>
      </c>
      <c r="H1622" s="10" t="str" cm="1">
        <f t="array" aca="1" ref="H1622" ca="1">IF(INDEX(I1622:Z1622,$H$1)=0,"",INDEX(I1622:Z1622,$H$1))</f>
        <v>Basis for Industry Segment</v>
      </c>
      <c r="I1622" s="10" t="s">
        <v>42</v>
      </c>
      <c r="J1622" s="10" t="s">
        <v>1204</v>
      </c>
      <c r="K1622" s="27" t="s">
        <v>1689</v>
      </c>
    </row>
    <row r="1623" spans="1:11" x14ac:dyDescent="0.35">
      <c r="A1623" s="10" t="s">
        <v>1285</v>
      </c>
      <c r="B1623" s="255">
        <v>9</v>
      </c>
      <c r="C1623" s="10" t="s">
        <v>87</v>
      </c>
      <c r="D1623" s="10">
        <v>8</v>
      </c>
      <c r="E1623" s="10">
        <v>109</v>
      </c>
      <c r="F1623" s="10" t="s">
        <v>694</v>
      </c>
      <c r="G1623" s="10" t="s">
        <v>696</v>
      </c>
      <c r="H1623" s="10" t="str" cm="1">
        <f t="array" aca="1" ref="H1623" ca="1">IF(INDEX(I1623:Z1623,$H$1)=0,"",INDEX(I1623:Z1623,$H$1))</f>
        <v>Value</v>
      </c>
      <c r="I1623" s="10" t="s">
        <v>6</v>
      </c>
      <c r="J1623" s="10" t="s">
        <v>725</v>
      </c>
      <c r="K1623" s="27" t="s">
        <v>1411</v>
      </c>
    </row>
    <row r="1624" spans="1:11" x14ac:dyDescent="0.35">
      <c r="A1624" s="10" t="s">
        <v>1285</v>
      </c>
      <c r="B1624" s="255">
        <v>9</v>
      </c>
      <c r="C1624" s="10" t="s">
        <v>87</v>
      </c>
      <c r="D1624" s="10">
        <v>8</v>
      </c>
      <c r="E1624" s="10">
        <v>109</v>
      </c>
      <c r="F1624" s="10" t="s">
        <v>591</v>
      </c>
      <c r="G1624" s="10" t="s">
        <v>696</v>
      </c>
      <c r="H1624" s="10" t="str" cm="1">
        <f t="array" aca="1" ref="H1624" ca="1">IF(INDEX(I1624:Z1624,$H$1)=0,"",INDEX(I1624:Z1624,$H$1))</f>
        <v>(Mol%)</v>
      </c>
      <c r="I1624" s="10" t="s">
        <v>43</v>
      </c>
      <c r="J1624" s="10" t="s">
        <v>43</v>
      </c>
      <c r="K1624" s="27" t="s">
        <v>1496</v>
      </c>
    </row>
    <row r="1625" spans="1:11" x14ac:dyDescent="0.35">
      <c r="A1625" s="10" t="s">
        <v>1285</v>
      </c>
      <c r="B1625" s="255">
        <v>9</v>
      </c>
      <c r="C1625" s="10" t="s">
        <v>87</v>
      </c>
      <c r="D1625" s="10">
        <v>8</v>
      </c>
      <c r="E1625" s="10">
        <v>110</v>
      </c>
      <c r="F1625" s="10" t="s">
        <v>690</v>
      </c>
      <c r="G1625" s="10" t="s">
        <v>695</v>
      </c>
      <c r="H1625" s="10" t="str" cm="1">
        <f t="array" aca="1" ref="H1625" ca="1">IF(INDEX(I1625:Z1625,$H$1)=0,"",INDEX(I1625:Z1625,$H$1))</f>
        <v>Vessel Blowdowns</v>
      </c>
      <c r="I1625" s="10" t="s">
        <v>88</v>
      </c>
      <c r="J1625" s="10" t="s">
        <v>1279</v>
      </c>
      <c r="K1625" s="27" t="s">
        <v>1714</v>
      </c>
    </row>
    <row r="1626" spans="1:11" x14ac:dyDescent="0.35">
      <c r="A1626" s="10" t="s">
        <v>1285</v>
      </c>
      <c r="B1626" s="255">
        <v>9</v>
      </c>
      <c r="C1626" s="10" t="s">
        <v>87</v>
      </c>
      <c r="D1626" s="10">
        <v>8</v>
      </c>
      <c r="E1626" s="10">
        <v>111</v>
      </c>
      <c r="F1626" s="10" t="s">
        <v>690</v>
      </c>
      <c r="G1626" s="10" t="s">
        <v>695</v>
      </c>
      <c r="H1626" s="10" t="str" cm="1">
        <f t="array" aca="1" ref="H1626" ca="1">IF(INDEX(I1626:Z1626,$H$1)=0,"",INDEX(I1626:Z1626,$H$1))</f>
        <v>Compressor Starts</v>
      </c>
      <c r="I1626" s="10" t="s">
        <v>89</v>
      </c>
      <c r="J1626" s="10" t="s">
        <v>962</v>
      </c>
      <c r="K1626" s="27" t="s">
        <v>1715</v>
      </c>
    </row>
    <row r="1627" spans="1:11" x14ac:dyDescent="0.35">
      <c r="A1627" s="10" t="s">
        <v>1285</v>
      </c>
      <c r="B1627" s="255">
        <v>9</v>
      </c>
      <c r="C1627" s="10" t="s">
        <v>87</v>
      </c>
      <c r="D1627" s="10">
        <v>8</v>
      </c>
      <c r="E1627" s="10">
        <v>112</v>
      </c>
      <c r="F1627" s="10" t="s">
        <v>690</v>
      </c>
      <c r="G1627" s="10" t="s">
        <v>695</v>
      </c>
      <c r="H1627" s="10" t="str" cm="1">
        <f t="array" aca="1" ref="H1627" ca="1">IF(INDEX(I1627:Z1627,$H$1)=0,"",INDEX(I1627:Z1627,$H$1))</f>
        <v>Compressor Blowdowns</v>
      </c>
      <c r="I1627" s="10" t="s">
        <v>90</v>
      </c>
      <c r="J1627" s="10" t="s">
        <v>963</v>
      </c>
      <c r="K1627" s="27" t="s">
        <v>1716</v>
      </c>
    </row>
    <row r="1628" spans="1:11" x14ac:dyDescent="0.35">
      <c r="A1628" s="10" t="s">
        <v>1285</v>
      </c>
      <c r="B1628" s="255">
        <v>9</v>
      </c>
      <c r="C1628" s="10" t="s">
        <v>87</v>
      </c>
      <c r="D1628" s="10">
        <v>8</v>
      </c>
      <c r="E1628" s="10">
        <v>113</v>
      </c>
      <c r="F1628" s="10" t="s">
        <v>690</v>
      </c>
      <c r="G1628" s="10" t="s">
        <v>695</v>
      </c>
      <c r="H1628" s="10" t="str" cm="1">
        <f t="array" aca="1" ref="H1628" ca="1">IF(INDEX(I1628:Z1628,$H$1)=0,"",INDEX(I1628:Z1628,$H$1))</f>
        <v>Gas Well Workover (Tubing Maintenance)</v>
      </c>
      <c r="I1628" s="10" t="s">
        <v>91</v>
      </c>
      <c r="J1628" s="10" t="s">
        <v>964</v>
      </c>
      <c r="K1628" s="27" t="s">
        <v>1717</v>
      </c>
    </row>
    <row r="1629" spans="1:11" x14ac:dyDescent="0.35">
      <c r="A1629" s="10" t="s">
        <v>1285</v>
      </c>
      <c r="B1629" s="255">
        <v>9</v>
      </c>
      <c r="C1629" s="10" t="s">
        <v>87</v>
      </c>
      <c r="D1629" s="10">
        <v>8</v>
      </c>
      <c r="E1629" s="10">
        <v>114</v>
      </c>
      <c r="F1629" s="10" t="s">
        <v>690</v>
      </c>
      <c r="G1629" s="10" t="s">
        <v>695</v>
      </c>
      <c r="H1629" s="10" t="str" cm="1">
        <f t="array" aca="1" ref="H1629" ca="1">IF(INDEX(I1629:Z1629,$H$1)=0,"",INDEX(I1629:Z1629,$H$1))</f>
        <v>Oil Well Workover (Tubing Maintenance)</v>
      </c>
      <c r="I1629" s="10" t="s">
        <v>92</v>
      </c>
      <c r="J1629" s="10" t="s">
        <v>965</v>
      </c>
      <c r="K1629" s="27" t="s">
        <v>1718</v>
      </c>
    </row>
    <row r="1630" spans="1:11" x14ac:dyDescent="0.35">
      <c r="A1630" s="10" t="s">
        <v>1285</v>
      </c>
      <c r="B1630" s="255">
        <v>9</v>
      </c>
      <c r="C1630" s="10" t="s">
        <v>87</v>
      </c>
      <c r="D1630" s="10">
        <v>8</v>
      </c>
      <c r="E1630" s="10">
        <v>115</v>
      </c>
      <c r="F1630" s="10" t="s">
        <v>690</v>
      </c>
      <c r="G1630" s="10" t="s">
        <v>695</v>
      </c>
      <c r="H1630" s="10" t="str" cm="1">
        <f t="array" aca="1" ref="H1630" ca="1">IF(INDEX(I1630:Z1630,$H$1)=0,"",INDEX(I1630:Z1630,$H$1))</f>
        <v>Gathering Gas Pipeline Blowdowns</v>
      </c>
      <c r="I1630" s="10" t="s">
        <v>248</v>
      </c>
      <c r="J1630" s="10" t="s">
        <v>966</v>
      </c>
      <c r="K1630" s="27" t="s">
        <v>1719</v>
      </c>
    </row>
    <row r="1631" spans="1:11" x14ac:dyDescent="0.35">
      <c r="A1631" s="10" t="s">
        <v>1285</v>
      </c>
      <c r="B1631" s="255">
        <v>9</v>
      </c>
      <c r="C1631" s="10" t="s">
        <v>87</v>
      </c>
      <c r="D1631" s="10">
        <v>8</v>
      </c>
      <c r="E1631" s="10">
        <v>116</v>
      </c>
      <c r="F1631" s="10" t="s">
        <v>690</v>
      </c>
      <c r="G1631" s="10" t="s">
        <v>695</v>
      </c>
      <c r="H1631" s="10" t="str" cm="1">
        <f t="array" aca="1" ref="H1631" ca="1">IF(INDEX(I1631:Z1631,$H$1)=0,"",INDEX(I1631:Z1631,$H$1))</f>
        <v>Gas Well Completions without Hydraulic Fracturing (Vented)</v>
      </c>
      <c r="I1631" s="10" t="s">
        <v>2734</v>
      </c>
      <c r="J1631" s="10"/>
      <c r="K1631" s="27"/>
    </row>
    <row r="1632" spans="1:11" x14ac:dyDescent="0.35">
      <c r="A1632" s="10" t="s">
        <v>1285</v>
      </c>
      <c r="B1632" s="255">
        <v>9</v>
      </c>
      <c r="C1632" s="10" t="s">
        <v>87</v>
      </c>
      <c r="D1632" s="10">
        <v>8</v>
      </c>
      <c r="E1632" s="10">
        <v>116</v>
      </c>
      <c r="F1632" s="10" t="s">
        <v>690</v>
      </c>
      <c r="G1632" s="10" t="s">
        <v>695</v>
      </c>
      <c r="H1632" s="10" t="str" cm="1">
        <f t="array" aca="1" ref="H1632" ca="1">IF(INDEX(I1632:Z1632,$H$1)=0,"",INDEX(I1632:Z1632,$H$1))</f>
        <v>Oil Well Completions without Hydraulic Fracturing (Vented)</v>
      </c>
      <c r="I1632" s="10" t="s">
        <v>2735</v>
      </c>
      <c r="J1632" s="10"/>
      <c r="K1632" s="27"/>
    </row>
    <row r="1633" spans="1:11" x14ac:dyDescent="0.35">
      <c r="A1633" s="10" t="s">
        <v>1285</v>
      </c>
      <c r="B1633" s="255">
        <v>9</v>
      </c>
      <c r="C1633" s="10" t="s">
        <v>87</v>
      </c>
      <c r="D1633" s="10">
        <v>8</v>
      </c>
      <c r="E1633" s="10">
        <v>117</v>
      </c>
      <c r="F1633" s="10" t="s">
        <v>690</v>
      </c>
      <c r="G1633" s="10" t="s">
        <v>695</v>
      </c>
      <c r="H1633" s="10" t="str" cm="1">
        <f t="array" aca="1" ref="H1633" ca="1">IF(INDEX(I1633:Z1633,$H$1)=0,"",INDEX(I1633:Z1633,$H$1))</f>
        <v>Offshore Gas Well Completion</v>
      </c>
      <c r="I1633" s="10" t="s">
        <v>93</v>
      </c>
      <c r="J1633" s="10" t="s">
        <v>967</v>
      </c>
      <c r="K1633" s="27" t="s">
        <v>1720</v>
      </c>
    </row>
    <row r="1634" spans="1:11" x14ac:dyDescent="0.35">
      <c r="A1634" s="10" t="s">
        <v>1285</v>
      </c>
      <c r="B1634" s="255">
        <v>9</v>
      </c>
      <c r="C1634" s="10" t="s">
        <v>87</v>
      </c>
      <c r="D1634" s="10">
        <v>8</v>
      </c>
      <c r="E1634" s="10">
        <v>118</v>
      </c>
      <c r="F1634" s="10" t="s">
        <v>690</v>
      </c>
      <c r="G1634" s="10" t="s">
        <v>695</v>
      </c>
      <c r="H1634" s="10" t="str" cm="1">
        <f t="array" aca="1" ref="H1634" ca="1">IF(INDEX(I1634:Z1634,$H$1)=0,"",INDEX(I1634:Z1634,$H$1))</f>
        <v>Oil Pump Station Maintenance</v>
      </c>
      <c r="I1634" s="10" t="s">
        <v>94</v>
      </c>
      <c r="J1634" s="10" t="s">
        <v>968</v>
      </c>
      <c r="K1634" s="27" t="s">
        <v>1721</v>
      </c>
    </row>
    <row r="1635" spans="1:11" x14ac:dyDescent="0.35">
      <c r="A1635" s="10" t="s">
        <v>1285</v>
      </c>
      <c r="B1635" s="255">
        <v>9</v>
      </c>
      <c r="C1635" s="10" t="s">
        <v>87</v>
      </c>
      <c r="D1635" s="10">
        <v>8</v>
      </c>
      <c r="E1635" s="10">
        <v>119</v>
      </c>
      <c r="F1635" s="10" t="s">
        <v>690</v>
      </c>
      <c r="G1635" s="10" t="s">
        <v>695</v>
      </c>
      <c r="H1635" s="10" t="str" cm="1">
        <f t="array" aca="1" ref="H1635" ca="1">IF(INDEX(I1635:Z1635,$H$1)=0,"",INDEX(I1635:Z1635,$H$1))</f>
        <v>Pressure Relief Valve Release</v>
      </c>
      <c r="I1635" s="10" t="s">
        <v>112</v>
      </c>
      <c r="J1635" s="10" t="s">
        <v>969</v>
      </c>
      <c r="K1635" s="27" t="s">
        <v>1722</v>
      </c>
    </row>
    <row r="1636" spans="1:11" x14ac:dyDescent="0.35">
      <c r="A1636" s="10" t="s">
        <v>1285</v>
      </c>
      <c r="B1636" s="255">
        <v>9</v>
      </c>
      <c r="C1636" s="10" t="s">
        <v>87</v>
      </c>
      <c r="D1636" s="10">
        <v>8</v>
      </c>
      <c r="E1636" s="10">
        <v>120</v>
      </c>
      <c r="F1636" s="10" t="s">
        <v>690</v>
      </c>
      <c r="G1636" s="10" t="s">
        <v>695</v>
      </c>
      <c r="H1636" s="10" t="str" cm="1">
        <f t="array" aca="1" ref="H1636" ca="1">IF(INDEX(I1636:Z1636,$H$1)=0,"",INDEX(I1636:Z1636,$H$1))</f>
        <v>Gas Gathering Pipeline Mishaps (Dig-ins)</v>
      </c>
      <c r="I1636" s="10" t="s">
        <v>249</v>
      </c>
      <c r="J1636" s="10" t="s">
        <v>970</v>
      </c>
      <c r="K1636" s="27" t="s">
        <v>1723</v>
      </c>
    </row>
    <row r="1637" spans="1:11" x14ac:dyDescent="0.35">
      <c r="A1637" s="10" t="s">
        <v>1285</v>
      </c>
      <c r="B1637" s="255">
        <v>9</v>
      </c>
      <c r="C1637" s="10" t="s">
        <v>87</v>
      </c>
      <c r="D1637" s="10">
        <v>8</v>
      </c>
      <c r="E1637" s="10">
        <v>121</v>
      </c>
      <c r="F1637" s="10" t="s">
        <v>690</v>
      </c>
      <c r="G1637" s="10" t="s">
        <v>695</v>
      </c>
      <c r="H1637" s="10" t="str" cm="1">
        <f t="array" aca="1" ref="H1637" ca="1">IF(INDEX(I1637:Z1637,$H$1)=0,"",INDEX(I1637:Z1637,$H$1))</f>
        <v>Offshore Emergency Shutdown</v>
      </c>
      <c r="I1637" s="10" t="s">
        <v>113</v>
      </c>
      <c r="J1637" s="10" t="s">
        <v>971</v>
      </c>
      <c r="K1637" s="27" t="s">
        <v>1724</v>
      </c>
    </row>
    <row r="1638" spans="1:11" x14ac:dyDescent="0.35">
      <c r="A1638" s="10" t="s">
        <v>1285</v>
      </c>
      <c r="B1638" s="255">
        <v>9</v>
      </c>
      <c r="C1638" s="10" t="s">
        <v>87</v>
      </c>
      <c r="D1638" s="10">
        <v>8</v>
      </c>
      <c r="E1638" s="10">
        <v>122</v>
      </c>
      <c r="F1638" s="10" t="s">
        <v>690</v>
      </c>
      <c r="G1638" s="10" t="s">
        <v>695</v>
      </c>
      <c r="H1638" s="10" t="str" cm="1">
        <f t="array" aca="1" ref="H1638" ca="1">IF(INDEX(I1638:Z1638,$H$1)=0,"",INDEX(I1638:Z1638,$H$1))</f>
        <v>Non-routine Activities</v>
      </c>
      <c r="I1638" s="10" t="s">
        <v>114</v>
      </c>
      <c r="J1638" s="10" t="s">
        <v>972</v>
      </c>
      <c r="K1638" s="27" t="s">
        <v>1725</v>
      </c>
    </row>
    <row r="1639" spans="1:11" x14ac:dyDescent="0.35">
      <c r="A1639" s="10" t="s">
        <v>1285</v>
      </c>
      <c r="B1639" s="255">
        <v>9</v>
      </c>
      <c r="C1639" s="10" t="s">
        <v>87</v>
      </c>
      <c r="D1639" s="10">
        <v>8</v>
      </c>
      <c r="E1639" s="10">
        <v>122</v>
      </c>
      <c r="F1639" s="10" t="s">
        <v>690</v>
      </c>
      <c r="G1639" s="10" t="s">
        <v>695</v>
      </c>
      <c r="H1639" s="10" t="str" cm="1">
        <f t="array" aca="1" ref="H1639" ca="1">IF(INDEX(I1639:Z1639,$H$1)=0,"",INDEX(I1639:Z1639,$H$1))</f>
        <v>Blowdown venting</v>
      </c>
      <c r="I1639" s="10" t="s">
        <v>2143</v>
      </c>
      <c r="J1639" s="10" t="s">
        <v>2144</v>
      </c>
      <c r="K1639" s="27" t="s">
        <v>2145</v>
      </c>
    </row>
    <row r="1640" spans="1:11" x14ac:dyDescent="0.35">
      <c r="A1640" s="10" t="s">
        <v>1285</v>
      </c>
      <c r="B1640" s="255">
        <v>9</v>
      </c>
      <c r="C1640" s="10" t="s">
        <v>87</v>
      </c>
      <c r="D1640" s="10">
        <v>8</v>
      </c>
      <c r="E1640" s="10">
        <v>123</v>
      </c>
      <c r="F1640" s="10" t="s">
        <v>690</v>
      </c>
      <c r="G1640" s="10" t="s">
        <v>695</v>
      </c>
      <c r="H1640" s="10" t="str" cm="1">
        <f t="array" aca="1" ref="H1640" ca="1">IF(INDEX(I1640:Z1640,$H$1)=0,"",INDEX(I1640:Z1640,$H$1))</f>
        <v>Compressor Blowdowns</v>
      </c>
      <c r="I1640" s="10" t="s">
        <v>90</v>
      </c>
      <c r="J1640" s="10" t="s">
        <v>963</v>
      </c>
      <c r="K1640" s="27" t="s">
        <v>1716</v>
      </c>
    </row>
    <row r="1641" spans="1:11" x14ac:dyDescent="0.35">
      <c r="A1641" s="10" t="s">
        <v>1285</v>
      </c>
      <c r="B1641" s="255">
        <v>9</v>
      </c>
      <c r="C1641" s="10" t="s">
        <v>87</v>
      </c>
      <c r="D1641" s="10">
        <v>8</v>
      </c>
      <c r="E1641" s="10">
        <v>124</v>
      </c>
      <c r="F1641" s="10" t="s">
        <v>690</v>
      </c>
      <c r="G1641" s="10" t="s">
        <v>695</v>
      </c>
      <c r="H1641" s="10" t="str" cm="1">
        <f t="array" aca="1" ref="H1641" ca="1">IF(INDEX(I1641:Z1641,$H$1)=0,"",INDEX(I1641:Z1641,$H$1))</f>
        <v>Gas Compressor Station Blowdowns</v>
      </c>
      <c r="I1641" s="10" t="s">
        <v>115</v>
      </c>
      <c r="J1641" s="10" t="s">
        <v>973</v>
      </c>
      <c r="K1641" s="27" t="s">
        <v>1726</v>
      </c>
    </row>
    <row r="1642" spans="1:11" x14ac:dyDescent="0.35">
      <c r="A1642" s="10" t="s">
        <v>1285</v>
      </c>
      <c r="B1642" s="255">
        <v>9</v>
      </c>
      <c r="C1642" s="10" t="s">
        <v>87</v>
      </c>
      <c r="D1642" s="10">
        <v>8</v>
      </c>
      <c r="E1642" s="10">
        <v>125</v>
      </c>
      <c r="F1642" s="10" t="s">
        <v>690</v>
      </c>
      <c r="G1642" s="10" t="s">
        <v>695</v>
      </c>
      <c r="H1642" s="10" t="str" cm="1">
        <f t="array" aca="1" ref="H1642" ca="1">IF(INDEX(I1642:Z1642,$H$1)=0,"",INDEX(I1642:Z1642,$H$1))</f>
        <v>Compressor Starts</v>
      </c>
      <c r="I1642" s="10" t="s">
        <v>89</v>
      </c>
      <c r="J1642" s="10" t="s">
        <v>962</v>
      </c>
      <c r="K1642" s="27" t="s">
        <v>1715</v>
      </c>
    </row>
    <row r="1643" spans="1:11" x14ac:dyDescent="0.35">
      <c r="A1643" s="10" t="s">
        <v>1285</v>
      </c>
      <c r="B1643" s="255">
        <v>9</v>
      </c>
      <c r="C1643" s="10" t="s">
        <v>87</v>
      </c>
      <c r="D1643" s="10">
        <v>8</v>
      </c>
      <c r="E1643" s="10">
        <v>126</v>
      </c>
      <c r="F1643" s="10" t="s">
        <v>690</v>
      </c>
      <c r="G1643" s="10" t="s">
        <v>695</v>
      </c>
      <c r="H1643" s="10" t="str" cm="1">
        <f t="array" aca="1" ref="H1643" ca="1">IF(INDEX(I1643:Z1643,$H$1)=0,"",INDEX(I1643:Z1643,$H$1))</f>
        <v>PRV Lifts</v>
      </c>
      <c r="I1643" s="10" t="s">
        <v>116</v>
      </c>
      <c r="J1643" s="10" t="s">
        <v>974</v>
      </c>
      <c r="K1643" s="27" t="s">
        <v>1727</v>
      </c>
    </row>
    <row r="1644" spans="1:11" x14ac:dyDescent="0.35">
      <c r="A1644" s="10" t="s">
        <v>1285</v>
      </c>
      <c r="B1644" s="255">
        <v>9</v>
      </c>
      <c r="C1644" s="10" t="s">
        <v>87</v>
      </c>
      <c r="D1644" s="10">
        <v>8</v>
      </c>
      <c r="E1644" s="10">
        <v>127</v>
      </c>
      <c r="F1644" s="10" t="s">
        <v>690</v>
      </c>
      <c r="G1644" s="10" t="s">
        <v>695</v>
      </c>
      <c r="H1644" s="10" t="str" cm="1">
        <f t="array" aca="1" ref="H1644" ca="1">IF(INDEX(I1644:Z1644,$H$1)=0,"",INDEX(I1644:Z1644,$H$1))</f>
        <v>ESD Activations</v>
      </c>
      <c r="I1644" s="10" t="s">
        <v>117</v>
      </c>
      <c r="J1644" s="10" t="s">
        <v>975</v>
      </c>
      <c r="K1644" s="27" t="s">
        <v>1728</v>
      </c>
    </row>
    <row r="1645" spans="1:11" x14ac:dyDescent="0.35">
      <c r="A1645" s="10" t="s">
        <v>1285</v>
      </c>
      <c r="B1645" s="255">
        <v>9</v>
      </c>
      <c r="C1645" s="10" t="s">
        <v>87</v>
      </c>
      <c r="D1645" s="10">
        <v>8</v>
      </c>
      <c r="E1645" s="10">
        <v>128</v>
      </c>
      <c r="F1645" s="10" t="s">
        <v>690</v>
      </c>
      <c r="G1645" s="10" t="s">
        <v>695</v>
      </c>
      <c r="H1645" s="10" t="str" cm="1">
        <f t="array" aca="1" ref="H1645" ca="1">IF(INDEX(I1645:Z1645,$H$1)=0,"",INDEX(I1645:Z1645,$H$1))</f>
        <v>Meter and Regulator Station Blowdowns</v>
      </c>
      <c r="I1645" s="10" t="s">
        <v>118</v>
      </c>
      <c r="J1645" s="10" t="s">
        <v>976</v>
      </c>
      <c r="K1645" s="27" t="s">
        <v>1729</v>
      </c>
    </row>
    <row r="1646" spans="1:11" x14ac:dyDescent="0.35">
      <c r="A1646" s="10" t="s">
        <v>1285</v>
      </c>
      <c r="B1646" s="255">
        <v>9</v>
      </c>
      <c r="C1646" s="10" t="s">
        <v>87</v>
      </c>
      <c r="D1646" s="10">
        <v>8</v>
      </c>
      <c r="E1646" s="10">
        <v>129</v>
      </c>
      <c r="F1646" s="10" t="s">
        <v>690</v>
      </c>
      <c r="G1646" s="10" t="s">
        <v>695</v>
      </c>
      <c r="H1646" s="10" t="str" cm="1">
        <f t="array" aca="1" ref="H1646" ca="1">IF(INDEX(I1646:Z1646,$H$1)=0,"",INDEX(I1646:Z1646,$H$1))</f>
        <v>Miscellaneous</v>
      </c>
      <c r="I1646" s="10" t="s">
        <v>119</v>
      </c>
      <c r="J1646" s="10" t="s">
        <v>977</v>
      </c>
      <c r="K1646" s="27" t="s">
        <v>1730</v>
      </c>
    </row>
    <row r="1647" spans="1:11" x14ac:dyDescent="0.35">
      <c r="A1647" s="10" t="s">
        <v>1285</v>
      </c>
      <c r="B1647" s="255">
        <v>9</v>
      </c>
      <c r="C1647" s="10" t="s">
        <v>87</v>
      </c>
      <c r="D1647" s="10">
        <v>8</v>
      </c>
      <c r="E1647" s="10">
        <v>130</v>
      </c>
      <c r="F1647" s="10" t="s">
        <v>690</v>
      </c>
      <c r="G1647" s="10" t="s">
        <v>695</v>
      </c>
      <c r="H1647" s="10" t="str" cm="1">
        <f t="array" aca="1" ref="H1647" ca="1">IF(INDEX(I1647:Z1647,$H$1)=0,"",INDEX(I1647:Z1647,$H$1))</f>
        <v>Pipeline Venting &amp; Blowdowns</v>
      </c>
      <c r="I1647" s="10" t="s">
        <v>120</v>
      </c>
      <c r="J1647" s="10" t="s">
        <v>978</v>
      </c>
      <c r="K1647" s="27" t="s">
        <v>1731</v>
      </c>
    </row>
    <row r="1648" spans="1:11" x14ac:dyDescent="0.35">
      <c r="A1648" s="10" t="s">
        <v>1285</v>
      </c>
      <c r="B1648" s="255">
        <v>9</v>
      </c>
      <c r="C1648" s="10" t="s">
        <v>87</v>
      </c>
      <c r="D1648" s="10">
        <v>8</v>
      </c>
      <c r="E1648" s="10">
        <v>131</v>
      </c>
      <c r="F1648" s="10" t="s">
        <v>690</v>
      </c>
      <c r="G1648" s="10" t="s">
        <v>695</v>
      </c>
      <c r="H1648" s="10" t="str" cm="1">
        <f t="array" aca="1" ref="H1648" ca="1">IF(INDEX(I1648:Z1648,$H$1)=0,"",INDEX(I1648:Z1648,$H$1))</f>
        <v>Gas Storage Station Venting</v>
      </c>
      <c r="I1648" s="10" t="s">
        <v>121</v>
      </c>
      <c r="J1648" s="10" t="s">
        <v>979</v>
      </c>
      <c r="K1648" s="27" t="s">
        <v>1732</v>
      </c>
    </row>
    <row r="1649" spans="1:12" x14ac:dyDescent="0.35">
      <c r="A1649" s="10" t="s">
        <v>1285</v>
      </c>
      <c r="B1649" s="255">
        <v>9</v>
      </c>
      <c r="C1649" s="10" t="s">
        <v>87</v>
      </c>
      <c r="D1649" s="10">
        <v>8</v>
      </c>
      <c r="E1649" s="10">
        <v>132</v>
      </c>
      <c r="F1649" s="10" t="s">
        <v>690</v>
      </c>
      <c r="G1649" s="10" t="s">
        <v>695</v>
      </c>
      <c r="H1649" s="10" t="str" cm="1">
        <f t="array" aca="1" ref="H1649" ca="1">IF(INDEX(I1649:Z1649,$H$1)=0,"",INDEX(I1649:Z1649,$H$1))</f>
        <v>Meter &amp; Regulator Station Maintenance</v>
      </c>
      <c r="I1649" s="10" t="s">
        <v>125</v>
      </c>
      <c r="J1649" s="10" t="s">
        <v>980</v>
      </c>
      <c r="K1649" s="27" t="s">
        <v>1733</v>
      </c>
    </row>
    <row r="1650" spans="1:12" x14ac:dyDescent="0.35">
      <c r="A1650" s="10" t="s">
        <v>1285</v>
      </c>
      <c r="B1650" s="255">
        <v>9</v>
      </c>
      <c r="C1650" s="10" t="s">
        <v>87</v>
      </c>
      <c r="D1650" s="10">
        <v>8</v>
      </c>
      <c r="E1650" s="10">
        <v>133</v>
      </c>
      <c r="F1650" s="10" t="s">
        <v>690</v>
      </c>
      <c r="G1650" s="10" t="s">
        <v>695</v>
      </c>
      <c r="H1650" s="10" t="str" cm="1">
        <f t="array" aca="1" ref="H1650" ca="1">IF(INDEX(I1650:Z1650,$H$1)=0,"",INDEX(I1650:Z1650,$H$1))</f>
        <v>Odorizer &amp; Gas Sampling Vents</v>
      </c>
      <c r="I1650" s="10" t="s">
        <v>126</v>
      </c>
      <c r="J1650" s="10" t="s">
        <v>981</v>
      </c>
      <c r="K1650" s="27" t="s">
        <v>1734</v>
      </c>
    </row>
    <row r="1651" spans="1:12" x14ac:dyDescent="0.35">
      <c r="A1651" s="10" t="s">
        <v>1285</v>
      </c>
      <c r="B1651" s="255">
        <v>9</v>
      </c>
      <c r="C1651" s="10" t="s">
        <v>87</v>
      </c>
      <c r="D1651" s="10">
        <v>8</v>
      </c>
      <c r="E1651" s="10">
        <v>134</v>
      </c>
      <c r="F1651" s="10" t="s">
        <v>690</v>
      </c>
      <c r="G1651" s="10" t="s">
        <v>695</v>
      </c>
      <c r="H1651" s="10" t="str" cm="1">
        <f t="array" aca="1" ref="H1651" ca="1">IF(INDEX(I1651:Z1651,$H$1)=0,"",INDEX(I1651:Z1651,$H$1))</f>
        <v>Pipeline Blowdowns</v>
      </c>
      <c r="I1651" s="10" t="s">
        <v>127</v>
      </c>
      <c r="J1651" s="10" t="s">
        <v>982</v>
      </c>
      <c r="K1651" s="27" t="s">
        <v>1735</v>
      </c>
      <c r="L1651" s="15"/>
    </row>
    <row r="1652" spans="1:12" x14ac:dyDescent="0.35">
      <c r="A1652" s="10" t="s">
        <v>1285</v>
      </c>
      <c r="B1652" s="255">
        <v>9</v>
      </c>
      <c r="C1652" s="10" t="s">
        <v>87</v>
      </c>
      <c r="D1652" s="10">
        <v>8</v>
      </c>
      <c r="E1652" s="10">
        <v>135</v>
      </c>
      <c r="F1652" s="10" t="s">
        <v>690</v>
      </c>
      <c r="G1652" s="10" t="s">
        <v>695</v>
      </c>
      <c r="H1652" s="10" t="str" cm="1">
        <f t="array" aca="1" ref="H1652" ca="1">IF(INDEX(I1652:Z1652,$H$1)=0,"",INDEX(I1652:Z1652,$H$1))</f>
        <v>Pipeline Mishaps (Dig-ins)</v>
      </c>
      <c r="I1652" s="10" t="s">
        <v>128</v>
      </c>
      <c r="J1652" s="10" t="s">
        <v>983</v>
      </c>
      <c r="K1652" s="27" t="s">
        <v>1736</v>
      </c>
    </row>
    <row r="1653" spans="1:12" x14ac:dyDescent="0.35">
      <c r="A1653" s="10" t="s">
        <v>1285</v>
      </c>
      <c r="B1653" s="255">
        <v>9</v>
      </c>
      <c r="C1653" s="10" t="s">
        <v>87</v>
      </c>
      <c r="D1653" s="10">
        <v>8</v>
      </c>
      <c r="E1653" s="10">
        <v>136</v>
      </c>
      <c r="F1653" s="10" t="s">
        <v>690</v>
      </c>
      <c r="G1653" s="10" t="s">
        <v>695</v>
      </c>
      <c r="H1653" s="10" t="str" cm="1">
        <f t="array" aca="1" ref="H1653" ca="1">IF(INDEX(I1653:Z1653,$H$1)=0,"",INDEX(I1653:Z1653,$H$1))</f>
        <v>PRV Lifts</v>
      </c>
      <c r="I1653" s="10" t="s">
        <v>116</v>
      </c>
      <c r="J1653" s="10" t="s">
        <v>974</v>
      </c>
      <c r="K1653" s="27" t="s">
        <v>1727</v>
      </c>
    </row>
    <row r="1654" spans="1:12" x14ac:dyDescent="0.35">
      <c r="A1654" s="10" t="s">
        <v>1285</v>
      </c>
      <c r="B1654" s="255">
        <v>9</v>
      </c>
      <c r="C1654" s="10" t="s">
        <v>2146</v>
      </c>
      <c r="D1654" s="10">
        <v>9</v>
      </c>
      <c r="E1654" s="10">
        <v>160</v>
      </c>
      <c r="F1654" s="10" t="s">
        <v>687</v>
      </c>
      <c r="G1654" s="10" t="s">
        <v>696</v>
      </c>
      <c r="H1654" s="10" t="str" cm="1">
        <f t="array" aca="1" ref="H1654" ca="1">IF(INDEX(I1654:Z1654,$H$1)=0,"",INDEX(I1654:Z1654,$H$1))</f>
        <v>Industry Segment</v>
      </c>
      <c r="I1654" s="10" t="s">
        <v>30</v>
      </c>
      <c r="J1654" s="10" t="s">
        <v>697</v>
      </c>
      <c r="K1654" s="27" t="s">
        <v>1385</v>
      </c>
    </row>
    <row r="1655" spans="1:12" x14ac:dyDescent="0.35">
      <c r="A1655" s="10" t="s">
        <v>1285</v>
      </c>
      <c r="B1655" s="255">
        <v>9</v>
      </c>
      <c r="C1655" s="10" t="s">
        <v>2146</v>
      </c>
      <c r="D1655" s="10">
        <v>9</v>
      </c>
      <c r="E1655" s="10">
        <v>160</v>
      </c>
      <c r="F1655" s="10" t="s">
        <v>690</v>
      </c>
      <c r="G1655" s="10" t="s">
        <v>696</v>
      </c>
      <c r="H1655" s="10" t="str" cm="1">
        <f t="array" aca="1" ref="H1655" ca="1">IF(INDEX(I1655:Z1655,$H$1)=0,"",INDEX(I1655:Z1655,$H$1))</f>
        <v>Compressor Type</v>
      </c>
      <c r="I1655" s="10" t="s">
        <v>3349</v>
      </c>
      <c r="J1655" s="10" t="s">
        <v>2147</v>
      </c>
      <c r="K1655" s="27" t="s">
        <v>2148</v>
      </c>
    </row>
    <row r="1656" spans="1:12" x14ac:dyDescent="0.35">
      <c r="A1656" s="10" t="s">
        <v>1285</v>
      </c>
      <c r="B1656" s="255">
        <v>9</v>
      </c>
      <c r="C1656" s="10" t="s">
        <v>2146</v>
      </c>
      <c r="D1656" s="10">
        <v>9</v>
      </c>
      <c r="E1656" s="10">
        <v>160</v>
      </c>
      <c r="F1656" s="10" t="s">
        <v>38</v>
      </c>
      <c r="G1656" s="10" t="s">
        <v>696</v>
      </c>
      <c r="H1656" s="10" t="str" cm="1">
        <f t="array" aca="1" ref="H1656" ca="1">IF(INDEX(I1656:Z1656,$H$1)=0,"",INDEX(I1656:Z1656,$H$1))</f>
        <v>Uncontrolled Emission Factor</v>
      </c>
      <c r="I1656" s="10" t="s">
        <v>349</v>
      </c>
      <c r="J1656" s="10" t="s">
        <v>2149</v>
      </c>
      <c r="K1656" s="27" t="s">
        <v>2150</v>
      </c>
    </row>
    <row r="1657" spans="1:12" x14ac:dyDescent="0.35">
      <c r="A1657" s="10" t="s">
        <v>1285</v>
      </c>
      <c r="B1657" s="255">
        <v>9</v>
      </c>
      <c r="C1657" s="10" t="s">
        <v>2146</v>
      </c>
      <c r="D1657" s="10">
        <v>9</v>
      </c>
      <c r="E1657" s="10">
        <v>160</v>
      </c>
      <c r="F1657" s="10" t="s">
        <v>692</v>
      </c>
      <c r="G1657" s="10" t="s">
        <v>696</v>
      </c>
      <c r="H1657" s="10" t="str" cm="1">
        <f t="array" aca="1" ref="H1657" ca="1">IF(INDEX(I1657:Z1657,$H$1)=0,"",INDEX(I1657:Z1657,$H$1))</f>
        <v>Data Source</v>
      </c>
      <c r="I1657" s="10" t="s">
        <v>36</v>
      </c>
      <c r="J1657" s="10" t="s">
        <v>938</v>
      </c>
      <c r="K1657" s="27" t="s">
        <v>1688</v>
      </c>
    </row>
    <row r="1658" spans="1:12" x14ac:dyDescent="0.35">
      <c r="A1658" s="10" t="s">
        <v>1285</v>
      </c>
      <c r="B1658" s="255">
        <v>9</v>
      </c>
      <c r="C1658" s="10" t="s">
        <v>2146</v>
      </c>
      <c r="D1658" s="10">
        <v>9</v>
      </c>
      <c r="E1658" s="10">
        <v>160</v>
      </c>
      <c r="F1658" s="10" t="s">
        <v>693</v>
      </c>
      <c r="G1658" s="10" t="s">
        <v>696</v>
      </c>
      <c r="H1658" s="10" t="str" cm="1">
        <f t="array" aca="1" ref="H1658" ca="1">IF(INDEX(I1658:Z1658,$H$1)=0,"",INDEX(I1658:Z1658,$H$1))</f>
        <v>As Reported in the Reference</v>
      </c>
      <c r="I1658" s="10" t="s">
        <v>40</v>
      </c>
      <c r="J1658" s="10" t="s">
        <v>933</v>
      </c>
      <c r="K1658" s="27" t="s">
        <v>1677</v>
      </c>
    </row>
    <row r="1659" spans="1:12" x14ac:dyDescent="0.35">
      <c r="A1659" s="10" t="s">
        <v>1285</v>
      </c>
      <c r="B1659" s="255">
        <v>9</v>
      </c>
      <c r="C1659" s="10" t="s">
        <v>2146</v>
      </c>
      <c r="D1659" s="10">
        <v>9</v>
      </c>
      <c r="E1659" s="10">
        <v>160</v>
      </c>
      <c r="F1659" s="10" t="s">
        <v>591</v>
      </c>
      <c r="G1659" s="10" t="s">
        <v>696</v>
      </c>
      <c r="H1659" s="10" t="str" cm="1">
        <f t="array" aca="1" ref="H1659" ca="1">IF(INDEX(I1659:Z1659,$H$1)=0,"",INDEX(I1659:Z1659,$H$1))</f>
        <v>Conversion Factor</v>
      </c>
      <c r="I1659" s="10" t="s">
        <v>15</v>
      </c>
      <c r="J1659" s="10" t="s">
        <v>1220</v>
      </c>
      <c r="K1659" s="27" t="s">
        <v>1678</v>
      </c>
    </row>
    <row r="1660" spans="1:12" x14ac:dyDescent="0.35">
      <c r="A1660" s="10" t="s">
        <v>1285</v>
      </c>
      <c r="B1660" s="255">
        <v>9</v>
      </c>
      <c r="C1660" s="10" t="s">
        <v>2146</v>
      </c>
      <c r="D1660" s="10">
        <v>9</v>
      </c>
      <c r="E1660" s="10">
        <v>161</v>
      </c>
      <c r="F1660" s="10" t="s">
        <v>693</v>
      </c>
      <c r="G1660" s="10" t="s">
        <v>696</v>
      </c>
      <c r="H1660" s="10" t="str" cm="1">
        <f t="array" aca="1" ref="H1660" ca="1">IF(INDEX(I1660:Z1660,$H$1)=0,"",INDEX(I1660:Z1660,$H$1))</f>
        <v>EF Value</v>
      </c>
      <c r="I1660" s="10" t="s">
        <v>39</v>
      </c>
      <c r="J1660" s="10" t="s">
        <v>934</v>
      </c>
      <c r="K1660" s="27" t="s">
        <v>1682</v>
      </c>
    </row>
    <row r="1661" spans="1:12" x14ac:dyDescent="0.35">
      <c r="A1661" s="10" t="s">
        <v>1285</v>
      </c>
      <c r="B1661" s="255">
        <v>9</v>
      </c>
      <c r="C1661" s="10" t="s">
        <v>2146</v>
      </c>
      <c r="D1661" s="10">
        <v>9</v>
      </c>
      <c r="E1661" s="10">
        <v>161</v>
      </c>
      <c r="F1661" s="10" t="s">
        <v>694</v>
      </c>
      <c r="G1661" s="10" t="s">
        <v>696</v>
      </c>
      <c r="H1661" s="10" t="str" cm="1">
        <f t="array" aca="1" ref="H1661" ca="1">IF(INDEX(I1661:Z1661,$H$1)=0,"",INDEX(I1661:Z1661,$H$1))</f>
        <v>Units of</v>
      </c>
      <c r="I1661" s="10" t="s">
        <v>7</v>
      </c>
      <c r="J1661" s="10" t="s">
        <v>740</v>
      </c>
      <c r="K1661" s="27" t="s">
        <v>1685</v>
      </c>
    </row>
    <row r="1662" spans="1:12" x14ac:dyDescent="0.35">
      <c r="A1662" s="10" t="s">
        <v>1285</v>
      </c>
      <c r="B1662" s="255">
        <v>9</v>
      </c>
      <c r="C1662" s="10" t="s">
        <v>2146</v>
      </c>
      <c r="D1662" s="10">
        <v>9</v>
      </c>
      <c r="E1662" s="10">
        <v>161</v>
      </c>
      <c r="F1662" s="10" t="s">
        <v>711</v>
      </c>
      <c r="G1662" s="10" t="s">
        <v>696</v>
      </c>
      <c r="H1662" s="10" t="str" cm="1">
        <f t="array" aca="1" ref="H1662" ca="1">IF(INDEX(I1662:Z1662,$H$1)=0,"",INDEX(I1662:Z1662,$H$1))</f>
        <v xml:space="preserve">CH4 Content </v>
      </c>
      <c r="I1662" s="10" t="s">
        <v>41</v>
      </c>
      <c r="J1662" s="10" t="s">
        <v>805</v>
      </c>
      <c r="K1662" s="27" t="s">
        <v>1502</v>
      </c>
    </row>
    <row r="1663" spans="1:12" x14ac:dyDescent="0.35">
      <c r="A1663" s="10" t="s">
        <v>1285</v>
      </c>
      <c r="B1663" s="255">
        <v>9</v>
      </c>
      <c r="C1663" s="10" t="s">
        <v>2146</v>
      </c>
      <c r="D1663" s="10">
        <v>9</v>
      </c>
      <c r="E1663" s="10">
        <v>161</v>
      </c>
      <c r="F1663" s="10" t="s">
        <v>591</v>
      </c>
      <c r="G1663" s="10" t="s">
        <v>696</v>
      </c>
      <c r="H1663" s="10" t="str" cm="1">
        <f t="array" aca="1" ref="H1663" ca="1">IF(INDEX(I1663:Z1663,$H$1)=0,"",INDEX(I1663:Z1663,$H$1))</f>
        <v>Value</v>
      </c>
      <c r="I1663" s="10" t="s">
        <v>6</v>
      </c>
      <c r="J1663" s="10" t="s">
        <v>725</v>
      </c>
      <c r="K1663" s="27" t="s">
        <v>1411</v>
      </c>
    </row>
    <row r="1664" spans="1:12" x14ac:dyDescent="0.35">
      <c r="A1664" s="10" t="s">
        <v>1285</v>
      </c>
      <c r="B1664" s="255">
        <v>9</v>
      </c>
      <c r="C1664" s="10" t="s">
        <v>2146</v>
      </c>
      <c r="D1664" s="10">
        <v>9</v>
      </c>
      <c r="E1664" s="10">
        <v>161</v>
      </c>
      <c r="F1664" s="10" t="s">
        <v>712</v>
      </c>
      <c r="G1664" s="10" t="s">
        <v>696</v>
      </c>
      <c r="H1664" s="10" t="str" cm="1">
        <f t="array" aca="1" ref="H1664" ca="1">IF(INDEX(I1664:Z1664,$H$1)=0,"",INDEX(I1664:Z1664,$H$1))</f>
        <v>Conversion</v>
      </c>
      <c r="I1664" s="10" t="s">
        <v>16</v>
      </c>
      <c r="J1664" s="10" t="s">
        <v>1219</v>
      </c>
      <c r="K1664" s="27" t="s">
        <v>1684</v>
      </c>
    </row>
    <row r="1665" spans="1:11" x14ac:dyDescent="0.35">
      <c r="A1665" s="10" t="s">
        <v>1285</v>
      </c>
      <c r="B1665" s="255">
        <v>9</v>
      </c>
      <c r="C1665" s="10" t="s">
        <v>2146</v>
      </c>
      <c r="D1665" s="10">
        <v>9</v>
      </c>
      <c r="E1665" s="10">
        <v>161</v>
      </c>
      <c r="F1665" s="10" t="s">
        <v>38</v>
      </c>
      <c r="G1665" s="10" t="s">
        <v>696</v>
      </c>
      <c r="H1665" s="10" t="str" cm="1">
        <f t="array" aca="1" ref="H1665" ca="1">IF(INDEX(I1665:Z1665,$H$1)=0,"",INDEX(I1665:Z1665,$H$1))</f>
        <v>(Nm3/compressor seal per day)</v>
      </c>
      <c r="I1665" s="10" t="s">
        <v>3382</v>
      </c>
      <c r="J1665" s="10" t="s">
        <v>2151</v>
      </c>
      <c r="K1665" s="27" t="s">
        <v>2152</v>
      </c>
    </row>
    <row r="1666" spans="1:11" x14ac:dyDescent="0.35">
      <c r="A1666" s="10" t="s">
        <v>1285</v>
      </c>
      <c r="B1666" s="255">
        <v>9</v>
      </c>
      <c r="C1666" s="10" t="s">
        <v>2146</v>
      </c>
      <c r="D1666" s="10">
        <v>9</v>
      </c>
      <c r="E1666" s="10">
        <v>162</v>
      </c>
      <c r="F1666" s="10" t="s">
        <v>694</v>
      </c>
      <c r="G1666" s="10" t="s">
        <v>696</v>
      </c>
      <c r="H1666" s="10" t="str" cm="1">
        <f t="array" aca="1" ref="H1666" ca="1">IF(INDEX(I1666:Z1666,$H$1)=0,"",INDEX(I1666:Z1666,$H$1))</f>
        <v>Measure</v>
      </c>
      <c r="I1666" s="10" t="s">
        <v>8</v>
      </c>
      <c r="J1666" s="10" t="s">
        <v>1262</v>
      </c>
      <c r="K1666" s="27" t="s">
        <v>1683</v>
      </c>
    </row>
    <row r="1667" spans="1:11" x14ac:dyDescent="0.35">
      <c r="A1667" s="10" t="s">
        <v>1285</v>
      </c>
      <c r="B1667" s="255">
        <v>9</v>
      </c>
      <c r="C1667" s="10" t="s">
        <v>2146</v>
      </c>
      <c r="D1667" s="10">
        <v>9</v>
      </c>
      <c r="E1667" s="10">
        <v>162</v>
      </c>
      <c r="F1667" s="10" t="s">
        <v>711</v>
      </c>
      <c r="G1667" s="10" t="s">
        <v>696</v>
      </c>
      <c r="H1667" s="10" t="str" cm="1">
        <f t="array" aca="1" ref="H1667" ca="1">IF(INDEX(I1667:Z1667,$H$1)=0,"",INDEX(I1667:Z1667,$H$1))</f>
        <v>Basis for Industry Segment</v>
      </c>
      <c r="I1667" s="10" t="s">
        <v>42</v>
      </c>
      <c r="J1667" s="10" t="s">
        <v>1204</v>
      </c>
      <c r="K1667" s="27" t="s">
        <v>1689</v>
      </c>
    </row>
    <row r="1668" spans="1:11" x14ac:dyDescent="0.35">
      <c r="A1668" s="10" t="s">
        <v>1285</v>
      </c>
      <c r="B1668" s="255">
        <v>9</v>
      </c>
      <c r="C1668" s="10" t="s">
        <v>2146</v>
      </c>
      <c r="D1668" s="10">
        <v>9</v>
      </c>
      <c r="E1668" s="10">
        <v>163</v>
      </c>
      <c r="F1668" s="10" t="s">
        <v>711</v>
      </c>
      <c r="G1668" s="10" t="s">
        <v>696</v>
      </c>
      <c r="H1668" s="10" t="str" cm="1">
        <f t="array" aca="1" ref="H1668" ca="1">IF(INDEX(I1668:Z1668,$H$1)=0,"",INDEX(I1668:Z1668,$H$1))</f>
        <v>(Mol%)</v>
      </c>
      <c r="I1668" s="10" t="s">
        <v>43</v>
      </c>
      <c r="J1668" s="10" t="s">
        <v>43</v>
      </c>
      <c r="K1668" s="27" t="s">
        <v>1496</v>
      </c>
    </row>
    <row r="1669" spans="1:11" x14ac:dyDescent="0.35">
      <c r="A1669" s="10" t="s">
        <v>1285</v>
      </c>
      <c r="B1669" s="255">
        <v>9</v>
      </c>
      <c r="C1669" s="10" t="s">
        <v>2146</v>
      </c>
      <c r="D1669" s="10">
        <v>9</v>
      </c>
      <c r="E1669" s="10">
        <v>164</v>
      </c>
      <c r="F1669" s="10" t="s">
        <v>690</v>
      </c>
      <c r="G1669" s="10" t="s">
        <v>695</v>
      </c>
      <c r="H1669" s="10" t="str" cm="1">
        <f t="array" aca="1" ref="H1669" ca="1">IF(INDEX(I1669:Z1669,$H$1)=0,"",INDEX(I1669:Z1669,$H$1))</f>
        <v>Reciprocating Compressor</v>
      </c>
      <c r="I1669" s="10" t="s">
        <v>2153</v>
      </c>
      <c r="J1669" s="10" t="s">
        <v>2154</v>
      </c>
      <c r="K1669" s="27" t="s">
        <v>2155</v>
      </c>
    </row>
    <row r="1670" spans="1:11" x14ac:dyDescent="0.35">
      <c r="A1670" s="10" t="s">
        <v>1285</v>
      </c>
      <c r="B1670" s="255">
        <v>9</v>
      </c>
      <c r="C1670" s="10" t="s">
        <v>2146</v>
      </c>
      <c r="D1670" s="10">
        <v>9</v>
      </c>
      <c r="E1670" s="10">
        <v>165</v>
      </c>
      <c r="F1670" s="10" t="s">
        <v>690</v>
      </c>
      <c r="G1670" s="10" t="s">
        <v>695</v>
      </c>
      <c r="H1670" s="10" t="str" cm="1">
        <f t="array" aca="1" ref="H1670" ca="1">IF(INDEX(I1670:Z1670,$H$1)=0,"",INDEX(I1670:Z1670,$H$1))</f>
        <v>Rod packing</v>
      </c>
      <c r="I1670" s="10" t="s">
        <v>2156</v>
      </c>
      <c r="J1670" s="10" t="s">
        <v>2157</v>
      </c>
      <c r="K1670" s="27" t="s">
        <v>2158</v>
      </c>
    </row>
    <row r="1671" spans="1:11" x14ac:dyDescent="0.35">
      <c r="A1671" s="10" t="s">
        <v>1285</v>
      </c>
      <c r="B1671" s="255">
        <v>9</v>
      </c>
      <c r="C1671" s="10" t="s">
        <v>2146</v>
      </c>
      <c r="D1671" s="10">
        <v>9</v>
      </c>
      <c r="E1671" s="10">
        <v>166</v>
      </c>
      <c r="F1671" s="10" t="s">
        <v>690</v>
      </c>
      <c r="G1671" s="10" t="s">
        <v>695</v>
      </c>
      <c r="H1671" s="10" t="str" cm="1">
        <f t="array" aca="1" ref="H1671" ca="1">IF(INDEX(I1671:Z1671,$H$1)=0,"",INDEX(I1671:Z1671,$H$1))</f>
        <v>Centrifugal Compressor (Wet Seal)</v>
      </c>
      <c r="I1671" s="10" t="s">
        <v>2159</v>
      </c>
      <c r="J1671" s="10" t="s">
        <v>2160</v>
      </c>
      <c r="K1671" s="27" t="s">
        <v>2161</v>
      </c>
    </row>
    <row r="1672" spans="1:11" x14ac:dyDescent="0.35">
      <c r="A1672" s="10" t="s">
        <v>1285</v>
      </c>
      <c r="B1672" s="255">
        <v>9</v>
      </c>
      <c r="C1672" s="10" t="s">
        <v>2146</v>
      </c>
      <c r="D1672" s="10">
        <v>9</v>
      </c>
      <c r="E1672" s="10">
        <v>167</v>
      </c>
      <c r="F1672" s="10" t="s">
        <v>690</v>
      </c>
      <c r="G1672" s="10" t="s">
        <v>695</v>
      </c>
      <c r="H1672" s="10" t="str" cm="1">
        <f t="array" aca="1" ref="H1672" ca="1">IF(INDEX(I1672:Z1672,$H$1)=0,"",INDEX(I1672:Z1672,$H$1))</f>
        <v>Centrifugal Compressor (Dry Seal)</v>
      </c>
      <c r="I1672" s="10" t="s">
        <v>2162</v>
      </c>
      <c r="J1672" s="10" t="s">
        <v>2163</v>
      </c>
      <c r="K1672" s="27" t="s">
        <v>2164</v>
      </c>
    </row>
    <row r="1673" spans="1:11" x14ac:dyDescent="0.35">
      <c r="A1673" s="10" t="s">
        <v>1285</v>
      </c>
      <c r="B1673" s="255">
        <v>9</v>
      </c>
      <c r="C1673" s="10" t="s">
        <v>2146</v>
      </c>
      <c r="D1673" s="10">
        <v>9</v>
      </c>
      <c r="E1673" s="10">
        <v>168</v>
      </c>
      <c r="F1673" s="10" t="s">
        <v>690</v>
      </c>
      <c r="G1673" s="10" t="s">
        <v>695</v>
      </c>
      <c r="H1673" s="10" t="str" cm="1">
        <f t="array" aca="1" ref="H1673" ca="1">IF(INDEX(I1673:Z1673,$H$1)=0,"",INDEX(I1673:Z1673,$H$1))</f>
        <v>Reciprocating Compressor Rod Packing (Operating Mode)</v>
      </c>
      <c r="I1673" s="10" t="s">
        <v>2165</v>
      </c>
      <c r="J1673" s="10" t="s">
        <v>2166</v>
      </c>
      <c r="K1673" s="27" t="s">
        <v>2167</v>
      </c>
    </row>
    <row r="1674" spans="1:11" x14ac:dyDescent="0.35">
      <c r="A1674" s="10" t="s">
        <v>1285</v>
      </c>
      <c r="B1674" s="255">
        <v>9</v>
      </c>
      <c r="C1674" s="10" t="s">
        <v>2146</v>
      </c>
      <c r="D1674" s="10">
        <v>9</v>
      </c>
      <c r="E1674" s="10">
        <v>169</v>
      </c>
      <c r="F1674" s="10" t="s">
        <v>690</v>
      </c>
      <c r="G1674" s="10" t="s">
        <v>695</v>
      </c>
      <c r="H1674" s="10" t="str" cm="1">
        <f t="array" aca="1" ref="H1674" ca="1">IF(INDEX(I1674:Z1674,$H$1)=0,"",INDEX(I1674:Z1674,$H$1))</f>
        <v>Reciprocating Compressor Rod Packing (Standby Mode)</v>
      </c>
      <c r="I1674" s="10" t="s">
        <v>2168</v>
      </c>
      <c r="J1674" s="10" t="s">
        <v>2169</v>
      </c>
      <c r="K1674" s="27" t="s">
        <v>2170</v>
      </c>
    </row>
    <row r="1675" spans="1:11" x14ac:dyDescent="0.35">
      <c r="A1675" s="10" t="s">
        <v>1285</v>
      </c>
      <c r="B1675" s="255">
        <v>9</v>
      </c>
      <c r="C1675" s="10" t="s">
        <v>2146</v>
      </c>
      <c r="D1675" s="10">
        <v>9</v>
      </c>
      <c r="E1675" s="10">
        <v>170</v>
      </c>
      <c r="F1675" s="10" t="s">
        <v>690</v>
      </c>
      <c r="G1675" s="10" t="s">
        <v>695</v>
      </c>
      <c r="H1675" s="10" t="str" cm="1">
        <f t="array" aca="1" ref="H1675" ca="1">IF(INDEX(I1675:Z1675,$H$1)=0,"",INDEX(I1675:Z1675,$H$1))</f>
        <v>Reciprocating Compressor Rod Packing (Average)</v>
      </c>
      <c r="I1675" s="10" t="s">
        <v>2171</v>
      </c>
      <c r="J1675" s="10" t="s">
        <v>2172</v>
      </c>
      <c r="K1675" s="27" t="s">
        <v>2173</v>
      </c>
    </row>
    <row r="1676" spans="1:11" x14ac:dyDescent="0.35">
      <c r="A1676" s="10" t="s">
        <v>1285</v>
      </c>
      <c r="B1676" s="255">
        <v>9</v>
      </c>
      <c r="C1676" s="10" t="s">
        <v>2146</v>
      </c>
      <c r="D1676" s="10">
        <v>9</v>
      </c>
      <c r="E1676" s="10">
        <v>166</v>
      </c>
      <c r="F1676" s="10" t="s">
        <v>690</v>
      </c>
      <c r="G1676" s="10" t="s">
        <v>695</v>
      </c>
      <c r="H1676" s="10" t="str" cm="1">
        <f t="array" aca="1" ref="H1676" ca="1">IF(INDEX(I1676:Z1676,$H$1)=0,"",INDEX(I1676:Z1676,$H$1))</f>
        <v>Centrifugal Compressor (Wet Seal)</v>
      </c>
      <c r="I1676" s="10" t="s">
        <v>2159</v>
      </c>
      <c r="J1676" s="10" t="s">
        <v>2160</v>
      </c>
      <c r="K1676" s="27" t="s">
        <v>2161</v>
      </c>
    </row>
    <row r="1677" spans="1:11" x14ac:dyDescent="0.35">
      <c r="A1677" s="10" t="s">
        <v>1285</v>
      </c>
      <c r="B1677" s="255">
        <v>9</v>
      </c>
      <c r="C1677" s="10" t="s">
        <v>2146</v>
      </c>
      <c r="D1677" s="10">
        <v>9</v>
      </c>
      <c r="E1677" s="10">
        <v>167</v>
      </c>
      <c r="F1677" s="10" t="s">
        <v>690</v>
      </c>
      <c r="G1677" s="10" t="s">
        <v>695</v>
      </c>
      <c r="H1677" s="10" t="str" cm="1">
        <f t="array" aca="1" ref="H1677" ca="1">IF(INDEX(I1677:Z1677,$H$1)=0,"",INDEX(I1677:Z1677,$H$1))</f>
        <v>Centrifugal Compressor (Dry Seal)</v>
      </c>
      <c r="I1677" s="10" t="s">
        <v>2162</v>
      </c>
      <c r="J1677" s="10" t="s">
        <v>2163</v>
      </c>
      <c r="K1677" s="27" t="s">
        <v>2164</v>
      </c>
    </row>
    <row r="1678" spans="1:11" x14ac:dyDescent="0.35">
      <c r="A1678" s="10" t="s">
        <v>1285</v>
      </c>
      <c r="B1678" s="255">
        <v>9</v>
      </c>
      <c r="C1678" s="10" t="s">
        <v>2146</v>
      </c>
      <c r="D1678" s="10">
        <v>9</v>
      </c>
      <c r="E1678" s="10">
        <v>168</v>
      </c>
      <c r="F1678" s="10" t="s">
        <v>690</v>
      </c>
      <c r="G1678" s="10" t="s">
        <v>695</v>
      </c>
      <c r="H1678" s="10" t="str" cm="1">
        <f t="array" aca="1" ref="H1678" ca="1">IF(INDEX(I1678:Z1678,$H$1)=0,"",INDEX(I1678:Z1678,$H$1))</f>
        <v>Reciprocating Compressor Rod Packing (Operating Mode)</v>
      </c>
      <c r="I1678" s="10" t="s">
        <v>2165</v>
      </c>
      <c r="J1678" s="10" t="s">
        <v>2166</v>
      </c>
      <c r="K1678" s="27" t="s">
        <v>2167</v>
      </c>
    </row>
    <row r="1679" spans="1:11" x14ac:dyDescent="0.35">
      <c r="A1679" s="10" t="s">
        <v>1285</v>
      </c>
      <c r="B1679" s="255">
        <v>9</v>
      </c>
      <c r="C1679" s="10" t="s">
        <v>2146</v>
      </c>
      <c r="D1679" s="10">
        <v>9</v>
      </c>
      <c r="E1679" s="10">
        <v>169</v>
      </c>
      <c r="F1679" s="10" t="s">
        <v>690</v>
      </c>
      <c r="G1679" s="10" t="s">
        <v>695</v>
      </c>
      <c r="H1679" s="10" t="str" cm="1">
        <f t="array" aca="1" ref="H1679" ca="1">IF(INDEX(I1679:Z1679,$H$1)=0,"",INDEX(I1679:Z1679,$H$1))</f>
        <v>Reciprocating Compressor Rod Packing (Standby Mode)</v>
      </c>
      <c r="I1679" s="10" t="s">
        <v>2168</v>
      </c>
      <c r="J1679" s="10" t="s">
        <v>2169</v>
      </c>
      <c r="K1679" s="27" t="s">
        <v>2170</v>
      </c>
    </row>
    <row r="1680" spans="1:11" x14ac:dyDescent="0.35">
      <c r="A1680" s="10" t="s">
        <v>1285</v>
      </c>
      <c r="B1680" s="255">
        <v>9</v>
      </c>
      <c r="C1680" s="10" t="s">
        <v>2146</v>
      </c>
      <c r="D1680" s="10">
        <v>9</v>
      </c>
      <c r="E1680" s="10">
        <v>170</v>
      </c>
      <c r="F1680" s="10" t="s">
        <v>690</v>
      </c>
      <c r="G1680" s="10" t="s">
        <v>695</v>
      </c>
      <c r="H1680" s="10" t="str" cm="1">
        <f t="array" aca="1" ref="H1680" ca="1">IF(INDEX(I1680:Z1680,$H$1)=0,"",INDEX(I1680:Z1680,$H$1))</f>
        <v>Reciprocating Compressor Rod Packing (Average)</v>
      </c>
      <c r="I1680" s="10" t="s">
        <v>2171</v>
      </c>
      <c r="J1680" s="10" t="s">
        <v>2172</v>
      </c>
      <c r="K1680" s="27" t="s">
        <v>2173</v>
      </c>
    </row>
    <row r="1681" spans="1:12" x14ac:dyDescent="0.35">
      <c r="A1681" s="10" t="s">
        <v>1285</v>
      </c>
      <c r="B1681" s="255">
        <v>9</v>
      </c>
      <c r="C1681" s="10" t="s">
        <v>87</v>
      </c>
      <c r="D1681" s="10">
        <v>8</v>
      </c>
      <c r="E1681" s="10">
        <v>143</v>
      </c>
      <c r="F1681" s="10" t="s">
        <v>690</v>
      </c>
      <c r="G1681" s="10" t="s">
        <v>767</v>
      </c>
      <c r="H1681" s="10" t="str" cm="1">
        <f t="array" aca="1" ref="H1681" ca="1">IF(INDEX(I1681:Z1681,$H$1)=0,"",INDEX(I1681:Z1681,$H$1))</f>
        <v>Important: values highlighted in red are assumed.</v>
      </c>
      <c r="I1681" s="10" t="s">
        <v>111</v>
      </c>
      <c r="J1681" s="10" t="s">
        <v>950</v>
      </c>
      <c r="K1681" s="27" t="s">
        <v>1737</v>
      </c>
    </row>
    <row r="1682" spans="1:12" x14ac:dyDescent="0.35">
      <c r="A1682" s="10" t="s">
        <v>1185</v>
      </c>
      <c r="B1682" s="255">
        <v>10</v>
      </c>
      <c r="C1682" s="10" t="s">
        <v>204</v>
      </c>
      <c r="D1682" s="10">
        <v>1</v>
      </c>
      <c r="E1682" s="10">
        <f>ROW('Equipment Schedules'!A2)</f>
        <v>2</v>
      </c>
      <c r="F1682" s="10" t="s">
        <v>690</v>
      </c>
      <c r="G1682" s="10" t="s">
        <v>688</v>
      </c>
      <c r="H1682" s="10" t="str" cm="1">
        <f t="array" aca="1" ref="H1682" ca="1">IF(INDEX(I1682:Z1682,$H$1)=0,"",INDEX(I1682:Z1682,$H$1))</f>
        <v>Summary of the equipment schedules production and processing facilities.</v>
      </c>
      <c r="I1682" s="10" t="s">
        <v>2174</v>
      </c>
      <c r="J1682" s="10" t="s">
        <v>984</v>
      </c>
      <c r="K1682" s="27" t="s">
        <v>1738</v>
      </c>
    </row>
    <row r="1683" spans="1:12" x14ac:dyDescent="0.35">
      <c r="A1683" s="10" t="s">
        <v>1185</v>
      </c>
      <c r="B1683" s="255">
        <v>10</v>
      </c>
      <c r="C1683" s="10" t="s">
        <v>204</v>
      </c>
      <c r="D1683" s="10">
        <v>1</v>
      </c>
      <c r="E1683" s="10">
        <f>ROW('Equipment Schedules'!A$3)</f>
        <v>3</v>
      </c>
      <c r="F1683" s="10" t="s">
        <v>687</v>
      </c>
      <c r="G1683" s="10" t="s">
        <v>767</v>
      </c>
      <c r="H1683" s="10" t="str" cm="1">
        <f t="array" aca="1" ref="H1683" ca="1">IF(INDEX(I1683:Z1683,$H$1)=0,"",INDEX(I1683:Z1683,$H$1))</f>
        <v>Sector</v>
      </c>
      <c r="I1683" s="10" t="s">
        <v>206</v>
      </c>
      <c r="J1683" s="10" t="s">
        <v>1183</v>
      </c>
      <c r="K1683" s="27" t="s">
        <v>206</v>
      </c>
    </row>
    <row r="1684" spans="1:12" x14ac:dyDescent="0.35">
      <c r="A1684" s="10" t="s">
        <v>1185</v>
      </c>
      <c r="B1684" s="255">
        <v>10</v>
      </c>
      <c r="C1684" s="10" t="s">
        <v>204</v>
      </c>
      <c r="D1684" s="10">
        <v>1</v>
      </c>
      <c r="E1684" s="10">
        <f>ROW('Equipment Schedules'!A$3)</f>
        <v>3</v>
      </c>
      <c r="F1684" s="10" t="s">
        <v>822</v>
      </c>
      <c r="G1684" s="10" t="s">
        <v>696</v>
      </c>
      <c r="H1684" s="10" t="str" cm="1">
        <f t="array" aca="1" ref="H1684" ca="1">IF(INDEX(I1684:Z1684,$H$1)=0,"",INDEX(I1684:Z1684,$H$1))</f>
        <v>Zero</v>
      </c>
      <c r="I1684" s="10" t="s">
        <v>317</v>
      </c>
      <c r="J1684" s="10" t="s">
        <v>989</v>
      </c>
      <c r="K1684" s="27" t="s">
        <v>1739</v>
      </c>
    </row>
    <row r="1685" spans="1:12" x14ac:dyDescent="0.35">
      <c r="A1685" s="10" t="s">
        <v>1185</v>
      </c>
      <c r="B1685" s="255">
        <v>10</v>
      </c>
      <c r="C1685" s="10" t="s">
        <v>204</v>
      </c>
      <c r="D1685" s="10">
        <v>1</v>
      </c>
      <c r="E1685" s="10">
        <f>ROW('Equipment Schedules'!A$3)</f>
        <v>3</v>
      </c>
      <c r="F1685" s="10" t="s">
        <v>690</v>
      </c>
      <c r="G1685" s="10" t="s">
        <v>696</v>
      </c>
      <c r="H1685" s="10" t="str" cm="1">
        <f t="array" aca="1" ref="H1685" ca="1">IF(INDEX(I1685:Z1685,$H$1)=0,"",INDEX(I1685:Z1685,$H$1))</f>
        <v>Process Unit or Area</v>
      </c>
      <c r="I1685" s="10" t="s">
        <v>211</v>
      </c>
      <c r="J1685" s="10" t="s">
        <v>985</v>
      </c>
      <c r="K1685" s="27" t="s">
        <v>1740</v>
      </c>
    </row>
    <row r="1686" spans="1:12" x14ac:dyDescent="0.35">
      <c r="A1686" s="10" t="s">
        <v>1185</v>
      </c>
      <c r="B1686" s="255">
        <v>10</v>
      </c>
      <c r="C1686" s="10" t="s">
        <v>204</v>
      </c>
      <c r="D1686" s="10">
        <v>1</v>
      </c>
      <c r="E1686" s="10">
        <f>ROW('Equipment Schedules'!A$3)</f>
        <v>3</v>
      </c>
      <c r="F1686" s="10" t="s">
        <v>38</v>
      </c>
      <c r="G1686" s="10" t="s">
        <v>696</v>
      </c>
      <c r="H1686" s="10" t="str" cm="1">
        <f t="array" aca="1" ref="H1686" ca="1">IF(INDEX(I1686:Z1686,$H$1)=0,"",INDEX(I1686:Z1686,$H$1))</f>
        <v>Number of Emission Sources Associated with the Process</v>
      </c>
      <c r="I1686" s="10" t="s">
        <v>184</v>
      </c>
      <c r="J1686" s="10" t="s">
        <v>986</v>
      </c>
      <c r="K1686" s="27" t="s">
        <v>1741</v>
      </c>
    </row>
    <row r="1687" spans="1:12" x14ac:dyDescent="0.35">
      <c r="A1687" s="10" t="s">
        <v>1185</v>
      </c>
      <c r="B1687" s="255">
        <v>10</v>
      </c>
      <c r="C1687" s="10" t="s">
        <v>204</v>
      </c>
      <c r="D1687" s="10">
        <v>1</v>
      </c>
      <c r="E1687" s="10">
        <f>ROW('Equipment Schedules'!A$3)</f>
        <v>3</v>
      </c>
      <c r="F1687" s="10" t="s">
        <v>819</v>
      </c>
      <c r="G1687" s="10" t="s">
        <v>696</v>
      </c>
      <c r="H1687" s="10" t="str" cm="1">
        <f t="array" aca="1" ref="H1687" ca="1">IF(INDEX(I1687:Z1687,$H$1)=0,"",INDEX(I1687:Z1687,$H$1))</f>
        <v>Vessel</v>
      </c>
      <c r="I1687" s="10" t="s">
        <v>335</v>
      </c>
      <c r="J1687" s="10" t="s">
        <v>987</v>
      </c>
      <c r="K1687" s="27" t="s">
        <v>1742</v>
      </c>
    </row>
    <row r="1688" spans="1:12" x14ac:dyDescent="0.35">
      <c r="A1688" s="10" t="s">
        <v>1185</v>
      </c>
      <c r="B1688" s="255">
        <v>10</v>
      </c>
      <c r="C1688" s="10" t="s">
        <v>204</v>
      </c>
      <c r="D1688" s="10">
        <v>1</v>
      </c>
      <c r="E1688" s="10">
        <f>ROW('Equipment Schedules'!A$3)</f>
        <v>3</v>
      </c>
      <c r="F1688" s="10" t="s">
        <v>820</v>
      </c>
      <c r="G1688" s="10" t="s">
        <v>696</v>
      </c>
      <c r="H1688" s="10" t="str" cm="1">
        <f t="array" aca="1" ref="H1688" ca="1">IF(INDEX(I1688:Z1688,$H$1)=0,"",INDEX(I1688:Z1688,$H$1))</f>
        <v>Primary Reference</v>
      </c>
      <c r="I1688" s="10" t="s">
        <v>205</v>
      </c>
      <c r="J1688" s="10" t="s">
        <v>988</v>
      </c>
      <c r="K1688" s="27" t="s">
        <v>1743</v>
      </c>
    </row>
    <row r="1689" spans="1:12" x14ac:dyDescent="0.35">
      <c r="A1689" s="10" t="s">
        <v>1185</v>
      </c>
      <c r="B1689" s="255">
        <v>10</v>
      </c>
      <c r="C1689" s="10" t="s">
        <v>204</v>
      </c>
      <c r="D1689" s="10">
        <v>1</v>
      </c>
      <c r="E1689" s="10">
        <f>ROW('Equipment Schedules'!A$4)</f>
        <v>4</v>
      </c>
      <c r="F1689" s="10" t="s">
        <v>822</v>
      </c>
      <c r="G1689" s="10" t="s">
        <v>696</v>
      </c>
      <c r="H1689" s="10" t="str" cm="1">
        <f t="array" aca="1" ref="H1689" ca="1">IF(INDEX(I1689:Z1689,$H$1)=0,"",INDEX(I1689:Z1689,$H$1))</f>
        <v>Field</v>
      </c>
      <c r="I1689" s="10" t="s">
        <v>318</v>
      </c>
      <c r="J1689" s="10" t="s">
        <v>1232</v>
      </c>
      <c r="K1689" s="27" t="s">
        <v>1744</v>
      </c>
    </row>
    <row r="1690" spans="1:12" x14ac:dyDescent="0.35">
      <c r="A1690" s="10" t="s">
        <v>1185</v>
      </c>
      <c r="B1690" s="255">
        <v>10</v>
      </c>
      <c r="C1690" s="10" t="s">
        <v>204</v>
      </c>
      <c r="D1690" s="10">
        <v>1</v>
      </c>
      <c r="E1690" s="10">
        <f>ROW('Equipment Schedules'!A$4)</f>
        <v>4</v>
      </c>
      <c r="F1690" s="10" t="s">
        <v>38</v>
      </c>
      <c r="G1690" s="10" t="s">
        <v>696</v>
      </c>
      <c r="H1690" s="10" t="str" cm="1">
        <f t="array" aca="1" ref="H1690" ca="1">IF(INDEX(I1690:Z1690,$H$1)=0,"",INDEX(I1690:Z1690,$H$1))</f>
        <v>PRV</v>
      </c>
      <c r="I1690" s="10" t="s">
        <v>185</v>
      </c>
      <c r="J1690" s="10" t="s">
        <v>1299</v>
      </c>
      <c r="K1690" s="27" t="s">
        <v>185</v>
      </c>
    </row>
    <row r="1691" spans="1:12" x14ac:dyDescent="0.35">
      <c r="A1691" s="10" t="s">
        <v>1185</v>
      </c>
      <c r="B1691" s="255">
        <v>10</v>
      </c>
      <c r="C1691" s="10" t="s">
        <v>204</v>
      </c>
      <c r="D1691" s="10">
        <v>1</v>
      </c>
      <c r="E1691" s="10">
        <f>ROW('Equipment Schedules'!A$4)</f>
        <v>4</v>
      </c>
      <c r="F1691" s="10" t="s">
        <v>692</v>
      </c>
      <c r="G1691" s="10" t="s">
        <v>696</v>
      </c>
      <c r="H1691" s="10" t="str" cm="1">
        <f t="array" aca="1" ref="H1691" ca="1">IF(INDEX(I1691:Z1691,$H$1)=0,"",INDEX(I1691:Z1691,$H$1))</f>
        <v>OEL</v>
      </c>
      <c r="I1691" s="10" t="s">
        <v>186</v>
      </c>
      <c r="J1691" s="10" t="s">
        <v>1298</v>
      </c>
      <c r="K1691" s="27" t="s">
        <v>186</v>
      </c>
    </row>
    <row r="1692" spans="1:12" x14ac:dyDescent="0.35">
      <c r="A1692" s="10" t="s">
        <v>1185</v>
      </c>
      <c r="B1692" s="255">
        <v>10</v>
      </c>
      <c r="C1692" s="10" t="s">
        <v>204</v>
      </c>
      <c r="D1692" s="10">
        <v>1</v>
      </c>
      <c r="E1692" s="10">
        <f>ROW('Equipment Schedules'!A$4)</f>
        <v>4</v>
      </c>
      <c r="F1692" s="10" t="s">
        <v>711</v>
      </c>
      <c r="G1692" s="10" t="s">
        <v>696</v>
      </c>
      <c r="H1692" s="10" t="str" cm="1">
        <f t="array" aca="1" ref="H1692" ca="1">IF(INDEX(I1692:Z1692,$H$1)=0,"",INDEX(I1692:Z1692,$H$1))</f>
        <v>Unit Blowdown System</v>
      </c>
      <c r="I1692" s="10" t="s">
        <v>214</v>
      </c>
      <c r="J1692" s="10" t="s">
        <v>990</v>
      </c>
      <c r="K1692" s="27" t="s">
        <v>1745</v>
      </c>
      <c r="L1692" s="15"/>
    </row>
    <row r="1693" spans="1:12" x14ac:dyDescent="0.35">
      <c r="A1693" s="10" t="s">
        <v>1185</v>
      </c>
      <c r="B1693" s="255">
        <v>10</v>
      </c>
      <c r="C1693" s="10" t="s">
        <v>204</v>
      </c>
      <c r="D1693" s="10">
        <v>1</v>
      </c>
      <c r="E1693" s="10">
        <f>ROW('Equipment Schedules'!A$4)</f>
        <v>4</v>
      </c>
      <c r="F1693" s="10" t="s">
        <v>591</v>
      </c>
      <c r="G1693" s="10" t="s">
        <v>696</v>
      </c>
      <c r="H1693" s="10" t="str" cm="1">
        <f t="array" aca="1" ref="H1693" ca="1">IF(INDEX(I1693:Z1693,$H$1)=0,"",INDEX(I1693:Z1693,$H$1))</f>
        <v>Sampling Connections</v>
      </c>
      <c r="I1693" s="10" t="s">
        <v>162</v>
      </c>
      <c r="J1693" s="2" t="s">
        <v>860</v>
      </c>
      <c r="K1693" s="27" t="s">
        <v>1556</v>
      </c>
    </row>
    <row r="1694" spans="1:12" x14ac:dyDescent="0.35">
      <c r="A1694" s="10" t="s">
        <v>1185</v>
      </c>
      <c r="B1694" s="255">
        <v>10</v>
      </c>
      <c r="C1694" s="10" t="s">
        <v>204</v>
      </c>
      <c r="D1694" s="10">
        <v>1</v>
      </c>
      <c r="E1694" s="10">
        <f>ROW('Equipment Schedules'!A$4)</f>
        <v>4</v>
      </c>
      <c r="F1694" s="10" t="s">
        <v>712</v>
      </c>
      <c r="G1694" s="10" t="s">
        <v>696</v>
      </c>
      <c r="H1694" s="10" t="str" cm="1">
        <f t="array" aca="1" ref="H1694" ca="1">IF(INDEX(I1694:Z1694,$H$1)=0,"",INDEX(I1694:Z1694,$H$1))</f>
        <v>Process Drains</v>
      </c>
      <c r="I1694" s="10" t="s">
        <v>310</v>
      </c>
      <c r="J1694" s="10" t="s">
        <v>991</v>
      </c>
      <c r="K1694" s="27" t="s">
        <v>1746</v>
      </c>
    </row>
    <row r="1695" spans="1:12" x14ac:dyDescent="0.35">
      <c r="A1695" s="10" t="s">
        <v>1185</v>
      </c>
      <c r="B1695" s="255">
        <v>10</v>
      </c>
      <c r="C1695" s="10" t="s">
        <v>204</v>
      </c>
      <c r="D1695" s="10">
        <v>1</v>
      </c>
      <c r="E1695" s="10">
        <f>ROW('Equipment Schedules'!A$4)</f>
        <v>4</v>
      </c>
      <c r="F1695" s="10" t="s">
        <v>713</v>
      </c>
      <c r="G1695" s="10" t="s">
        <v>696</v>
      </c>
      <c r="H1695" s="10" t="str" cm="1">
        <f t="array" aca="1" ref="H1695" ca="1">IF(INDEX(I1695:Z1695,$H$1)=0,"",INDEX(I1695:Z1695,$H$1))</f>
        <v>Hydrocarbon Gas Service</v>
      </c>
      <c r="I1695" s="10" t="s">
        <v>302</v>
      </c>
      <c r="J1695" s="10" t="s">
        <v>992</v>
      </c>
      <c r="K1695" s="27" t="s">
        <v>1747</v>
      </c>
    </row>
    <row r="1696" spans="1:12" x14ac:dyDescent="0.35">
      <c r="A1696" s="10" t="s">
        <v>1185</v>
      </c>
      <c r="B1696" s="255">
        <v>10</v>
      </c>
      <c r="C1696" s="10" t="s">
        <v>204</v>
      </c>
      <c r="D1696" s="10">
        <v>1</v>
      </c>
      <c r="E1696" s="10">
        <f>ROW('Equipment Schedules'!A$4)</f>
        <v>4</v>
      </c>
      <c r="F1696" s="10" t="s">
        <v>817</v>
      </c>
      <c r="G1696" s="10" t="s">
        <v>696</v>
      </c>
      <c r="H1696" s="10" t="str" cm="1">
        <f t="array" aca="1" ref="H1696" ca="1">IF(INDEX(I1696:Z1696,$H$1)=0,"",INDEX(I1696:Z1696,$H$1))</f>
        <v>Hydrocarbon Liquid Service</v>
      </c>
      <c r="I1696" s="10" t="s">
        <v>301</v>
      </c>
      <c r="J1696" s="10" t="s">
        <v>993</v>
      </c>
      <c r="K1696" s="27" t="s">
        <v>1748</v>
      </c>
    </row>
    <row r="1697" spans="1:11" x14ac:dyDescent="0.35">
      <c r="A1697" s="10" t="s">
        <v>1185</v>
      </c>
      <c r="B1697" s="255">
        <v>10</v>
      </c>
      <c r="C1697" s="10" t="s">
        <v>204</v>
      </c>
      <c r="D1697" s="10">
        <v>1</v>
      </c>
      <c r="E1697" s="10">
        <f>ROW('Equipment Schedules'!A$4)</f>
        <v>4</v>
      </c>
      <c r="F1697" s="10" t="s">
        <v>819</v>
      </c>
      <c r="G1697" s="10" t="s">
        <v>696</v>
      </c>
      <c r="H1697" s="10" t="str" cm="1">
        <f t="array" aca="1" ref="H1697" ca="1">IF(INDEX(I1697:Z1697,$H$1)=0,"",INDEX(I1697:Z1697,$H$1))</f>
        <v>Count</v>
      </c>
      <c r="I1697" s="10" t="s">
        <v>336</v>
      </c>
      <c r="J1697" s="10" t="s">
        <v>994</v>
      </c>
      <c r="K1697" s="27" t="s">
        <v>1436</v>
      </c>
    </row>
    <row r="1698" spans="1:11" x14ac:dyDescent="0.35">
      <c r="A1698" s="10" t="s">
        <v>1185</v>
      </c>
      <c r="B1698" s="255">
        <v>10</v>
      </c>
      <c r="C1698" s="10" t="s">
        <v>204</v>
      </c>
      <c r="D1698" s="10">
        <v>1</v>
      </c>
      <c r="E1698" s="10">
        <f>ROW('Equipment Schedules'!A$5)</f>
        <v>5</v>
      </c>
      <c r="F1698" s="10" t="s">
        <v>692</v>
      </c>
      <c r="G1698" s="10" t="s">
        <v>696</v>
      </c>
      <c r="H1698" s="10" t="str" cm="1">
        <f t="array" aca="1" ref="H1698" ca="1">IF(INDEX(I1698:Z1698,$H$1)=0,"",INDEX(I1698:Z1698,$H$1))</f>
        <v>Gas</v>
      </c>
      <c r="I1698" s="10" t="s">
        <v>154</v>
      </c>
      <c r="J1698" s="10" t="s">
        <v>864</v>
      </c>
      <c r="K1698" s="27" t="s">
        <v>154</v>
      </c>
    </row>
    <row r="1699" spans="1:11" x14ac:dyDescent="0.35">
      <c r="A1699" s="10" t="s">
        <v>1185</v>
      </c>
      <c r="B1699" s="255">
        <v>10</v>
      </c>
      <c r="C1699" s="10" t="s">
        <v>204</v>
      </c>
      <c r="D1699" s="10">
        <v>1</v>
      </c>
      <c r="E1699" s="10">
        <f>ROW('Equipment Schedules'!A$5)</f>
        <v>5</v>
      </c>
      <c r="F1699" s="10" t="s">
        <v>693</v>
      </c>
      <c r="G1699" s="10" t="s">
        <v>696</v>
      </c>
      <c r="H1699" s="10" t="str" cm="1">
        <f t="array" aca="1" ref="H1699" ca="1">IF(INDEX(I1699:Z1699,$H$1)=0,"",INDEX(I1699:Z1699,$H$1))</f>
        <v>Light Liquid</v>
      </c>
      <c r="I1699" s="10" t="s">
        <v>155</v>
      </c>
      <c r="J1699" s="10" t="s">
        <v>995</v>
      </c>
      <c r="K1699" s="27" t="s">
        <v>1540</v>
      </c>
    </row>
    <row r="1700" spans="1:11" x14ac:dyDescent="0.35">
      <c r="A1700" s="10" t="s">
        <v>1185</v>
      </c>
      <c r="B1700" s="255">
        <v>10</v>
      </c>
      <c r="C1700" s="10" t="s">
        <v>204</v>
      </c>
      <c r="D1700" s="10">
        <v>1</v>
      </c>
      <c r="E1700" s="10">
        <f>ROW('Equipment Schedules'!A$5)</f>
        <v>5</v>
      </c>
      <c r="F1700" s="10" t="s">
        <v>694</v>
      </c>
      <c r="G1700" s="10" t="s">
        <v>696</v>
      </c>
      <c r="H1700" s="10" t="str" cm="1">
        <f t="array" aca="1" ref="H1700" ca="1">IF(INDEX(I1700:Z1700,$H$1)=0,"",INDEX(I1700:Z1700,$H$1))</f>
        <v>Heavy Liquid</v>
      </c>
      <c r="I1700" s="10" t="s">
        <v>156</v>
      </c>
      <c r="J1700" s="10" t="s">
        <v>996</v>
      </c>
      <c r="K1700" s="27" t="s">
        <v>1541</v>
      </c>
    </row>
    <row r="1701" spans="1:11" x14ac:dyDescent="0.35">
      <c r="A1701" s="10" t="s">
        <v>1185</v>
      </c>
      <c r="B1701" s="255">
        <v>10</v>
      </c>
      <c r="C1701" s="10" t="s">
        <v>204</v>
      </c>
      <c r="D1701" s="10">
        <v>1</v>
      </c>
      <c r="E1701" s="10">
        <f>ROW('Equipment Schedules'!A$5)</f>
        <v>5</v>
      </c>
      <c r="F1701" s="10" t="s">
        <v>713</v>
      </c>
      <c r="G1701" s="10" t="s">
        <v>696</v>
      </c>
      <c r="H1701" s="10" t="str" cm="1">
        <f t="array" aca="1" ref="H1701" ca="1">IF(INDEX(I1701:Z1701,$H$1)=0,"",INDEX(I1701:Z1701,$H$1))</f>
        <v>Valves</v>
      </c>
      <c r="I1701" s="10" t="s">
        <v>153</v>
      </c>
      <c r="J1701" s="10" t="s">
        <v>852</v>
      </c>
      <c r="K1701" s="27" t="s">
        <v>1539</v>
      </c>
    </row>
    <row r="1702" spans="1:11" x14ac:dyDescent="0.35">
      <c r="A1702" s="10" t="s">
        <v>1185</v>
      </c>
      <c r="B1702" s="255">
        <v>10</v>
      </c>
      <c r="C1702" s="10" t="s">
        <v>204</v>
      </c>
      <c r="D1702" s="10">
        <v>1</v>
      </c>
      <c r="E1702" s="10">
        <f>ROW('Equipment Schedules'!A$5)</f>
        <v>5</v>
      </c>
      <c r="F1702" s="10" t="s">
        <v>772</v>
      </c>
      <c r="G1702" s="10" t="s">
        <v>696</v>
      </c>
      <c r="H1702" s="10" t="str" cm="1">
        <f t="array" aca="1" ref="H1702" ca="1">IF(INDEX(I1702:Z1702,$H$1)=0,"",INDEX(I1702:Z1702,$H$1))</f>
        <v>Block Valves</v>
      </c>
      <c r="I1702" s="10" t="s">
        <v>303</v>
      </c>
      <c r="J1702" s="10" t="s">
        <v>997</v>
      </c>
      <c r="K1702" s="27" t="s">
        <v>1749</v>
      </c>
    </row>
    <row r="1703" spans="1:11" x14ac:dyDescent="0.35">
      <c r="A1703" s="10" t="s">
        <v>1185</v>
      </c>
      <c r="B1703" s="255">
        <v>10</v>
      </c>
      <c r="C1703" s="10" t="s">
        <v>204</v>
      </c>
      <c r="D1703" s="10">
        <v>1</v>
      </c>
      <c r="E1703" s="10">
        <f>ROW('Equipment Schedules'!A$5)</f>
        <v>5</v>
      </c>
      <c r="F1703" s="10" t="s">
        <v>773</v>
      </c>
      <c r="G1703" s="10" t="s">
        <v>696</v>
      </c>
      <c r="H1703" s="10" t="str" cm="1">
        <f t="array" aca="1" ref="H1703" ca="1">IF(INDEX(I1703:Z1703,$H$1)=0,"",INDEX(I1703:Z1703,$H$1))</f>
        <v>Control Valves</v>
      </c>
      <c r="I1703" s="10" t="s">
        <v>304</v>
      </c>
      <c r="J1703" s="10" t="s">
        <v>998</v>
      </c>
      <c r="K1703" s="27" t="s">
        <v>1750</v>
      </c>
    </row>
    <row r="1704" spans="1:11" x14ac:dyDescent="0.35">
      <c r="A1704" s="10" t="s">
        <v>1185</v>
      </c>
      <c r="B1704" s="255">
        <v>10</v>
      </c>
      <c r="C1704" s="10" t="s">
        <v>204</v>
      </c>
      <c r="D1704" s="10">
        <v>1</v>
      </c>
      <c r="E1704" s="10">
        <f>ROW('Equipment Schedules'!A$5)</f>
        <v>5</v>
      </c>
      <c r="F1704" s="10" t="s">
        <v>771</v>
      </c>
      <c r="G1704" s="10" t="s">
        <v>696</v>
      </c>
      <c r="H1704" s="10" t="str" cm="1">
        <f t="array" aca="1" ref="H1704" ca="1">IF(INDEX(I1704:Z1704,$H$1)=0,"",INDEX(I1704:Z1704,$H$1))</f>
        <v>Connector</v>
      </c>
      <c r="I1704" s="10" t="s">
        <v>201</v>
      </c>
      <c r="J1704" s="10" t="s">
        <v>858</v>
      </c>
      <c r="K1704" s="27" t="s">
        <v>1751</v>
      </c>
    </row>
    <row r="1705" spans="1:11" x14ac:dyDescent="0.35">
      <c r="A1705" s="10" t="s">
        <v>1185</v>
      </c>
      <c r="B1705" s="255">
        <v>10</v>
      </c>
      <c r="C1705" s="10" t="s">
        <v>204</v>
      </c>
      <c r="D1705" s="10">
        <v>1</v>
      </c>
      <c r="E1705" s="10">
        <f>ROW('Equipment Schedules'!A$5)</f>
        <v>5</v>
      </c>
      <c r="F1705" s="10" t="s">
        <v>593</v>
      </c>
      <c r="G1705" s="10" t="s">
        <v>696</v>
      </c>
      <c r="H1705" s="10" t="str" cm="1">
        <f t="array" aca="1" ref="H1705" ca="1">IF(INDEX(I1705:Z1705,$H$1)=0,"",INDEX(I1705:Z1705,$H$1))</f>
        <v>Regulator</v>
      </c>
      <c r="I1705" s="10" t="s">
        <v>202</v>
      </c>
      <c r="J1705" s="10" t="s">
        <v>999</v>
      </c>
      <c r="K1705" s="27" t="s">
        <v>1752</v>
      </c>
    </row>
    <row r="1706" spans="1:11" x14ac:dyDescent="0.35">
      <c r="A1706" s="10" t="s">
        <v>1185</v>
      </c>
      <c r="B1706" s="255">
        <v>10</v>
      </c>
      <c r="C1706" s="10" t="s">
        <v>204</v>
      </c>
      <c r="D1706" s="10">
        <v>1</v>
      </c>
      <c r="E1706" s="10">
        <f>ROW('Equipment Schedules'!A$5)</f>
        <v>5</v>
      </c>
      <c r="F1706" s="10" t="s">
        <v>594</v>
      </c>
      <c r="G1706" s="10" t="s">
        <v>696</v>
      </c>
      <c r="H1706" s="10" t="str" cm="1">
        <f t="array" aca="1" ref="H1706" ca="1">IF(INDEX(I1706:Z1706,$H$1)=0,"",INDEX(I1706:Z1706,$H$1))</f>
        <v>Compressor Seal (Reciprocating)</v>
      </c>
      <c r="I1706" s="10" t="s">
        <v>213</v>
      </c>
      <c r="J1706" s="10" t="s">
        <v>1000</v>
      </c>
      <c r="K1706" s="27" t="s">
        <v>1753</v>
      </c>
    </row>
    <row r="1707" spans="1:11" x14ac:dyDescent="0.35">
      <c r="A1707" s="10" t="s">
        <v>1185</v>
      </c>
      <c r="B1707" s="255">
        <v>10</v>
      </c>
      <c r="C1707" s="10" t="s">
        <v>204</v>
      </c>
      <c r="D1707" s="10">
        <v>1</v>
      </c>
      <c r="E1707" s="10">
        <f>ROW('Equipment Schedules'!A$5)</f>
        <v>5</v>
      </c>
      <c r="F1707" s="10" t="s">
        <v>594</v>
      </c>
      <c r="G1707" s="10" t="s">
        <v>696</v>
      </c>
      <c r="H1707" s="10" t="str" cm="1">
        <f t="array" aca="1" ref="H1707" ca="1">IF(INDEX(I1707:Z1707,$H$1)=0,"",INDEX(I1707:Z1707,$H$1))</f>
        <v>Compressor Seal (Wet) (Centrifugal)</v>
      </c>
      <c r="I1707" s="10" t="s">
        <v>3242</v>
      </c>
      <c r="J1707" s="10" t="s">
        <v>3244</v>
      </c>
      <c r="K1707" s="27" t="s">
        <v>3245</v>
      </c>
    </row>
    <row r="1708" spans="1:11" x14ac:dyDescent="0.35">
      <c r="A1708" s="10" t="s">
        <v>1185</v>
      </c>
      <c r="B1708" s="255">
        <v>10</v>
      </c>
      <c r="C1708" s="10" t="s">
        <v>204</v>
      </c>
      <c r="D1708" s="10">
        <v>1</v>
      </c>
      <c r="E1708" s="10">
        <f>ROW('Equipment Schedules'!A$5)</f>
        <v>5</v>
      </c>
      <c r="F1708" s="10" t="s">
        <v>594</v>
      </c>
      <c r="G1708" s="10" t="s">
        <v>696</v>
      </c>
      <c r="H1708" s="10" t="str" cm="1">
        <f t="array" aca="1" ref="H1708" ca="1">IF(INDEX(I1708:Z1708,$H$1)=0,"",INDEX(I1708:Z1708,$H$1))</f>
        <v>Compressor (Dry) Seal (Centrifugal)</v>
      </c>
      <c r="I1708" s="10" t="s">
        <v>3243</v>
      </c>
      <c r="J1708" s="10" t="s">
        <v>3247</v>
      </c>
      <c r="K1708" s="27" t="s">
        <v>3246</v>
      </c>
    </row>
    <row r="1709" spans="1:11" x14ac:dyDescent="0.35">
      <c r="A1709" s="10" t="s">
        <v>1185</v>
      </c>
      <c r="B1709" s="255">
        <v>10</v>
      </c>
      <c r="C1709" s="10" t="s">
        <v>204</v>
      </c>
      <c r="D1709" s="10">
        <v>1</v>
      </c>
      <c r="E1709" s="10">
        <f>ROW('Equipment Schedules'!A$5)</f>
        <v>5</v>
      </c>
      <c r="F1709" s="10" t="s">
        <v>775</v>
      </c>
      <c r="G1709" s="10" t="s">
        <v>696</v>
      </c>
      <c r="H1709" s="10" t="str" cm="1">
        <f t="array" aca="1" ref="H1709" ca="1">IF(INDEX(I1709:Z1709,$H$1)=0,"",INDEX(I1709:Z1709,$H$1))</f>
        <v>Compressor Seal (Centrifugal)</v>
      </c>
      <c r="I1709" s="10" t="s">
        <v>212</v>
      </c>
      <c r="J1709" s="10" t="s">
        <v>1001</v>
      </c>
      <c r="K1709" s="27" t="s">
        <v>1754</v>
      </c>
    </row>
    <row r="1710" spans="1:11" x14ac:dyDescent="0.35">
      <c r="A1710" s="10" t="s">
        <v>1185</v>
      </c>
      <c r="B1710" s="255">
        <v>10</v>
      </c>
      <c r="C1710" s="10" t="s">
        <v>204</v>
      </c>
      <c r="D1710" s="10">
        <v>1</v>
      </c>
      <c r="E1710" s="10">
        <f>ROW('Equipment Schedules'!A$5)</f>
        <v>5</v>
      </c>
      <c r="F1710" s="10" t="s">
        <v>777</v>
      </c>
      <c r="G1710" s="10" t="s">
        <v>696</v>
      </c>
      <c r="H1710" s="10" t="str" cm="1">
        <f t="array" aca="1" ref="H1710" ca="1">IF(INDEX(I1710:Z1710,$H$1)=0,"",INDEX(I1710:Z1710,$H$1))</f>
        <v>Crankcase Vent (Reciprocating Compressor)</v>
      </c>
      <c r="I1710" s="10" t="s">
        <v>311</v>
      </c>
      <c r="J1710" s="10" t="s">
        <v>1002</v>
      </c>
      <c r="K1710" s="27" t="s">
        <v>1755</v>
      </c>
    </row>
    <row r="1711" spans="1:11" x14ac:dyDescent="0.35">
      <c r="A1711" s="10" t="s">
        <v>1185</v>
      </c>
      <c r="B1711" s="255">
        <v>10</v>
      </c>
      <c r="C1711" s="10" t="s">
        <v>204</v>
      </c>
      <c r="D1711" s="10">
        <v>1</v>
      </c>
      <c r="E1711" s="10">
        <f>ROW('Equipment Schedules'!A$5)</f>
        <v>5</v>
      </c>
      <c r="F1711" s="10" t="s">
        <v>718</v>
      </c>
      <c r="G1711" s="10" t="s">
        <v>696</v>
      </c>
      <c r="H1711" s="10" t="str" cm="1">
        <f t="array" aca="1" ref="H1711" ca="1">IF(INDEX(I1711:Z1711,$H$1)=0,"",INDEX(I1711:Z1711,$H$1))</f>
        <v>Flow Meter (Orifice)</v>
      </c>
      <c r="I1711" s="10" t="s">
        <v>209</v>
      </c>
      <c r="J1711" s="10" t="s">
        <v>1239</v>
      </c>
      <c r="K1711" s="27" t="s">
        <v>1756</v>
      </c>
    </row>
    <row r="1712" spans="1:11" x14ac:dyDescent="0.35">
      <c r="A1712" s="10" t="s">
        <v>1185</v>
      </c>
      <c r="B1712" s="255">
        <v>10</v>
      </c>
      <c r="C1712" s="10" t="s">
        <v>204</v>
      </c>
      <c r="D1712" s="10">
        <v>1</v>
      </c>
      <c r="E1712" s="10">
        <f>ROW('Equipment Schedules'!A$5)</f>
        <v>5</v>
      </c>
      <c r="F1712" s="10" t="s">
        <v>592</v>
      </c>
      <c r="G1712" s="10" t="s">
        <v>696</v>
      </c>
      <c r="H1712" s="10" t="str" cm="1">
        <f t="array" aca="1" ref="H1712" ca="1">IF(INDEX(I1712:Z1712,$H$1)=0,"",INDEX(I1712:Z1712,$H$1))</f>
        <v>Flow Meter (Other)</v>
      </c>
      <c r="I1712" s="10" t="s">
        <v>210</v>
      </c>
      <c r="J1712" s="10" t="s">
        <v>861</v>
      </c>
      <c r="K1712" s="27" t="s">
        <v>1757</v>
      </c>
    </row>
    <row r="1713" spans="1:11" x14ac:dyDescent="0.35">
      <c r="A1713" s="10" t="s">
        <v>1185</v>
      </c>
      <c r="B1713" s="255">
        <v>10</v>
      </c>
      <c r="C1713" s="10" t="s">
        <v>204</v>
      </c>
      <c r="D1713" s="10">
        <v>1</v>
      </c>
      <c r="E1713" s="10">
        <f>ROW('Equipment Schedules'!A$5)</f>
        <v>5</v>
      </c>
      <c r="F1713" s="10" t="s">
        <v>816</v>
      </c>
      <c r="G1713" s="10" t="s">
        <v>696</v>
      </c>
      <c r="H1713" s="10" t="str" cm="1">
        <f t="array" aca="1" ref="H1713" ca="1">IF(INDEX(I1713:Z1713,$H$1)=0,"",INDEX(I1713:Z1713,$H$1))</f>
        <v>Instrument Controllers</v>
      </c>
      <c r="I1713" s="10" t="s">
        <v>203</v>
      </c>
      <c r="J1713" s="10" t="s">
        <v>1003</v>
      </c>
      <c r="K1713" s="27" t="s">
        <v>1758</v>
      </c>
    </row>
    <row r="1714" spans="1:11" x14ac:dyDescent="0.35">
      <c r="A1714" s="10" t="s">
        <v>1185</v>
      </c>
      <c r="B1714" s="255">
        <v>10</v>
      </c>
      <c r="C1714" s="10" t="s">
        <v>204</v>
      </c>
      <c r="D1714" s="10">
        <v>1</v>
      </c>
      <c r="E1714" s="10">
        <f>ROW('Equipment Schedules'!A$5)</f>
        <v>5</v>
      </c>
      <c r="F1714" s="10" t="s">
        <v>817</v>
      </c>
      <c r="G1714" s="10" t="s">
        <v>696</v>
      </c>
      <c r="H1714" s="10" t="str" cm="1">
        <f t="array" aca="1" ref="H1714" ca="1">IF(INDEX(I1714:Z1714,$H$1)=0,"",INDEX(I1714:Z1714,$H$1))</f>
        <v>Valve</v>
      </c>
      <c r="I1714" s="10" t="s">
        <v>200</v>
      </c>
      <c r="J1714" s="10" t="s">
        <v>852</v>
      </c>
      <c r="K1714" s="27" t="s">
        <v>1759</v>
      </c>
    </row>
    <row r="1715" spans="1:11" x14ac:dyDescent="0.35">
      <c r="A1715" s="10" t="s">
        <v>1185</v>
      </c>
      <c r="B1715" s="255">
        <v>10</v>
      </c>
      <c r="C1715" s="10" t="s">
        <v>204</v>
      </c>
      <c r="D1715" s="10">
        <v>1</v>
      </c>
      <c r="E1715" s="10">
        <f>ROW('Equipment Schedules'!A$5)</f>
        <v>5</v>
      </c>
      <c r="F1715" s="10" t="s">
        <v>390</v>
      </c>
      <c r="G1715" s="10" t="s">
        <v>696</v>
      </c>
      <c r="H1715" s="10" t="str" cm="1">
        <f t="array" aca="1" ref="H1715" ca="1">IF(INDEX(I1715:Z1715,$H$1)=0,"",INDEX(I1715:Z1715,$H$1))</f>
        <v>Connector</v>
      </c>
      <c r="I1715" s="10" t="s">
        <v>201</v>
      </c>
      <c r="J1715" s="10" t="s">
        <v>858</v>
      </c>
      <c r="K1715" s="27" t="s">
        <v>1751</v>
      </c>
    </row>
    <row r="1716" spans="1:11" x14ac:dyDescent="0.35">
      <c r="A1716" s="10" t="s">
        <v>1185</v>
      </c>
      <c r="B1716" s="255">
        <v>10</v>
      </c>
      <c r="C1716" s="10" t="s">
        <v>204</v>
      </c>
      <c r="D1716" s="10">
        <v>1</v>
      </c>
      <c r="E1716" s="10">
        <f>ROW('Equipment Schedules'!A$5)</f>
        <v>5</v>
      </c>
      <c r="F1716" s="10" t="s">
        <v>818</v>
      </c>
      <c r="G1716" s="10" t="s">
        <v>696</v>
      </c>
      <c r="H1716" s="10" t="str" cm="1">
        <f t="array" aca="1" ref="H1716" ca="1">IF(INDEX(I1716:Z1716,$H$1)=0,"",INDEX(I1716:Z1716,$H$1))</f>
        <v>Pump Seals</v>
      </c>
      <c r="I1716" s="10" t="s">
        <v>157</v>
      </c>
      <c r="J1716" s="10" t="s">
        <v>1004</v>
      </c>
      <c r="K1716" s="27" t="s">
        <v>1544</v>
      </c>
    </row>
    <row r="1717" spans="1:11" x14ac:dyDescent="0.35">
      <c r="A1717" s="10" t="s">
        <v>1185</v>
      </c>
      <c r="B1717" s="255">
        <v>10</v>
      </c>
      <c r="C1717" s="10" t="s">
        <v>204</v>
      </c>
      <c r="D1717" s="10">
        <v>1</v>
      </c>
      <c r="E1717" s="10">
        <f>ROW('Equipment Schedules'!A$94)</f>
        <v>94</v>
      </c>
      <c r="F1717" s="10" t="s">
        <v>687</v>
      </c>
      <c r="G1717" s="10" t="s">
        <v>767</v>
      </c>
      <c r="H1717" s="10" t="str" cm="1">
        <f t="array" aca="1" ref="H1717" ca="1">IF(INDEX(I1717:Z1717,$H$1)=0,"",INDEX(I1717:Z1717,$H$1))</f>
        <v>Offshore Oil Production</v>
      </c>
      <c r="I1717" s="2" t="s">
        <v>3309</v>
      </c>
      <c r="J1717" s="10"/>
      <c r="K1717" s="27"/>
    </row>
    <row r="1718" spans="1:11" x14ac:dyDescent="0.35">
      <c r="A1718" s="10" t="s">
        <v>1185</v>
      </c>
      <c r="B1718" s="255">
        <v>11</v>
      </c>
      <c r="C1718" s="10" t="s">
        <v>204</v>
      </c>
      <c r="D1718" s="10">
        <v>2</v>
      </c>
      <c r="E1718" s="10">
        <f>ROW('Equipment Schedules'!A$94)</f>
        <v>94</v>
      </c>
      <c r="F1718" s="10" t="s">
        <v>687</v>
      </c>
      <c r="G1718" s="10" t="s">
        <v>767</v>
      </c>
      <c r="H1718" s="10" t="str" cm="1">
        <f t="array" aca="1" ref="H1718" ca="1">IF(INDEX(I1718:Z1718,$H$1)=0,"",INDEX(I1718:Z1718,$H$1))</f>
        <v>Offshore Gas Production</v>
      </c>
      <c r="I1718" s="2" t="s">
        <v>3310</v>
      </c>
      <c r="J1718" s="10"/>
      <c r="K1718" s="27"/>
    </row>
    <row r="1719" spans="1:11" x14ac:dyDescent="0.35">
      <c r="A1719" s="10" t="s">
        <v>1185</v>
      </c>
      <c r="B1719" s="255">
        <v>12</v>
      </c>
      <c r="C1719" s="10" t="s">
        <v>204</v>
      </c>
      <c r="D1719" s="10">
        <v>3</v>
      </c>
      <c r="E1719" s="10">
        <f>ROW('Equipment Schedules'!A$94)</f>
        <v>94</v>
      </c>
      <c r="F1719" s="10" t="s">
        <v>687</v>
      </c>
      <c r="G1719" s="10" t="s">
        <v>767</v>
      </c>
      <c r="H1719" s="10" t="str" cm="1">
        <f t="array" aca="1" ref="H1719" ca="1">IF(INDEX(I1719:Z1719,$H$1)=0,"",INDEX(I1719:Z1719,$H$1))</f>
        <v>Onshore Oil Production</v>
      </c>
      <c r="I1719" s="2" t="s">
        <v>3311</v>
      </c>
      <c r="J1719" s="10"/>
      <c r="K1719" s="27"/>
    </row>
    <row r="1720" spans="1:11" x14ac:dyDescent="0.35">
      <c r="A1720" s="10" t="s">
        <v>1185</v>
      </c>
      <c r="B1720" s="255">
        <v>13</v>
      </c>
      <c r="C1720" s="10" t="s">
        <v>204</v>
      </c>
      <c r="D1720" s="10">
        <v>4</v>
      </c>
      <c r="E1720" s="10">
        <f>ROW('Equipment Schedules'!A$94)</f>
        <v>94</v>
      </c>
      <c r="F1720" s="10" t="s">
        <v>687</v>
      </c>
      <c r="G1720" s="10" t="s">
        <v>767</v>
      </c>
      <c r="H1720" s="10" t="str" cm="1">
        <f t="array" aca="1" ref="H1720" ca="1">IF(INDEX(I1720:Z1720,$H$1)=0,"",INDEX(I1720:Z1720,$H$1))</f>
        <v>Onshore Gas Production</v>
      </c>
      <c r="I1720" s="2" t="s">
        <v>3312</v>
      </c>
      <c r="J1720" s="10"/>
      <c r="K1720" s="27"/>
    </row>
    <row r="1721" spans="1:11" x14ac:dyDescent="0.35">
      <c r="A1721" s="10" t="s">
        <v>1185</v>
      </c>
      <c r="B1721" s="255">
        <v>14</v>
      </c>
      <c r="C1721" s="10" t="s">
        <v>204</v>
      </c>
      <c r="D1721" s="10">
        <v>5</v>
      </c>
      <c r="E1721" s="10">
        <f>ROW('Equipment Schedules'!A$94)</f>
        <v>94</v>
      </c>
      <c r="F1721" s="10" t="s">
        <v>687</v>
      </c>
      <c r="G1721" s="10" t="s">
        <v>767</v>
      </c>
      <c r="H1721" s="10" t="str" cm="1">
        <f t="array" aca="1" ref="H1721" ca="1">IF(INDEX(I1721:Z1721,$H$1)=0,"",INDEX(I1721:Z1721,$H$1))</f>
        <v>Gas Processing</v>
      </c>
      <c r="I1721" s="2" t="s">
        <v>31</v>
      </c>
      <c r="J1721" s="10"/>
      <c r="K1721" s="27"/>
    </row>
    <row r="1722" spans="1:11" x14ac:dyDescent="0.35">
      <c r="A1722" s="10" t="s">
        <v>1185</v>
      </c>
      <c r="B1722" s="255">
        <v>15</v>
      </c>
      <c r="C1722" s="10" t="s">
        <v>204</v>
      </c>
      <c r="D1722" s="10">
        <v>6</v>
      </c>
      <c r="E1722" s="10">
        <f>ROW('Equipment Schedules'!A$94)</f>
        <v>94</v>
      </c>
      <c r="F1722" s="10" t="s">
        <v>687</v>
      </c>
      <c r="G1722" s="10" t="s">
        <v>767</v>
      </c>
      <c r="H1722" s="10" t="str" cm="1">
        <f t="array" aca="1" ref="H1722" ca="1">IF(INDEX(I1722:Z1722,$H$1)=0,"",INDEX(I1722:Z1722,$H$1))</f>
        <v>Gas Transmission</v>
      </c>
      <c r="I1722" s="2" t="s">
        <v>32</v>
      </c>
      <c r="J1722" s="10"/>
      <c r="K1722" s="27"/>
    </row>
    <row r="1723" spans="1:11" x14ac:dyDescent="0.35">
      <c r="A1723" s="10" t="s">
        <v>1185</v>
      </c>
      <c r="B1723" s="255">
        <v>16</v>
      </c>
      <c r="C1723" s="10" t="s">
        <v>204</v>
      </c>
      <c r="D1723" s="10">
        <v>7</v>
      </c>
      <c r="E1723" s="10">
        <f>ROW('Equipment Schedules'!A$94)</f>
        <v>94</v>
      </c>
      <c r="F1723" s="10" t="s">
        <v>687</v>
      </c>
      <c r="G1723" s="10" t="s">
        <v>767</v>
      </c>
      <c r="H1723" s="10" t="str" cm="1">
        <f t="array" aca="1" ref="H1723" ca="1">IF(INDEX(I1723:Z1723,$H$1)=0,"",INDEX(I1723:Z1723,$H$1))</f>
        <v>Gas Storage</v>
      </c>
      <c r="I1723" s="2" t="s">
        <v>33</v>
      </c>
      <c r="J1723" s="10"/>
      <c r="K1723" s="27"/>
    </row>
    <row r="1724" spans="1:11" x14ac:dyDescent="0.35">
      <c r="A1724" s="10" t="s">
        <v>1185</v>
      </c>
      <c r="B1724" s="255">
        <v>17</v>
      </c>
      <c r="C1724" s="10" t="s">
        <v>204</v>
      </c>
      <c r="D1724" s="10">
        <v>8</v>
      </c>
      <c r="E1724" s="10">
        <f>ROW('Equipment Schedules'!A$94)</f>
        <v>94</v>
      </c>
      <c r="F1724" s="10" t="s">
        <v>687</v>
      </c>
      <c r="G1724" s="10" t="s">
        <v>767</v>
      </c>
      <c r="H1724" s="10" t="str" cm="1">
        <f t="array" aca="1" ref="H1724" ca="1">IF(INDEX(I1724:Z1724,$H$1)=0,"",INDEX(I1724:Z1724,$H$1))</f>
        <v>Gas Distribution</v>
      </c>
      <c r="I1724" s="2" t="s">
        <v>34</v>
      </c>
      <c r="J1724" s="10"/>
      <c r="K1724" s="27"/>
    </row>
    <row r="1725" spans="1:11" x14ac:dyDescent="0.35">
      <c r="A1725" s="10" t="s">
        <v>1185</v>
      </c>
      <c r="B1725" s="255">
        <v>18</v>
      </c>
      <c r="C1725" s="10" t="s">
        <v>204</v>
      </c>
      <c r="D1725" s="10">
        <v>9</v>
      </c>
      <c r="E1725" s="10">
        <f>ROW('Equipment Schedules'!A$94)</f>
        <v>94</v>
      </c>
      <c r="F1725" s="10" t="s">
        <v>687</v>
      </c>
      <c r="G1725" s="10" t="s">
        <v>767</v>
      </c>
      <c r="H1725" s="10" t="str" cm="1">
        <f t="array" aca="1" ref="H1725" ca="1">IF(INDEX(I1725:Z1725,$H$1)=0,"",INDEX(I1725:Z1725,$H$1))</f>
        <v>Petroleum Refining</v>
      </c>
      <c r="I1725" s="2" t="s">
        <v>3337</v>
      </c>
      <c r="J1725" s="10"/>
      <c r="K1725" s="27"/>
    </row>
    <row r="1726" spans="1:11" x14ac:dyDescent="0.35">
      <c r="A1726" s="10" t="s">
        <v>1185</v>
      </c>
      <c r="B1726" s="255">
        <v>10</v>
      </c>
      <c r="C1726" s="10" t="s">
        <v>204</v>
      </c>
      <c r="D1726" s="10">
        <v>1</v>
      </c>
      <c r="E1726" s="10">
        <v>6</v>
      </c>
      <c r="F1726" s="10" t="s">
        <v>690</v>
      </c>
      <c r="G1726" s="10" t="s">
        <v>695</v>
      </c>
      <c r="H1726" s="10" t="str" cm="1">
        <f t="array" aca="1" ref="H1726" ca="1">IF(INDEX(I1726:Z1726,$H$1)=0,"",INDEX(I1726:Z1726,$H$1))</f>
        <v>Blowdown System: Generic (Pit or Vent)</v>
      </c>
      <c r="I1726" s="17" t="s">
        <v>2374</v>
      </c>
      <c r="J1726" s="17" t="s">
        <v>2374</v>
      </c>
      <c r="K1726" s="17" t="s">
        <v>2374</v>
      </c>
    </row>
    <row r="1727" spans="1:11" x14ac:dyDescent="0.35">
      <c r="A1727" s="10" t="s">
        <v>1185</v>
      </c>
      <c r="B1727" s="255">
        <v>10</v>
      </c>
      <c r="C1727" s="10" t="s">
        <v>204</v>
      </c>
      <c r="D1727" s="10">
        <v>1</v>
      </c>
      <c r="E1727" s="10">
        <v>7</v>
      </c>
      <c r="F1727" s="10" t="s">
        <v>690</v>
      </c>
      <c r="G1727" s="10" t="s">
        <v>695</v>
      </c>
      <c r="H1727" s="10" t="str" cm="1">
        <f t="array" aca="1" ref="H1727" ca="1">IF(INDEX(I1727:Z1727,$H$1)=0,"",INDEX(I1727:Z1727,$H$1))</f>
        <v>Aerial Cooler: Natural Gas Service</v>
      </c>
      <c r="I1727" s="17" t="s">
        <v>3396</v>
      </c>
      <c r="J1727" s="17" t="s">
        <v>3396</v>
      </c>
      <c r="K1727" s="17" t="s">
        <v>3396</v>
      </c>
    </row>
    <row r="1728" spans="1:11" x14ac:dyDescent="0.35">
      <c r="A1728" s="10" t="s">
        <v>1185</v>
      </c>
      <c r="B1728" s="255">
        <v>10</v>
      </c>
      <c r="C1728" s="10" t="s">
        <v>204</v>
      </c>
      <c r="D1728" s="10">
        <v>1</v>
      </c>
      <c r="E1728" s="10">
        <v>8</v>
      </c>
      <c r="F1728" s="10" t="s">
        <v>690</v>
      </c>
      <c r="G1728" s="10" t="s">
        <v>695</v>
      </c>
      <c r="H1728" s="10" t="str" cm="1">
        <f t="array" aca="1" ref="H1728" ca="1">IF(INDEX(I1728:Z1728,$H$1)=0,"",INDEX(I1728:Z1728,$H$1))</f>
        <v>Aerial Cooler: Hydrocarbon Liquid Service</v>
      </c>
      <c r="I1728" s="17" t="s">
        <v>3403</v>
      </c>
      <c r="J1728" s="17" t="s">
        <v>3403</v>
      </c>
      <c r="K1728" s="17" t="s">
        <v>3403</v>
      </c>
    </row>
    <row r="1729" spans="1:11" x14ac:dyDescent="0.35">
      <c r="A1729" s="10" t="s">
        <v>1185</v>
      </c>
      <c r="B1729" s="255">
        <v>10</v>
      </c>
      <c r="C1729" s="10" t="s">
        <v>204</v>
      </c>
      <c r="D1729" s="10">
        <v>1</v>
      </c>
      <c r="E1729" s="10">
        <v>9</v>
      </c>
      <c r="F1729" s="10" t="s">
        <v>690</v>
      </c>
      <c r="G1729" s="10" t="s">
        <v>695</v>
      </c>
      <c r="H1729" s="10" t="str" cm="1">
        <f t="array" aca="1" ref="H1729" ca="1">IF(INDEX(I1729:Z1729,$H$1)=0,"",INDEX(I1729:Z1729,$H$1))</f>
        <v>Chemical Injection Pump: Pneumatic (Diaphragm Type)</v>
      </c>
      <c r="I1729" s="17" t="s">
        <v>2375</v>
      </c>
      <c r="J1729" s="17" t="s">
        <v>2375</v>
      </c>
      <c r="K1729" s="17" t="s">
        <v>2375</v>
      </c>
    </row>
    <row r="1730" spans="1:11" x14ac:dyDescent="0.35">
      <c r="A1730" s="10" t="s">
        <v>1185</v>
      </c>
      <c r="B1730" s="255">
        <v>10</v>
      </c>
      <c r="C1730" s="10" t="s">
        <v>204</v>
      </c>
      <c r="D1730" s="10">
        <v>1</v>
      </c>
      <c r="E1730" s="10">
        <v>10</v>
      </c>
      <c r="F1730" s="10" t="s">
        <v>690</v>
      </c>
      <c r="G1730" s="10" t="s">
        <v>695</v>
      </c>
      <c r="H1730" s="10" t="str" cm="1">
        <f t="array" aca="1" ref="H1730" ca="1">IF(INDEX(I1730:Z1730,$H$1)=0,"",INDEX(I1730:Z1730,$H$1))</f>
        <v>Chemical Injection Pump: Pneumatic (Piston Type)</v>
      </c>
      <c r="I1730" s="17" t="s">
        <v>2376</v>
      </c>
      <c r="J1730" s="17" t="s">
        <v>2376</v>
      </c>
      <c r="K1730" s="17" t="s">
        <v>2376</v>
      </c>
    </row>
    <row r="1731" spans="1:11" x14ac:dyDescent="0.35">
      <c r="A1731" s="10" t="s">
        <v>1185</v>
      </c>
      <c r="B1731" s="255">
        <v>10</v>
      </c>
      <c r="C1731" s="10" t="s">
        <v>204</v>
      </c>
      <c r="D1731" s="10">
        <v>1</v>
      </c>
      <c r="E1731" s="10">
        <v>11</v>
      </c>
      <c r="F1731" s="10" t="s">
        <v>690</v>
      </c>
      <c r="G1731" s="10" t="s">
        <v>695</v>
      </c>
      <c r="H1731" s="10" t="str" cm="1">
        <f t="array" aca="1" ref="H1731" ca="1">IF(INDEX(I1731:Z1731,$H$1)=0,"",INDEX(I1731:Z1731,$H$1))</f>
        <v>Chemical Injection Pump: Pneumatic (Unknown Type)</v>
      </c>
      <c r="I1731" s="17" t="s">
        <v>2377</v>
      </c>
      <c r="J1731" s="17" t="s">
        <v>2377</v>
      </c>
      <c r="K1731" s="17" t="s">
        <v>2377</v>
      </c>
    </row>
    <row r="1732" spans="1:11" x14ac:dyDescent="0.35">
      <c r="A1732" s="10" t="s">
        <v>1185</v>
      </c>
      <c r="B1732" s="255">
        <v>10</v>
      </c>
      <c r="C1732" s="10" t="s">
        <v>204</v>
      </c>
      <c r="D1732" s="10">
        <v>1</v>
      </c>
      <c r="E1732" s="10">
        <v>12</v>
      </c>
      <c r="F1732" s="10" t="s">
        <v>690</v>
      </c>
      <c r="G1732" s="10" t="s">
        <v>695</v>
      </c>
      <c r="H1732" s="10" t="str" cm="1">
        <f t="array" aca="1" ref="H1732" ca="1">IF(INDEX(I1732:Z1732,$H$1)=0,"",INDEX(I1732:Z1732,$H$1))</f>
        <v>Compressor: Centrifugal: (Stages: 1) (Seals: Wet) (Driver: Electric Motor)</v>
      </c>
      <c r="I1732" s="17" t="s">
        <v>3219</v>
      </c>
      <c r="J1732" s="17" t="s">
        <v>3219</v>
      </c>
      <c r="K1732" s="17" t="s">
        <v>3219</v>
      </c>
    </row>
    <row r="1733" spans="1:11" x14ac:dyDescent="0.35">
      <c r="A1733" s="10" t="s">
        <v>1185</v>
      </c>
      <c r="B1733" s="255">
        <v>10</v>
      </c>
      <c r="C1733" s="10" t="s">
        <v>204</v>
      </c>
      <c r="D1733" s="10">
        <v>1</v>
      </c>
      <c r="E1733" s="10">
        <v>13</v>
      </c>
      <c r="F1733" s="10" t="s">
        <v>690</v>
      </c>
      <c r="G1733" s="10" t="s">
        <v>695</v>
      </c>
      <c r="H1733" s="10" t="str" cm="1">
        <f t="array" aca="1" ref="H1733" ca="1">IF(INDEX(I1733:Z1733,$H$1)=0,"",INDEX(I1733:Z1733,$H$1))</f>
        <v>Compressor: Centrifugal: (Stages: 1) (Seals: Wet) (Driver: Gas Turbine)</v>
      </c>
      <c r="I1733" s="17" t="s">
        <v>3220</v>
      </c>
      <c r="J1733" s="17" t="s">
        <v>3220</v>
      </c>
      <c r="K1733" s="17" t="s">
        <v>3220</v>
      </c>
    </row>
    <row r="1734" spans="1:11" x14ac:dyDescent="0.35">
      <c r="A1734" s="10" t="s">
        <v>1185</v>
      </c>
      <c r="B1734" s="255">
        <v>10</v>
      </c>
      <c r="C1734" s="10" t="s">
        <v>204</v>
      </c>
      <c r="D1734" s="10">
        <v>1</v>
      </c>
      <c r="E1734" s="10">
        <v>14</v>
      </c>
      <c r="F1734" s="10" t="s">
        <v>690</v>
      </c>
      <c r="G1734" s="10" t="s">
        <v>695</v>
      </c>
      <c r="H1734" s="10" t="str" cm="1">
        <f t="array" aca="1" ref="H1734" ca="1">IF(INDEX(I1734:Z1734,$H$1)=0,"",INDEX(I1734:Z1734,$H$1))</f>
        <v>Compressor: Centrifugal: (Stages: 2) (Seals: Wet) (Driver: Electric Motor)</v>
      </c>
      <c r="I1734" s="17" t="s">
        <v>3221</v>
      </c>
      <c r="J1734" s="17" t="s">
        <v>3221</v>
      </c>
      <c r="K1734" s="17" t="s">
        <v>3221</v>
      </c>
    </row>
    <row r="1735" spans="1:11" x14ac:dyDescent="0.35">
      <c r="A1735" s="10" t="s">
        <v>1185</v>
      </c>
      <c r="B1735" s="255">
        <v>10</v>
      </c>
      <c r="C1735" s="10" t="s">
        <v>204</v>
      </c>
      <c r="D1735" s="10">
        <v>1</v>
      </c>
      <c r="E1735" s="10">
        <v>14</v>
      </c>
      <c r="F1735" s="10" t="s">
        <v>690</v>
      </c>
      <c r="G1735" s="10" t="s">
        <v>695</v>
      </c>
      <c r="H1735" s="10" t="str" cm="1">
        <f t="array" aca="1" ref="H1735" ca="1">IF(INDEX(I1735:Z1735,$H$1)=0,"",INDEX(I1735:Z1735,$H$1))</f>
        <v>Compressor: Centrifugal: (Stages: 2) (Seals: Wet) (Driver: Gas Turbine)</v>
      </c>
      <c r="I1735" s="17" t="s">
        <v>3222</v>
      </c>
      <c r="J1735" s="17" t="s">
        <v>3222</v>
      </c>
      <c r="K1735" s="17" t="s">
        <v>3222</v>
      </c>
    </row>
    <row r="1736" spans="1:11" x14ac:dyDescent="0.35">
      <c r="A1736" s="10" t="s">
        <v>1185</v>
      </c>
      <c r="B1736" s="255">
        <v>10</v>
      </c>
      <c r="C1736" s="10" t="s">
        <v>204</v>
      </c>
      <c r="D1736" s="10">
        <v>1</v>
      </c>
      <c r="E1736" s="10">
        <v>14</v>
      </c>
      <c r="F1736" s="10" t="s">
        <v>690</v>
      </c>
      <c r="G1736" s="10" t="s">
        <v>695</v>
      </c>
      <c r="H1736" s="10" t="str" cm="1">
        <f t="array" aca="1" ref="H1736" ca="1">IF(INDEX(I1736:Z1736,$H$1)=0,"",INDEX(I1736:Z1736,$H$1))</f>
        <v>Compressor: Centrifugal: (Stages: 1) (Seals: Dry) (Driver: Electric Motor)</v>
      </c>
      <c r="I1736" s="17" t="s">
        <v>3223</v>
      </c>
      <c r="J1736" s="17" t="s">
        <v>3223</v>
      </c>
      <c r="K1736" s="17" t="s">
        <v>3223</v>
      </c>
    </row>
    <row r="1737" spans="1:11" x14ac:dyDescent="0.35">
      <c r="A1737" s="10" t="s">
        <v>1185</v>
      </c>
      <c r="B1737" s="255">
        <v>10</v>
      </c>
      <c r="C1737" s="10" t="s">
        <v>204</v>
      </c>
      <c r="D1737" s="10">
        <v>1</v>
      </c>
      <c r="E1737" s="10">
        <v>14</v>
      </c>
      <c r="F1737" s="10" t="s">
        <v>690</v>
      </c>
      <c r="G1737" s="10" t="s">
        <v>695</v>
      </c>
      <c r="H1737" s="10" t="str" cm="1">
        <f t="array" aca="1" ref="H1737" ca="1">IF(INDEX(I1737:Z1737,$H$1)=0,"",INDEX(I1737:Z1737,$H$1))</f>
        <v>Compressor: Centrifugal: (Stages: 1) (Seals: Dry) (Driver: Gas Turbine)</v>
      </c>
      <c r="I1737" s="17" t="s">
        <v>3224</v>
      </c>
      <c r="J1737" s="17" t="s">
        <v>3224</v>
      </c>
      <c r="K1737" s="17" t="s">
        <v>3224</v>
      </c>
    </row>
    <row r="1738" spans="1:11" x14ac:dyDescent="0.35">
      <c r="A1738" s="10" t="s">
        <v>1185</v>
      </c>
      <c r="B1738" s="255">
        <v>10</v>
      </c>
      <c r="C1738" s="10" t="s">
        <v>204</v>
      </c>
      <c r="D1738" s="10">
        <v>1</v>
      </c>
      <c r="E1738" s="10">
        <v>14</v>
      </c>
      <c r="F1738" s="10" t="s">
        <v>690</v>
      </c>
      <c r="G1738" s="10" t="s">
        <v>695</v>
      </c>
      <c r="H1738" s="10" t="str" cm="1">
        <f t="array" aca="1" ref="H1738" ca="1">IF(INDEX(I1738:Z1738,$H$1)=0,"",INDEX(I1738:Z1738,$H$1))</f>
        <v>Compressor: Centrifugal: (Stages: 2) (Seals: Dry) (Driver: Electric Motor)</v>
      </c>
      <c r="I1738" s="17" t="s">
        <v>3225</v>
      </c>
      <c r="J1738" s="17" t="s">
        <v>3225</v>
      </c>
      <c r="K1738" s="17" t="s">
        <v>3225</v>
      </c>
    </row>
    <row r="1739" spans="1:11" x14ac:dyDescent="0.35">
      <c r="A1739" s="10" t="s">
        <v>1185</v>
      </c>
      <c r="B1739" s="255">
        <v>10</v>
      </c>
      <c r="C1739" s="10" t="s">
        <v>204</v>
      </c>
      <c r="D1739" s="10">
        <v>1</v>
      </c>
      <c r="E1739" s="10">
        <v>15</v>
      </c>
      <c r="F1739" s="10" t="s">
        <v>690</v>
      </c>
      <c r="G1739" s="10" t="s">
        <v>695</v>
      </c>
      <c r="H1739" s="10" t="str" cm="1">
        <f t="array" aca="1" ref="H1739" ca="1">IF(INDEX(I1739:Z1739,$H$1)=0,"",INDEX(I1739:Z1739,$H$1))</f>
        <v>Compressor: Centrifugal: (Stages: 2) (Seals: Dry) (Driver: Gas Turbine)</v>
      </c>
      <c r="I1739" s="17" t="s">
        <v>3226</v>
      </c>
      <c r="J1739" s="17" t="s">
        <v>3226</v>
      </c>
      <c r="K1739" s="17" t="s">
        <v>3226</v>
      </c>
    </row>
    <row r="1740" spans="1:11" x14ac:dyDescent="0.35">
      <c r="A1740" s="10" t="s">
        <v>1185</v>
      </c>
      <c r="B1740" s="255">
        <v>10</v>
      </c>
      <c r="C1740" s="10" t="s">
        <v>204</v>
      </c>
      <c r="D1740" s="10">
        <v>1</v>
      </c>
      <c r="E1740" s="10">
        <v>16</v>
      </c>
      <c r="F1740" s="10" t="s">
        <v>690</v>
      </c>
      <c r="G1740" s="10" t="s">
        <v>695</v>
      </c>
      <c r="H1740" s="10" t="str" cm="1">
        <f t="array" aca="1" ref="H1740" ca="1">IF(INDEX(I1740:Z1740,$H$1)=0,"",INDEX(I1740:Z1740,$H$1))</f>
        <v>Compressor: Reciprocating: (Stages: 1) (Driver: Electric Motor)</v>
      </c>
      <c r="I1740" s="17" t="s">
        <v>2378</v>
      </c>
      <c r="J1740" s="17" t="s">
        <v>2378</v>
      </c>
      <c r="K1740" s="17" t="s">
        <v>2378</v>
      </c>
    </row>
    <row r="1741" spans="1:11" x14ac:dyDescent="0.35">
      <c r="A1741" s="10" t="s">
        <v>1185</v>
      </c>
      <c r="B1741" s="255">
        <v>10</v>
      </c>
      <c r="C1741" s="10" t="s">
        <v>204</v>
      </c>
      <c r="D1741" s="10">
        <v>1</v>
      </c>
      <c r="E1741" s="10">
        <v>17</v>
      </c>
      <c r="F1741" s="10" t="s">
        <v>690</v>
      </c>
      <c r="G1741" s="10" t="s">
        <v>695</v>
      </c>
      <c r="H1741" s="10" t="str" cm="1">
        <f t="array" aca="1" ref="H1741" ca="1">IF(INDEX(I1741:Z1741,$H$1)=0,"",INDEX(I1741:Z1741,$H$1))</f>
        <v>Compressor: Reciprocating: (Stages: 1) (Driver: Recip Engine)</v>
      </c>
      <c r="I1741" s="17" t="s">
        <v>2379</v>
      </c>
      <c r="J1741" s="17" t="s">
        <v>2379</v>
      </c>
      <c r="K1741" s="17" t="s">
        <v>2379</v>
      </c>
    </row>
    <row r="1742" spans="1:11" x14ac:dyDescent="0.35">
      <c r="A1742" s="10" t="s">
        <v>1185</v>
      </c>
      <c r="B1742" s="255">
        <v>10</v>
      </c>
      <c r="C1742" s="10" t="s">
        <v>204</v>
      </c>
      <c r="D1742" s="10">
        <v>1</v>
      </c>
      <c r="E1742" s="10">
        <v>18</v>
      </c>
      <c r="F1742" s="10" t="s">
        <v>690</v>
      </c>
      <c r="G1742" s="10" t="s">
        <v>695</v>
      </c>
      <c r="H1742" s="10" t="str" cm="1">
        <f t="array" aca="1" ref="H1742" ca="1">IF(INDEX(I1742:Z1742,$H$1)=0,"",INDEX(I1742:Z1742,$H$1))</f>
        <v>Compressor: Reciprocating: (Stages: 2) (Driver: Electric Motor)</v>
      </c>
      <c r="I1742" s="17" t="s">
        <v>2380</v>
      </c>
      <c r="J1742" s="17" t="s">
        <v>2380</v>
      </c>
      <c r="K1742" s="17" t="s">
        <v>2380</v>
      </c>
    </row>
    <row r="1743" spans="1:11" x14ac:dyDescent="0.35">
      <c r="A1743" s="10" t="s">
        <v>1185</v>
      </c>
      <c r="B1743" s="255">
        <v>10</v>
      </c>
      <c r="C1743" s="10" t="s">
        <v>204</v>
      </c>
      <c r="D1743" s="10">
        <v>1</v>
      </c>
      <c r="E1743" s="10">
        <v>19</v>
      </c>
      <c r="F1743" s="10" t="s">
        <v>690</v>
      </c>
      <c r="G1743" s="10" t="s">
        <v>695</v>
      </c>
      <c r="H1743" s="10" t="str" cm="1">
        <f t="array" aca="1" ref="H1743" ca="1">IF(INDEX(I1743:Z1743,$H$1)=0,"",INDEX(I1743:Z1743,$H$1))</f>
        <v>Compressor: Reciprocating: (Stages: 2) (Driver: Recip Engine)</v>
      </c>
      <c r="I1743" s="17" t="s">
        <v>2381</v>
      </c>
      <c r="J1743" s="17" t="s">
        <v>2381</v>
      </c>
      <c r="K1743" s="17" t="s">
        <v>2381</v>
      </c>
    </row>
    <row r="1744" spans="1:11" x14ac:dyDescent="0.35">
      <c r="A1744" s="10" t="s">
        <v>1185</v>
      </c>
      <c r="B1744" s="255">
        <v>10</v>
      </c>
      <c r="C1744" s="10" t="s">
        <v>204</v>
      </c>
      <c r="D1744" s="10">
        <v>1</v>
      </c>
      <c r="E1744" s="10">
        <v>20</v>
      </c>
      <c r="F1744" s="10" t="s">
        <v>690</v>
      </c>
      <c r="G1744" s="10" t="s">
        <v>695</v>
      </c>
      <c r="H1744" s="10" t="str" cm="1">
        <f t="array" aca="1" ref="H1744" ca="1">IF(INDEX(I1744:Z1744,$H$1)=0,"",INDEX(I1744:Z1744,$H$1))</f>
        <v>Compressor: Reciprocating: (Stages: 3) (Driver: Electric Motor)</v>
      </c>
      <c r="I1744" s="17" t="s">
        <v>2382</v>
      </c>
      <c r="J1744" s="17" t="s">
        <v>2382</v>
      </c>
      <c r="K1744" s="17" t="s">
        <v>2382</v>
      </c>
    </row>
    <row r="1745" spans="1:12" x14ac:dyDescent="0.35">
      <c r="A1745" s="10" t="s">
        <v>1185</v>
      </c>
      <c r="B1745" s="255">
        <v>10</v>
      </c>
      <c r="C1745" s="10" t="s">
        <v>204</v>
      </c>
      <c r="D1745" s="10">
        <v>1</v>
      </c>
      <c r="E1745" s="10">
        <v>20</v>
      </c>
      <c r="F1745" s="10" t="s">
        <v>690</v>
      </c>
      <c r="G1745" s="10" t="s">
        <v>695</v>
      </c>
      <c r="H1745" s="10" t="str" cm="1">
        <f t="array" aca="1" ref="H1745" ca="1">IF(INDEX(I1745:Z1745,$H$1)=0,"",INDEX(I1745:Z1745,$H$1))</f>
        <v>Compressor: Reciprocating: (Stages: 3) (Driver: Recip Engine)</v>
      </c>
      <c r="I1745" s="17" t="s">
        <v>2383</v>
      </c>
      <c r="J1745" s="17" t="s">
        <v>2383</v>
      </c>
      <c r="K1745" s="17" t="s">
        <v>2383</v>
      </c>
    </row>
    <row r="1746" spans="1:12" x14ac:dyDescent="0.35">
      <c r="A1746" s="10" t="s">
        <v>1185</v>
      </c>
      <c r="B1746" s="255">
        <v>10</v>
      </c>
      <c r="C1746" s="10" t="s">
        <v>204</v>
      </c>
      <c r="D1746" s="10">
        <v>1</v>
      </c>
      <c r="E1746" s="10">
        <v>20</v>
      </c>
      <c r="F1746" s="10" t="s">
        <v>690</v>
      </c>
      <c r="G1746" s="10" t="s">
        <v>695</v>
      </c>
      <c r="H1746" s="10" t="str" cm="1">
        <f t="array" aca="1" ref="H1746" ca="1">IF(INDEX(I1746:Z1746,$H$1)=0,"",INDEX(I1746:Z1746,$H$1))</f>
        <v>Compressor: Reciprocating: (Stages 4) (Driver: Electric Motor)</v>
      </c>
      <c r="I1746" s="17" t="s">
        <v>3308</v>
      </c>
      <c r="J1746" s="17" t="s">
        <v>3308</v>
      </c>
      <c r="K1746" s="17" t="s">
        <v>3308</v>
      </c>
    </row>
    <row r="1747" spans="1:12" x14ac:dyDescent="0.35">
      <c r="A1747" s="10" t="s">
        <v>1185</v>
      </c>
      <c r="B1747" s="255">
        <v>10</v>
      </c>
      <c r="C1747" s="10" t="s">
        <v>204</v>
      </c>
      <c r="D1747" s="10">
        <v>1</v>
      </c>
      <c r="E1747" s="10">
        <v>21</v>
      </c>
      <c r="F1747" s="10" t="s">
        <v>690</v>
      </c>
      <c r="G1747" s="10" t="s">
        <v>695</v>
      </c>
      <c r="H1747" s="10" t="str" cm="1">
        <f t="array" aca="1" ref="H1747" ca="1">IF(INDEX(I1747:Z1747,$H$1)=0,"",INDEX(I1747:Z1747,$H$1))</f>
        <v>Compressor: Reciprocating: (Stages 4) (Driver: Recip Engine)</v>
      </c>
      <c r="I1747" s="17" t="s">
        <v>3307</v>
      </c>
      <c r="J1747" s="17" t="s">
        <v>3307</v>
      </c>
      <c r="K1747" s="17" t="s">
        <v>3307</v>
      </c>
      <c r="L1747" s="21"/>
    </row>
    <row r="1748" spans="1:12" x14ac:dyDescent="0.35">
      <c r="A1748" s="10" t="s">
        <v>1185</v>
      </c>
      <c r="B1748" s="255">
        <v>10</v>
      </c>
      <c r="C1748" s="10" t="s">
        <v>204</v>
      </c>
      <c r="D1748" s="10">
        <v>1</v>
      </c>
      <c r="E1748" s="10">
        <v>22</v>
      </c>
      <c r="F1748" s="10" t="s">
        <v>690</v>
      </c>
      <c r="G1748" s="10" t="s">
        <v>695</v>
      </c>
      <c r="H1748" s="10" t="str" cm="1">
        <f t="array" aca="1" ref="H1748" ca="1">IF(INDEX(I1748:Z1748,$H$1)=0,"",INDEX(I1748:Z1748,$H$1))</f>
        <v>Compressor: Screw (Driver: Electric Motor)</v>
      </c>
      <c r="I1748" s="17" t="s">
        <v>2384</v>
      </c>
      <c r="J1748" s="17" t="s">
        <v>2384</v>
      </c>
      <c r="K1748" s="17" t="s">
        <v>2384</v>
      </c>
      <c r="L1748" s="21"/>
    </row>
    <row r="1749" spans="1:12" x14ac:dyDescent="0.35">
      <c r="A1749" s="10" t="s">
        <v>1185</v>
      </c>
      <c r="B1749" s="255">
        <v>10</v>
      </c>
      <c r="C1749" s="10" t="s">
        <v>204</v>
      </c>
      <c r="D1749" s="10">
        <v>1</v>
      </c>
      <c r="E1749" s="10">
        <v>23</v>
      </c>
      <c r="F1749" s="10" t="s">
        <v>690</v>
      </c>
      <c r="G1749" s="10" t="s">
        <v>695</v>
      </c>
      <c r="H1749" s="10" t="str" cm="1">
        <f t="array" aca="1" ref="H1749" ca="1">IF(INDEX(I1749:Z1749,$H$1)=0,"",INDEX(I1749:Z1749,$H$1))</f>
        <v>Compressor: Screw (Driver: Recip Engine)</v>
      </c>
      <c r="I1749" s="17" t="s">
        <v>2385</v>
      </c>
      <c r="J1749" s="17" t="s">
        <v>2385</v>
      </c>
      <c r="K1749" s="17" t="s">
        <v>2385</v>
      </c>
      <c r="L1749" s="21"/>
    </row>
    <row r="1750" spans="1:12" x14ac:dyDescent="0.35">
      <c r="A1750" s="10" t="s">
        <v>1185</v>
      </c>
      <c r="B1750" s="255">
        <v>10</v>
      </c>
      <c r="C1750" s="10" t="s">
        <v>204</v>
      </c>
      <c r="D1750" s="10">
        <v>1</v>
      </c>
      <c r="E1750" s="10">
        <v>24</v>
      </c>
      <c r="F1750" s="10" t="s">
        <v>690</v>
      </c>
      <c r="G1750" s="10" t="s">
        <v>695</v>
      </c>
      <c r="H1750" s="10" t="str" cm="1">
        <f t="array" aca="1" ref="H1750" ca="1">IF(INDEX(I1750:Z1750,$H$1)=0,"",INDEX(I1750:Z1750,$H$1))</f>
        <v>Dehydration: Desiccant (Adsorber Columns: 2)</v>
      </c>
      <c r="I1750" s="17" t="s">
        <v>2386</v>
      </c>
      <c r="J1750" s="17" t="s">
        <v>2386</v>
      </c>
      <c r="K1750" s="17" t="s">
        <v>2386</v>
      </c>
      <c r="L1750" s="21"/>
    </row>
    <row r="1751" spans="1:12" x14ac:dyDescent="0.35">
      <c r="A1751" s="10" t="s">
        <v>1185</v>
      </c>
      <c r="B1751" s="255">
        <v>10</v>
      </c>
      <c r="C1751" s="10" t="s">
        <v>204</v>
      </c>
      <c r="D1751" s="10">
        <v>1</v>
      </c>
      <c r="E1751" s="10">
        <v>25</v>
      </c>
      <c r="F1751" s="10" t="s">
        <v>690</v>
      </c>
      <c r="G1751" s="10" t="s">
        <v>695</v>
      </c>
      <c r="H1751" s="10" t="str" cm="1">
        <f t="array" aca="1" ref="H1751" ca="1">IF(INDEX(I1751:Z1751,$H$1)=0,"",INDEX(I1751:Z1751,$H$1))</f>
        <v>Dehydration: Desiccant (Adsorber Columns: 3)</v>
      </c>
      <c r="I1751" s="17" t="s">
        <v>2387</v>
      </c>
      <c r="J1751" s="17" t="s">
        <v>2387</v>
      </c>
      <c r="K1751" s="17" t="s">
        <v>2387</v>
      </c>
      <c r="L1751" s="21"/>
    </row>
    <row r="1752" spans="1:12" x14ac:dyDescent="0.35">
      <c r="A1752" s="10" t="s">
        <v>1185</v>
      </c>
      <c r="B1752" s="255">
        <v>10</v>
      </c>
      <c r="C1752" s="10" t="s">
        <v>204</v>
      </c>
      <c r="D1752" s="10">
        <v>1</v>
      </c>
      <c r="E1752" s="10">
        <v>26</v>
      </c>
      <c r="F1752" s="10" t="s">
        <v>690</v>
      </c>
      <c r="G1752" s="10" t="s">
        <v>695</v>
      </c>
      <c r="H1752" s="10" t="str" cm="1">
        <f t="array" aca="1" ref="H1752" ca="1">IF(INDEX(I1752:Z1752,$H$1)=0,"",INDEX(I1752:Z1752,$H$1))</f>
        <v>Dehydration: Glycol (with Gas-assisted Pump)</v>
      </c>
      <c r="I1752" s="17" t="s">
        <v>2388</v>
      </c>
      <c r="J1752" s="17" t="s">
        <v>2388</v>
      </c>
      <c r="K1752" s="17" t="s">
        <v>2388</v>
      </c>
      <c r="L1752" s="21"/>
    </row>
    <row r="1753" spans="1:12" x14ac:dyDescent="0.35">
      <c r="A1753" s="10" t="s">
        <v>1185</v>
      </c>
      <c r="B1753" s="255">
        <v>10</v>
      </c>
      <c r="C1753" s="10" t="s">
        <v>204</v>
      </c>
      <c r="D1753" s="10">
        <v>1</v>
      </c>
      <c r="E1753" s="10">
        <v>27</v>
      </c>
      <c r="F1753" s="10" t="s">
        <v>690</v>
      </c>
      <c r="G1753" s="10" t="s">
        <v>695</v>
      </c>
      <c r="H1753" s="10" t="str" cm="1">
        <f t="array" aca="1" ref="H1753" ca="1">IF(INDEX(I1753:Z1753,$H$1)=0,"",INDEX(I1753:Z1753,$H$1))</f>
        <v>Dehydration: Glycol (without Gas-assisted Pump)</v>
      </c>
      <c r="I1753" s="17" t="s">
        <v>2389</v>
      </c>
      <c r="J1753" s="17" t="s">
        <v>2389</v>
      </c>
      <c r="K1753" s="17" t="s">
        <v>2389</v>
      </c>
    </row>
    <row r="1754" spans="1:12" x14ac:dyDescent="0.35">
      <c r="A1754" s="10" t="s">
        <v>1185</v>
      </c>
      <c r="B1754" s="255">
        <v>10</v>
      </c>
      <c r="C1754" s="10" t="s">
        <v>204</v>
      </c>
      <c r="D1754" s="10">
        <v>1</v>
      </c>
      <c r="E1754" s="10">
        <v>28</v>
      </c>
      <c r="F1754" s="10" t="s">
        <v>690</v>
      </c>
      <c r="G1754" s="10" t="s">
        <v>695</v>
      </c>
      <c r="H1754" s="10" t="str" cm="1">
        <f t="array" aca="1" ref="H1754" ca="1">IF(INDEX(I1754:Z1754,$H$1)=0,"",INDEX(I1754:Z1754,$H$1))</f>
        <v>Flare System: Generic (Including Knock-out Drum)</v>
      </c>
      <c r="I1754" s="17" t="s">
        <v>2390</v>
      </c>
      <c r="J1754" s="17" t="s">
        <v>2390</v>
      </c>
      <c r="K1754" s="17" t="s">
        <v>2390</v>
      </c>
    </row>
    <row r="1755" spans="1:12" x14ac:dyDescent="0.35">
      <c r="A1755" s="10" t="s">
        <v>1185</v>
      </c>
      <c r="B1755" s="255">
        <v>10</v>
      </c>
      <c r="C1755" s="10" t="s">
        <v>204</v>
      </c>
      <c r="D1755" s="10">
        <v>1</v>
      </c>
      <c r="E1755" s="10">
        <v>29</v>
      </c>
      <c r="F1755" s="10" t="s">
        <v>690</v>
      </c>
      <c r="G1755" s="10" t="s">
        <v>695</v>
      </c>
      <c r="H1755" s="10" t="str" cm="1">
        <f t="array" aca="1" ref="H1755" ca="1">IF(INDEX(I1755:Z1755,$H$1)=0,"",INDEX(I1755:Z1755,$H$1))</f>
        <v>Heat Exchanger: Natural Gas/Steam</v>
      </c>
      <c r="I1755" s="17" t="s">
        <v>3399</v>
      </c>
      <c r="J1755" s="17" t="s">
        <v>3399</v>
      </c>
      <c r="K1755" s="17" t="s">
        <v>3399</v>
      </c>
    </row>
    <row r="1756" spans="1:12" x14ac:dyDescent="0.35">
      <c r="A1756" s="10" t="s">
        <v>1185</v>
      </c>
      <c r="B1756" s="255">
        <v>10</v>
      </c>
      <c r="C1756" s="10" t="s">
        <v>204</v>
      </c>
      <c r="D1756" s="10">
        <v>1</v>
      </c>
      <c r="E1756" s="10">
        <v>30</v>
      </c>
      <c r="F1756" s="10" t="s">
        <v>690</v>
      </c>
      <c r="G1756" s="10" t="s">
        <v>695</v>
      </c>
      <c r="H1756" s="10" t="str" cm="1">
        <f t="array" aca="1" ref="H1756" ca="1">IF(INDEX(I1756:Z1756,$H$1)=0,"",INDEX(I1756:Z1756,$H$1))</f>
        <v>Heat Exchanger: Natural Gas/Natural Gas</v>
      </c>
      <c r="I1756" s="17" t="s">
        <v>3398</v>
      </c>
      <c r="J1756" s="17" t="s">
        <v>3398</v>
      </c>
      <c r="K1756" s="17" t="s">
        <v>3398</v>
      </c>
    </row>
    <row r="1757" spans="1:12" x14ac:dyDescent="0.35">
      <c r="A1757" s="10" t="s">
        <v>1185</v>
      </c>
      <c r="B1757" s="255">
        <v>10</v>
      </c>
      <c r="C1757" s="10" t="s">
        <v>204</v>
      </c>
      <c r="D1757" s="10">
        <v>1</v>
      </c>
      <c r="E1757" s="10">
        <v>31</v>
      </c>
      <c r="F1757" s="10" t="s">
        <v>690</v>
      </c>
      <c r="G1757" s="10" t="s">
        <v>695</v>
      </c>
      <c r="H1757" s="10" t="str" cm="1">
        <f t="array" aca="1" ref="H1757" ca="1">IF(INDEX(I1757:Z1757,$H$1)=0,"",INDEX(I1757:Z1757,$H$1))</f>
        <v>Heat Exchanger: Natural Gas/Non-Hydrocarbon Liquid</v>
      </c>
      <c r="I1757" s="17" t="s">
        <v>3400</v>
      </c>
      <c r="J1757" s="17" t="s">
        <v>3400</v>
      </c>
      <c r="K1757" s="17" t="s">
        <v>3400</v>
      </c>
    </row>
    <row r="1758" spans="1:12" x14ac:dyDescent="0.35">
      <c r="A1758" s="10" t="s">
        <v>1185</v>
      </c>
      <c r="B1758" s="255">
        <v>10</v>
      </c>
      <c r="C1758" s="10" t="s">
        <v>204</v>
      </c>
      <c r="D1758" s="10">
        <v>1</v>
      </c>
      <c r="E1758" s="10">
        <v>32</v>
      </c>
      <c r="F1758" s="10" t="s">
        <v>690</v>
      </c>
      <c r="G1758" s="10" t="s">
        <v>695</v>
      </c>
      <c r="H1758" s="10" t="str" cm="1">
        <f t="array" aca="1" ref="H1758" ca="1">IF(INDEX(I1758:Z1758,$H$1)=0,"",INDEX(I1758:Z1758,$H$1))</f>
        <v>Heat Exchanger: Natural Gas/Hydrocarbon Liquid</v>
      </c>
      <c r="I1758" s="17" t="s">
        <v>3401</v>
      </c>
      <c r="J1758" s="17" t="s">
        <v>3401</v>
      </c>
      <c r="K1758" s="17" t="s">
        <v>3401</v>
      </c>
    </row>
    <row r="1759" spans="1:12" x14ac:dyDescent="0.35">
      <c r="A1759" s="10" t="s">
        <v>1185</v>
      </c>
      <c r="B1759" s="255">
        <v>10</v>
      </c>
      <c r="C1759" s="10" t="s">
        <v>204</v>
      </c>
      <c r="D1759" s="10">
        <v>1</v>
      </c>
      <c r="E1759" s="10">
        <v>33</v>
      </c>
      <c r="F1759" s="10" t="s">
        <v>690</v>
      </c>
      <c r="G1759" s="10" t="s">
        <v>695</v>
      </c>
      <c r="H1759" s="10" t="str" cm="1">
        <f t="array" aca="1" ref="H1759" ca="1">IF(INDEX(I1759:Z1759,$H$1)=0,"",INDEX(I1759:Z1759,$H$1))</f>
        <v>Heat Exchanger: Steam/Hydrocarbon Liquid</v>
      </c>
      <c r="I1759" s="17" t="s">
        <v>3402</v>
      </c>
      <c r="J1759" s="17" t="s">
        <v>3402</v>
      </c>
      <c r="K1759" s="17" t="s">
        <v>3402</v>
      </c>
    </row>
    <row r="1760" spans="1:12" x14ac:dyDescent="0.35">
      <c r="A1760" s="10" t="s">
        <v>1185</v>
      </c>
      <c r="B1760" s="255">
        <v>10</v>
      </c>
      <c r="C1760" s="10" t="s">
        <v>204</v>
      </c>
      <c r="D1760" s="10">
        <v>1</v>
      </c>
      <c r="E1760" s="10">
        <v>34</v>
      </c>
      <c r="F1760" s="10" t="s">
        <v>690</v>
      </c>
      <c r="G1760" s="10" t="s">
        <v>695</v>
      </c>
      <c r="H1760" s="10" t="str" cm="1">
        <f t="array" aca="1" ref="H1760" ca="1">IF(INDEX(I1760:Z1760,$H$1)=0,"",INDEX(I1760:Z1760,$H$1))</f>
        <v>Heat Exchanger: Hydrocarbon Liquid/Hydrocarbon Liquid</v>
      </c>
      <c r="I1760" s="17" t="s">
        <v>3397</v>
      </c>
      <c r="J1760" s="17" t="s">
        <v>3397</v>
      </c>
      <c r="K1760" s="17" t="s">
        <v>3397</v>
      </c>
    </row>
    <row r="1761" spans="1:11" x14ac:dyDescent="0.35">
      <c r="A1761" s="10" t="s">
        <v>1185</v>
      </c>
      <c r="B1761" s="255">
        <v>10</v>
      </c>
      <c r="C1761" s="10" t="s">
        <v>204</v>
      </c>
      <c r="D1761" s="10">
        <v>1</v>
      </c>
      <c r="E1761" s="10">
        <v>35</v>
      </c>
      <c r="F1761" s="10" t="s">
        <v>690</v>
      </c>
      <c r="G1761" s="10" t="s">
        <v>695</v>
      </c>
      <c r="H1761" s="10" t="str" cm="1">
        <f t="array" aca="1" ref="H1761" ca="1">IF(INDEX(I1761:Z1761,$H$1)=0,"",INDEX(I1761:Z1761,$H$1))</f>
        <v>Heater/Boiler/Reboiler: Generic (Burner Assemblies: 1)</v>
      </c>
      <c r="I1761" s="17" t="s">
        <v>2391</v>
      </c>
      <c r="J1761" s="17" t="s">
        <v>2391</v>
      </c>
      <c r="K1761" s="17" t="s">
        <v>2391</v>
      </c>
    </row>
    <row r="1762" spans="1:11" x14ac:dyDescent="0.35">
      <c r="A1762" s="10" t="s">
        <v>1185</v>
      </c>
      <c r="B1762" s="255">
        <v>10</v>
      </c>
      <c r="C1762" s="10" t="s">
        <v>204</v>
      </c>
      <c r="D1762" s="10">
        <v>1</v>
      </c>
      <c r="E1762" s="10">
        <v>36</v>
      </c>
      <c r="F1762" s="10" t="s">
        <v>690</v>
      </c>
      <c r="G1762" s="10" t="s">
        <v>695</v>
      </c>
      <c r="H1762" s="10" t="str" cm="1">
        <f t="array" aca="1" ref="H1762" ca="1">IF(INDEX(I1762:Z1762,$H$1)=0,"",INDEX(I1762:Z1762,$H$1))</f>
        <v>Heater/Boiler/Reboiler: Generic (Burner Assemblies: 2)</v>
      </c>
      <c r="I1762" s="17" t="s">
        <v>2392</v>
      </c>
      <c r="J1762" s="17" t="s">
        <v>2392</v>
      </c>
      <c r="K1762" s="17" t="s">
        <v>2392</v>
      </c>
    </row>
    <row r="1763" spans="1:11" x14ac:dyDescent="0.35">
      <c r="A1763" s="10" t="s">
        <v>1185</v>
      </c>
      <c r="B1763" s="255">
        <v>10</v>
      </c>
      <c r="C1763" s="10" t="s">
        <v>204</v>
      </c>
      <c r="D1763" s="10">
        <v>1</v>
      </c>
      <c r="E1763" s="10">
        <v>37</v>
      </c>
      <c r="F1763" s="10" t="s">
        <v>690</v>
      </c>
      <c r="G1763" s="10" t="s">
        <v>695</v>
      </c>
      <c r="H1763" s="10" t="str" cm="1">
        <f t="array" aca="1" ref="H1763" ca="1">IF(INDEX(I1763:Z1763,$H$1)=0,"",INDEX(I1763:Z1763,$H$1))</f>
        <v>Heater/Boiler/Reboiler: Generic (Burner Assemblies: 3)</v>
      </c>
      <c r="I1763" s="17" t="s">
        <v>2393</v>
      </c>
      <c r="J1763" s="17" t="s">
        <v>2393</v>
      </c>
      <c r="K1763" s="17" t="s">
        <v>2393</v>
      </c>
    </row>
    <row r="1764" spans="1:11" x14ac:dyDescent="0.35">
      <c r="A1764" s="10" t="s">
        <v>1185</v>
      </c>
      <c r="B1764" s="255">
        <v>10</v>
      </c>
      <c r="C1764" s="10" t="s">
        <v>204</v>
      </c>
      <c r="D1764" s="10">
        <v>1</v>
      </c>
      <c r="E1764" s="10">
        <v>38</v>
      </c>
      <c r="F1764" s="10" t="s">
        <v>690</v>
      </c>
      <c r="G1764" s="10" t="s">
        <v>695</v>
      </c>
      <c r="H1764" s="10" t="str" cm="1">
        <f t="array" aca="1" ref="H1764" ca="1">IF(INDEX(I1764:Z1764,$H$1)=0,"",INDEX(I1764:Z1764,$H$1))</f>
        <v>Heater/Boiler/Reboiler: Line (Burner Assemblies: 1)</v>
      </c>
      <c r="I1764" s="17" t="s">
        <v>2671</v>
      </c>
      <c r="J1764" s="17" t="s">
        <v>2671</v>
      </c>
      <c r="K1764" s="17" t="s">
        <v>2671</v>
      </c>
    </row>
    <row r="1765" spans="1:11" x14ac:dyDescent="0.35">
      <c r="A1765" s="10" t="s">
        <v>1185</v>
      </c>
      <c r="B1765" s="255">
        <v>10</v>
      </c>
      <c r="C1765" s="10" t="s">
        <v>204</v>
      </c>
      <c r="D1765" s="10">
        <v>1</v>
      </c>
      <c r="E1765" s="10">
        <v>39</v>
      </c>
      <c r="F1765" s="10" t="s">
        <v>690</v>
      </c>
      <c r="G1765" s="10" t="s">
        <v>695</v>
      </c>
      <c r="H1765" s="10" t="str" cm="1">
        <f t="array" aca="1" ref="H1765" ca="1">IF(INDEX(I1765:Z1765,$H$1)=0,"",INDEX(I1765:Z1765,$H$1))</f>
        <v>Heater/Boiler/Reboiler: Line (Burner Assemblies: 2)</v>
      </c>
      <c r="I1765" s="17" t="s">
        <v>2672</v>
      </c>
      <c r="J1765" s="17" t="s">
        <v>2672</v>
      </c>
      <c r="K1765" s="17" t="s">
        <v>2672</v>
      </c>
    </row>
    <row r="1766" spans="1:11" x14ac:dyDescent="0.35">
      <c r="A1766" s="10" t="s">
        <v>1185</v>
      </c>
      <c r="B1766" s="255">
        <v>10</v>
      </c>
      <c r="C1766" s="10" t="s">
        <v>204</v>
      </c>
      <c r="D1766" s="10">
        <v>1</v>
      </c>
      <c r="E1766" s="10">
        <v>40</v>
      </c>
      <c r="F1766" s="10" t="s">
        <v>690</v>
      </c>
      <c r="G1766" s="10" t="s">
        <v>695</v>
      </c>
      <c r="H1766" s="10" t="str" cm="1">
        <f t="array" aca="1" ref="H1766" ca="1">IF(INDEX(I1766:Z1766,$H$1)=0,"",INDEX(I1766:Z1766,$H$1))</f>
        <v>Heater/Boiler/Reboiler: Line (Burner Assemblies: 3)</v>
      </c>
      <c r="I1766" s="17" t="s">
        <v>2673</v>
      </c>
      <c r="J1766" s="17" t="s">
        <v>2673</v>
      </c>
      <c r="K1766" s="17" t="s">
        <v>2673</v>
      </c>
    </row>
    <row r="1767" spans="1:11" x14ac:dyDescent="0.35">
      <c r="A1767" s="10" t="s">
        <v>1185</v>
      </c>
      <c r="B1767" s="255">
        <v>10</v>
      </c>
      <c r="C1767" s="10" t="s">
        <v>204</v>
      </c>
      <c r="D1767" s="10">
        <v>1</v>
      </c>
      <c r="E1767" s="10">
        <v>41</v>
      </c>
      <c r="F1767" s="10" t="s">
        <v>690</v>
      </c>
      <c r="G1767" s="10" t="s">
        <v>695</v>
      </c>
      <c r="H1767" s="10" t="str" cm="1">
        <f t="array" aca="1" ref="H1767" ca="1">IF(INDEX(I1767:Z1767,$H$1)=0,"",INDEX(I1767:Z1767,$H$1))</f>
        <v>Heater/Boiler/Reboiler: Treater (Burner Assemblies: 1)</v>
      </c>
      <c r="I1767" s="17" t="s">
        <v>2394</v>
      </c>
      <c r="J1767" s="17" t="s">
        <v>2394</v>
      </c>
      <c r="K1767" s="17" t="s">
        <v>2394</v>
      </c>
    </row>
    <row r="1768" spans="1:11" x14ac:dyDescent="0.35">
      <c r="A1768" s="10" t="s">
        <v>1185</v>
      </c>
      <c r="B1768" s="255">
        <v>10</v>
      </c>
      <c r="C1768" s="10" t="s">
        <v>204</v>
      </c>
      <c r="D1768" s="10">
        <v>1</v>
      </c>
      <c r="E1768" s="10">
        <v>42</v>
      </c>
      <c r="F1768" s="10" t="s">
        <v>690</v>
      </c>
      <c r="G1768" s="10" t="s">
        <v>695</v>
      </c>
      <c r="H1768" s="10" t="str" cm="1">
        <f t="array" aca="1" ref="H1768" ca="1">IF(INDEX(I1768:Z1768,$H$1)=0,"",INDEX(I1768:Z1768,$H$1))</f>
        <v>Heater/Boiler/Reboiler: Treater (Burner Assemblies: 2)</v>
      </c>
      <c r="I1768" s="17" t="s">
        <v>2395</v>
      </c>
      <c r="J1768" s="17" t="s">
        <v>2395</v>
      </c>
      <c r="K1768" s="17" t="s">
        <v>2395</v>
      </c>
    </row>
    <row r="1769" spans="1:11" x14ac:dyDescent="0.35">
      <c r="A1769" s="10" t="s">
        <v>1185</v>
      </c>
      <c r="B1769" s="255">
        <v>10</v>
      </c>
      <c r="C1769" s="10" t="s">
        <v>204</v>
      </c>
      <c r="D1769" s="10">
        <v>1</v>
      </c>
      <c r="E1769" s="10">
        <v>43</v>
      </c>
      <c r="F1769" s="10" t="s">
        <v>690</v>
      </c>
      <c r="G1769" s="10" t="s">
        <v>695</v>
      </c>
      <c r="H1769" s="10" t="str" cm="1">
        <f t="array" aca="1" ref="H1769" ca="1">IF(INDEX(I1769:Z1769,$H$1)=0,"",INDEX(I1769:Z1769,$H$1))</f>
        <v>Heater/Boiler/Reboiler: Treater (Burner Assemblies: 3)</v>
      </c>
      <c r="I1769" s="17" t="s">
        <v>2396</v>
      </c>
      <c r="J1769" s="17" t="s">
        <v>2396</v>
      </c>
      <c r="K1769" s="17" t="s">
        <v>2396</v>
      </c>
    </row>
    <row r="1770" spans="1:11" x14ac:dyDescent="0.35">
      <c r="A1770" s="10" t="s">
        <v>1185</v>
      </c>
      <c r="B1770" s="255">
        <v>10</v>
      </c>
      <c r="C1770" s="10" t="s">
        <v>204</v>
      </c>
      <c r="D1770" s="10">
        <v>1</v>
      </c>
      <c r="E1770" s="10">
        <v>44</v>
      </c>
      <c r="F1770" s="10" t="s">
        <v>690</v>
      </c>
      <c r="G1770" s="10" t="s">
        <v>695</v>
      </c>
      <c r="H1770" s="10" t="str" cm="1">
        <f t="array" aca="1" ref="H1770" ca="1">IF(INDEX(I1770:Z1770,$H$1)=0,"",INDEX(I1770:Z1770,$H$1))</f>
        <v>Hydrocarbon Dewpoint Control: Joule-Thomson Unit (Excluding Compressor)</v>
      </c>
      <c r="I1770" s="17" t="s">
        <v>2397</v>
      </c>
      <c r="J1770" s="17" t="s">
        <v>2397</v>
      </c>
      <c r="K1770" s="17" t="s">
        <v>2397</v>
      </c>
    </row>
    <row r="1771" spans="1:11" x14ac:dyDescent="0.35">
      <c r="A1771" s="10" t="s">
        <v>1185</v>
      </c>
      <c r="B1771" s="255">
        <v>10</v>
      </c>
      <c r="C1771" s="10" t="s">
        <v>204</v>
      </c>
      <c r="D1771" s="10">
        <v>1</v>
      </c>
      <c r="E1771" s="10">
        <v>45</v>
      </c>
      <c r="F1771" s="10" t="s">
        <v>690</v>
      </c>
      <c r="G1771" s="10" t="s">
        <v>695</v>
      </c>
      <c r="H1771" s="10" t="str" cm="1">
        <f t="array" aca="1" ref="H1771" ca="1">IF(INDEX(I1771:Z1771,$H$1)=0,"",INDEX(I1771:Z1771,$H$1))</f>
        <v>Hydrocarbon Dewpoint Control: Propane Refrigeration</v>
      </c>
      <c r="I1771" s="17" t="s">
        <v>2398</v>
      </c>
      <c r="J1771" s="17" t="s">
        <v>2398</v>
      </c>
      <c r="K1771" s="17" t="s">
        <v>2398</v>
      </c>
    </row>
    <row r="1772" spans="1:11" x14ac:dyDescent="0.35">
      <c r="A1772" s="10" t="s">
        <v>1185</v>
      </c>
      <c r="B1772" s="255">
        <v>10</v>
      </c>
      <c r="C1772" s="10" t="s">
        <v>204</v>
      </c>
      <c r="D1772" s="10">
        <v>1</v>
      </c>
      <c r="E1772" s="10">
        <v>46</v>
      </c>
      <c r="F1772" s="10" t="s">
        <v>690</v>
      </c>
      <c r="G1772" s="10" t="s">
        <v>695</v>
      </c>
      <c r="H1772" s="10" t="str" cm="1">
        <f t="array" aca="1" ref="H1772" ca="1">IF(INDEX(I1772:Z1772,$H$1)=0,"",INDEX(I1772:Z1772,$H$1))</f>
        <v>Inlet/Outlet Header: Oil Facilities (Fittings Per Pipeline)</v>
      </c>
      <c r="I1772" s="17" t="s">
        <v>2728</v>
      </c>
      <c r="J1772" s="17" t="s">
        <v>2728</v>
      </c>
      <c r="K1772" s="17" t="s">
        <v>2728</v>
      </c>
    </row>
    <row r="1773" spans="1:11" x14ac:dyDescent="0.35">
      <c r="A1773" s="10" t="s">
        <v>1185</v>
      </c>
      <c r="B1773" s="255">
        <v>10</v>
      </c>
      <c r="C1773" s="10" t="s">
        <v>204</v>
      </c>
      <c r="D1773" s="10">
        <v>1</v>
      </c>
      <c r="E1773" s="10">
        <v>47</v>
      </c>
      <c r="F1773" s="10" t="s">
        <v>690</v>
      </c>
      <c r="G1773" s="10" t="s">
        <v>695</v>
      </c>
      <c r="H1773" s="10" t="str" cm="1">
        <f t="array" aca="1" ref="H1773" ca="1">IF(INDEX(I1773:Z1773,$H$1)=0,"",INDEX(I1773:Z1773,$H$1))</f>
        <v>LPG Extraction: Deepcut (C2 to C4)</v>
      </c>
      <c r="I1773" s="17" t="s">
        <v>2401</v>
      </c>
      <c r="J1773" s="17" t="s">
        <v>2401</v>
      </c>
      <c r="K1773" s="17" t="s">
        <v>2401</v>
      </c>
    </row>
    <row r="1774" spans="1:11" x14ac:dyDescent="0.35">
      <c r="A1774" s="10" t="s">
        <v>1185</v>
      </c>
      <c r="B1774" s="255">
        <v>10</v>
      </c>
      <c r="C1774" s="10" t="s">
        <v>204</v>
      </c>
      <c r="D1774" s="10">
        <v>1</v>
      </c>
      <c r="E1774" s="10">
        <v>48</v>
      </c>
      <c r="F1774" s="10" t="s">
        <v>690</v>
      </c>
      <c r="G1774" s="10" t="s">
        <v>695</v>
      </c>
      <c r="H1774" s="10" t="str" cm="1">
        <f t="array" aca="1" ref="H1774" ca="1">IF(INDEX(I1774:Z1774,$H$1)=0,"",INDEX(I1774:Z1774,$H$1))</f>
        <v>LPG Extraction: Shallow Cut (C3 to C4)</v>
      </c>
      <c r="I1774" s="17" t="s">
        <v>2402</v>
      </c>
      <c r="J1774" s="17" t="s">
        <v>2402</v>
      </c>
      <c r="K1774" s="17" t="s">
        <v>2402</v>
      </c>
    </row>
    <row r="1775" spans="1:11" x14ac:dyDescent="0.35">
      <c r="A1775" s="10" t="s">
        <v>1185</v>
      </c>
      <c r="B1775" s="255">
        <v>10</v>
      </c>
      <c r="C1775" s="10" t="s">
        <v>204</v>
      </c>
      <c r="D1775" s="10">
        <v>1</v>
      </c>
      <c r="E1775" s="10">
        <v>49</v>
      </c>
      <c r="F1775" s="10" t="s">
        <v>690</v>
      </c>
      <c r="G1775" s="10" t="s">
        <v>695</v>
      </c>
      <c r="H1775" s="10" t="str" cm="1">
        <f t="array" aca="1" ref="H1775" ca="1">IF(INDEX(I1775:Z1775,$H$1)=0,"",INDEX(I1775:Z1775,$H$1))</f>
        <v>NGL – Natural Gas Liquefaction</v>
      </c>
      <c r="I1775" s="17" t="s">
        <v>199</v>
      </c>
      <c r="J1775" s="17" t="s">
        <v>199</v>
      </c>
      <c r="K1775" s="17" t="s">
        <v>199</v>
      </c>
    </row>
    <row r="1776" spans="1:11" x14ac:dyDescent="0.35">
      <c r="A1776" s="10" t="s">
        <v>1185</v>
      </c>
      <c r="B1776" s="255">
        <v>10</v>
      </c>
      <c r="C1776" s="10" t="s">
        <v>204</v>
      </c>
      <c r="D1776" s="10">
        <v>1</v>
      </c>
      <c r="E1776" s="10">
        <v>50</v>
      </c>
      <c r="F1776" s="10" t="s">
        <v>690</v>
      </c>
      <c r="G1776" s="10" t="s">
        <v>695</v>
      </c>
      <c r="H1776" s="10" t="str" cm="1">
        <f t="array" aca="1" ref="H1776" ca="1">IF(INDEX(I1776:Z1776,$H$1)=0,"",INDEX(I1776:Z1776,$H$1))</f>
        <v>PIG Receiver or Sender</v>
      </c>
      <c r="I1776" s="17" t="s">
        <v>230</v>
      </c>
      <c r="J1776" s="17" t="s">
        <v>230</v>
      </c>
      <c r="K1776" s="17" t="s">
        <v>230</v>
      </c>
    </row>
    <row r="1777" spans="1:11" x14ac:dyDescent="0.35">
      <c r="A1777" s="10" t="s">
        <v>1185</v>
      </c>
      <c r="B1777" s="255">
        <v>10</v>
      </c>
      <c r="C1777" s="10" t="s">
        <v>204</v>
      </c>
      <c r="D1777" s="10">
        <v>1</v>
      </c>
      <c r="E1777" s="10">
        <v>51</v>
      </c>
      <c r="F1777" s="10" t="s">
        <v>690</v>
      </c>
      <c r="G1777" s="10" t="s">
        <v>695</v>
      </c>
      <c r="H1777" s="10" t="str" cm="1">
        <f t="array" aca="1" ref="H1777" ca="1">IF(INDEX(I1777:Z1777,$H$1)=0,"",INDEX(I1777:Z1777,$H$1))</f>
        <v>Power Generator: Natural Gas Fuelled (Driver: Gas Turbine)</v>
      </c>
      <c r="I1777" s="17" t="s">
        <v>2674</v>
      </c>
      <c r="J1777" s="17" t="s">
        <v>2674</v>
      </c>
      <c r="K1777" s="17" t="s">
        <v>2674</v>
      </c>
    </row>
    <row r="1778" spans="1:11" x14ac:dyDescent="0.35">
      <c r="A1778" s="10" t="s">
        <v>1185</v>
      </c>
      <c r="B1778" s="255">
        <v>10</v>
      </c>
      <c r="C1778" s="10" t="s">
        <v>204</v>
      </c>
      <c r="D1778" s="10">
        <v>1</v>
      </c>
      <c r="E1778" s="10">
        <v>52</v>
      </c>
      <c r="F1778" s="10" t="s">
        <v>690</v>
      </c>
      <c r="G1778" s="10" t="s">
        <v>695</v>
      </c>
      <c r="H1778" s="10" t="str" cm="1">
        <f t="array" aca="1" ref="H1778" ca="1">IF(INDEX(I1778:Z1778,$H$1)=0,"",INDEX(I1778:Z1778,$H$1))</f>
        <v>Power Generator: Natural Gas Fuelled (Driver: Recip. Engine)</v>
      </c>
      <c r="I1778" s="17" t="s">
        <v>2403</v>
      </c>
      <c r="J1778" s="17" t="s">
        <v>2403</v>
      </c>
      <c r="K1778" s="17" t="s">
        <v>2403</v>
      </c>
    </row>
    <row r="1779" spans="1:11" x14ac:dyDescent="0.35">
      <c r="A1779" s="10" t="s">
        <v>1185</v>
      </c>
      <c r="B1779" s="255">
        <v>10</v>
      </c>
      <c r="C1779" s="10" t="s">
        <v>204</v>
      </c>
      <c r="D1779" s="10">
        <v>1</v>
      </c>
      <c r="E1779" s="10">
        <v>53</v>
      </c>
      <c r="F1779" s="10" t="s">
        <v>690</v>
      </c>
      <c r="G1779" s="10" t="s">
        <v>695</v>
      </c>
      <c r="H1779" s="10" t="str" cm="1">
        <f t="array" aca="1" ref="H1779" ca="1">IF(INDEX(I1779:Z1779,$H$1)=0,"",INDEX(I1779:Z1779,$H$1))</f>
        <v>Pump: Hydrocarbon Service (Driver: Motor)</v>
      </c>
      <c r="I1779" s="17" t="s">
        <v>3409</v>
      </c>
      <c r="J1779" s="17" t="s">
        <v>3409</v>
      </c>
      <c r="K1779" s="17" t="s">
        <v>3409</v>
      </c>
    </row>
    <row r="1780" spans="1:11" x14ac:dyDescent="0.35">
      <c r="A1780" s="10" t="s">
        <v>1185</v>
      </c>
      <c r="B1780" s="255">
        <v>10</v>
      </c>
      <c r="C1780" s="10" t="s">
        <v>204</v>
      </c>
      <c r="D1780" s="10">
        <v>1</v>
      </c>
      <c r="E1780" s="10">
        <v>54</v>
      </c>
      <c r="F1780" s="10" t="s">
        <v>690</v>
      </c>
      <c r="G1780" s="10" t="s">
        <v>695</v>
      </c>
      <c r="H1780" s="10" t="str" cm="1">
        <f t="array" aca="1" ref="H1780" ca="1">IF(INDEX(I1780:Z1780,$H$1)=0,"",INDEX(I1780:Z1780,$H$1))</f>
        <v>Pump: Hydrocarbon Service (Driver: Recip Engine) (Fuel: Gaseous)</v>
      </c>
      <c r="I1780" s="17" t="s">
        <v>3410</v>
      </c>
      <c r="J1780" s="17" t="s">
        <v>3410</v>
      </c>
      <c r="K1780" s="17" t="s">
        <v>3410</v>
      </c>
    </row>
    <row r="1781" spans="1:11" x14ac:dyDescent="0.35">
      <c r="A1781" s="10" t="s">
        <v>1185</v>
      </c>
      <c r="B1781" s="255">
        <v>10</v>
      </c>
      <c r="C1781" s="10" t="s">
        <v>204</v>
      </c>
      <c r="D1781" s="10">
        <v>1</v>
      </c>
      <c r="E1781" s="10">
        <v>55</v>
      </c>
      <c r="F1781" s="10" t="s">
        <v>690</v>
      </c>
      <c r="G1781" s="10" t="s">
        <v>695</v>
      </c>
      <c r="H1781" s="10" t="str" cm="1">
        <f t="array" aca="1" ref="H1781" ca="1">IF(INDEX(I1781:Z1781,$H$1)=0,"",INDEX(I1781:Z1781,$H$1))</f>
        <v>Pump: Hydrocarbon Service (Driver: Recip Engine) (Fuel: Liquid)</v>
      </c>
      <c r="I1781" s="17" t="s">
        <v>3411</v>
      </c>
      <c r="J1781" s="17" t="s">
        <v>3411</v>
      </c>
      <c r="K1781" s="17" t="s">
        <v>3411</v>
      </c>
    </row>
    <row r="1782" spans="1:11" x14ac:dyDescent="0.35">
      <c r="A1782" s="10" t="s">
        <v>1185</v>
      </c>
      <c r="B1782" s="255">
        <v>10</v>
      </c>
      <c r="C1782" s="10" t="s">
        <v>204</v>
      </c>
      <c r="D1782" s="10">
        <v>1</v>
      </c>
      <c r="E1782" s="10">
        <v>56</v>
      </c>
      <c r="F1782" s="10" t="s">
        <v>690</v>
      </c>
      <c r="G1782" s="10" t="s">
        <v>695</v>
      </c>
      <c r="H1782" s="10" t="str" cm="1">
        <f t="array" aca="1" ref="H1782" ca="1">IF(INDEX(I1782:Z1782,$H$1)=0,"",INDEX(I1782:Z1782,$H$1))</f>
        <v>Pump: Non-Hydrocarbon Service (Driver: Recip Engine) (Fuel: Gaseous)</v>
      </c>
      <c r="I1782" s="17" t="s">
        <v>3408</v>
      </c>
      <c r="J1782" s="17" t="s">
        <v>3408</v>
      </c>
      <c r="K1782" s="17" t="s">
        <v>3408</v>
      </c>
    </row>
    <row r="1783" spans="1:11" x14ac:dyDescent="0.35">
      <c r="A1783" s="10" t="s">
        <v>1185</v>
      </c>
      <c r="B1783" s="255">
        <v>10</v>
      </c>
      <c r="C1783" s="10" t="s">
        <v>204</v>
      </c>
      <c r="D1783" s="10">
        <v>1</v>
      </c>
      <c r="E1783" s="10">
        <v>57</v>
      </c>
      <c r="F1783" s="10" t="s">
        <v>690</v>
      </c>
      <c r="G1783" s="10" t="s">
        <v>695</v>
      </c>
      <c r="H1783" s="10" t="str" cm="1">
        <f t="array" aca="1" ref="H1783" ca="1">IF(INDEX(I1783:Z1783,$H$1)=0,"",INDEX(I1783:Z1783,$H$1))</f>
        <v>Pump: Non-Hydrocarbon Service (Driver: Recip Engine) (Fuel: Gaseous)</v>
      </c>
      <c r="I1783" s="17" t="s">
        <v>3408</v>
      </c>
      <c r="J1783" s="17" t="s">
        <v>3408</v>
      </c>
      <c r="K1783" s="17" t="s">
        <v>3408</v>
      </c>
    </row>
    <row r="1784" spans="1:11" x14ac:dyDescent="0.35">
      <c r="A1784" s="10" t="s">
        <v>1185</v>
      </c>
      <c r="B1784" s="255">
        <v>10</v>
      </c>
      <c r="C1784" s="10" t="s">
        <v>204</v>
      </c>
      <c r="D1784" s="10">
        <v>1</v>
      </c>
      <c r="E1784" s="10">
        <v>58</v>
      </c>
      <c r="F1784" s="10" t="s">
        <v>690</v>
      </c>
      <c r="G1784" s="10" t="s">
        <v>695</v>
      </c>
      <c r="H1784" s="10" t="str" cm="1">
        <f t="array" aca="1" ref="H1784" ca="1">IF(INDEX(I1784:Z1784,$H$1)=0,"",INDEX(I1784:Z1784,$H$1))</f>
        <v>Refrigeration (Propane)</v>
      </c>
      <c r="I1784" s="17" t="s">
        <v>245</v>
      </c>
      <c r="J1784" s="17" t="s">
        <v>245</v>
      </c>
      <c r="K1784" s="17" t="s">
        <v>245</v>
      </c>
    </row>
    <row r="1785" spans="1:11" x14ac:dyDescent="0.35">
      <c r="A1785" s="10" t="s">
        <v>1185</v>
      </c>
      <c r="B1785" s="255">
        <v>10</v>
      </c>
      <c r="C1785" s="10" t="s">
        <v>204</v>
      </c>
      <c r="D1785" s="10">
        <v>1</v>
      </c>
      <c r="E1785" s="10">
        <v>59</v>
      </c>
      <c r="F1785" s="10" t="s">
        <v>690</v>
      </c>
      <c r="G1785" s="10" t="s">
        <v>695</v>
      </c>
      <c r="H1785" s="10" t="str" cm="1">
        <f t="array" aca="1" ref="H1785" ca="1">IF(INDEX(I1785:Z1785,$H$1)=0,"",INDEX(I1785:Z1785,$H$1))</f>
        <v>Separator: Filter Separator</v>
      </c>
      <c r="I1785" s="17" t="s">
        <v>2404</v>
      </c>
      <c r="J1785" s="17" t="s">
        <v>2404</v>
      </c>
      <c r="K1785" s="17" t="s">
        <v>2404</v>
      </c>
    </row>
    <row r="1786" spans="1:11" x14ac:dyDescent="0.35">
      <c r="A1786" s="10" t="s">
        <v>1185</v>
      </c>
      <c r="B1786" s="255">
        <v>10</v>
      </c>
      <c r="C1786" s="10" t="s">
        <v>204</v>
      </c>
      <c r="D1786" s="10">
        <v>1</v>
      </c>
      <c r="E1786" s="10">
        <v>60</v>
      </c>
      <c r="F1786" s="10" t="s">
        <v>690</v>
      </c>
      <c r="G1786" s="10" t="s">
        <v>695</v>
      </c>
      <c r="H1786" s="10" t="str" cm="1">
        <f t="array" aca="1" ref="H1786" ca="1">IF(INDEX(I1786:Z1786,$H$1)=0,"",INDEX(I1786:Z1786,$H$1))</f>
        <v>Separator: Horizontal (Phases: 2)</v>
      </c>
      <c r="I1786" s="17" t="s">
        <v>2405</v>
      </c>
      <c r="J1786" s="17" t="s">
        <v>2405</v>
      </c>
      <c r="K1786" s="17" t="s">
        <v>2405</v>
      </c>
    </row>
    <row r="1787" spans="1:11" x14ac:dyDescent="0.35">
      <c r="A1787" s="10" t="s">
        <v>1185</v>
      </c>
      <c r="B1787" s="255">
        <v>10</v>
      </c>
      <c r="C1787" s="10" t="s">
        <v>204</v>
      </c>
      <c r="D1787" s="10">
        <v>1</v>
      </c>
      <c r="E1787" s="10">
        <v>61</v>
      </c>
      <c r="F1787" s="10" t="s">
        <v>690</v>
      </c>
      <c r="G1787" s="10" t="s">
        <v>695</v>
      </c>
      <c r="H1787" s="10" t="str" cm="1">
        <f t="array" aca="1" ref="H1787" ca="1">IF(INDEX(I1787:Z1787,$H$1)=0,"",INDEX(I1787:Z1787,$H$1))</f>
        <v>Separator: Horizontal (Phases: 3)</v>
      </c>
      <c r="I1787" s="17" t="s">
        <v>2406</v>
      </c>
      <c r="J1787" s="17" t="s">
        <v>2406</v>
      </c>
      <c r="K1787" s="17" t="s">
        <v>2406</v>
      </c>
    </row>
    <row r="1788" spans="1:11" x14ac:dyDescent="0.35">
      <c r="A1788" s="10" t="s">
        <v>1185</v>
      </c>
      <c r="B1788" s="255">
        <v>10</v>
      </c>
      <c r="C1788" s="10" t="s">
        <v>204</v>
      </c>
      <c r="D1788" s="10">
        <v>1</v>
      </c>
      <c r="E1788" s="10">
        <v>62</v>
      </c>
      <c r="F1788" s="10" t="s">
        <v>690</v>
      </c>
      <c r="G1788" s="10" t="s">
        <v>695</v>
      </c>
      <c r="H1788" s="10" t="str" cm="1">
        <f t="array" aca="1" ref="H1788" ca="1">IF(INDEX(I1788:Z1788,$H$1)=0,"",INDEX(I1788:Z1788,$H$1))</f>
        <v>Separator: Vertical (Phases: 2)</v>
      </c>
      <c r="I1788" s="18" t="s">
        <v>2407</v>
      </c>
      <c r="J1788" s="18" t="s">
        <v>2407</v>
      </c>
      <c r="K1788" s="18" t="s">
        <v>2407</v>
      </c>
    </row>
    <row r="1789" spans="1:11" x14ac:dyDescent="0.35">
      <c r="A1789" s="10" t="s">
        <v>1185</v>
      </c>
      <c r="B1789" s="255">
        <v>10</v>
      </c>
      <c r="C1789" s="10" t="s">
        <v>204</v>
      </c>
      <c r="D1789" s="10">
        <v>1</v>
      </c>
      <c r="E1789" s="10">
        <v>63</v>
      </c>
      <c r="F1789" s="10" t="s">
        <v>690</v>
      </c>
      <c r="G1789" s="10" t="s">
        <v>695</v>
      </c>
      <c r="H1789" s="10" t="str" cm="1">
        <f t="array" aca="1" ref="H1789" ca="1">IF(INDEX(I1789:Z1789,$H$1)=0,"",INDEX(I1789:Z1789,$H$1))</f>
        <v>Separator: Vertical (Phases: 3)</v>
      </c>
      <c r="I1789" s="17" t="s">
        <v>2408</v>
      </c>
      <c r="J1789" s="17" t="s">
        <v>2408</v>
      </c>
      <c r="K1789" s="17" t="s">
        <v>2408</v>
      </c>
    </row>
    <row r="1790" spans="1:11" x14ac:dyDescent="0.35">
      <c r="A1790" s="10" t="s">
        <v>1185</v>
      </c>
      <c r="B1790" s="255">
        <v>10</v>
      </c>
      <c r="C1790" s="10" t="s">
        <v>204</v>
      </c>
      <c r="D1790" s="10">
        <v>1</v>
      </c>
      <c r="E1790" s="10">
        <v>64</v>
      </c>
      <c r="F1790" s="10" t="s">
        <v>690</v>
      </c>
      <c r="G1790" s="10" t="s">
        <v>695</v>
      </c>
      <c r="H1790" s="10" t="str" cm="1">
        <f t="array" aca="1" ref="H1790" ca="1">IF(INDEX(I1790:Z1790,$H$1)=0,"",INDEX(I1790:Z1790,$H$1))</f>
        <v>Stabilizer: with Reflux Loop</v>
      </c>
      <c r="I1790" s="17" t="s">
        <v>2409</v>
      </c>
      <c r="J1790" s="17" t="s">
        <v>2409</v>
      </c>
      <c r="K1790" s="17" t="s">
        <v>2409</v>
      </c>
    </row>
    <row r="1791" spans="1:11" x14ac:dyDescent="0.35">
      <c r="A1791" s="10" t="s">
        <v>1185</v>
      </c>
      <c r="B1791" s="255">
        <v>10</v>
      </c>
      <c r="C1791" s="10" t="s">
        <v>204</v>
      </c>
      <c r="D1791" s="10">
        <v>1</v>
      </c>
      <c r="E1791" s="10">
        <v>65</v>
      </c>
      <c r="F1791" s="10" t="s">
        <v>690</v>
      </c>
      <c r="G1791" s="10" t="s">
        <v>695</v>
      </c>
      <c r="H1791" s="10" t="str" cm="1">
        <f t="array" aca="1" ref="H1791" ca="1">IF(INDEX(I1791:Z1791,$H$1)=0,"",INDEX(I1791:Z1791,$H$1))</f>
        <v>Stabilizer: without Reflux Loop</v>
      </c>
      <c r="I1791" s="17" t="s">
        <v>2410</v>
      </c>
      <c r="J1791" s="17" t="s">
        <v>2410</v>
      </c>
      <c r="K1791" s="17" t="s">
        <v>2410</v>
      </c>
    </row>
    <row r="1792" spans="1:11" x14ac:dyDescent="0.35">
      <c r="A1792" s="10" t="s">
        <v>1185</v>
      </c>
      <c r="B1792" s="255">
        <v>10</v>
      </c>
      <c r="C1792" s="10" t="s">
        <v>204</v>
      </c>
      <c r="D1792" s="10">
        <v>1</v>
      </c>
      <c r="E1792" s="10">
        <v>66</v>
      </c>
      <c r="F1792" s="10" t="s">
        <v>690</v>
      </c>
      <c r="G1792" s="10" t="s">
        <v>695</v>
      </c>
      <c r="H1792" s="10" t="str" cm="1">
        <f t="array" aca="1" ref="H1792" ca="1">IF(INDEX(I1792:Z1792,$H$1)=0,"",INDEX(I1792:Z1792,$H$1))</f>
        <v>Storage Tank (Produced Oil, with Vapor Control)</v>
      </c>
      <c r="I1792" s="17" t="s">
        <v>365</v>
      </c>
      <c r="J1792" s="17" t="s">
        <v>365</v>
      </c>
      <c r="K1792" s="17" t="s">
        <v>365</v>
      </c>
    </row>
    <row r="1793" spans="1:11" x14ac:dyDescent="0.35">
      <c r="A1793" s="10" t="s">
        <v>1185</v>
      </c>
      <c r="B1793" s="255">
        <v>10</v>
      </c>
      <c r="C1793" s="10" t="s">
        <v>204</v>
      </c>
      <c r="D1793" s="10">
        <v>1</v>
      </c>
      <c r="E1793" s="10">
        <v>67</v>
      </c>
      <c r="F1793" s="10" t="s">
        <v>690</v>
      </c>
      <c r="G1793" s="10" t="s">
        <v>695</v>
      </c>
      <c r="H1793" s="10" t="str" cm="1">
        <f t="array" aca="1" ref="H1793" ca="1">IF(INDEX(I1793:Z1793,$H$1)=0,"",INDEX(I1793:Z1793,$H$1))</f>
        <v>Storage Tank (Produced Oil, without Vapor Control)</v>
      </c>
      <c r="I1793" s="17" t="s">
        <v>366</v>
      </c>
      <c r="J1793" s="17" t="s">
        <v>366</v>
      </c>
      <c r="K1793" s="17" t="s">
        <v>366</v>
      </c>
    </row>
    <row r="1794" spans="1:11" x14ac:dyDescent="0.35">
      <c r="A1794" s="10" t="s">
        <v>1185</v>
      </c>
      <c r="B1794" s="255">
        <v>10</v>
      </c>
      <c r="C1794" s="10" t="s">
        <v>204</v>
      </c>
      <c r="D1794" s="10">
        <v>1</v>
      </c>
      <c r="E1794" s="10">
        <v>68</v>
      </c>
      <c r="F1794" s="10" t="s">
        <v>690</v>
      </c>
      <c r="G1794" s="10" t="s">
        <v>695</v>
      </c>
      <c r="H1794" s="10" t="str" cm="1">
        <f t="array" aca="1" ref="H1794" ca="1">IF(INDEX(I1794:Z1794,$H$1)=0,"",INDEX(I1794:Z1794,$H$1))</f>
        <v>Storage Tank (Produced Water, with Vapor Control)</v>
      </c>
      <c r="I1794" s="17" t="s">
        <v>364</v>
      </c>
      <c r="J1794" s="17" t="s">
        <v>364</v>
      </c>
      <c r="K1794" s="17" t="s">
        <v>364</v>
      </c>
    </row>
    <row r="1795" spans="1:11" x14ac:dyDescent="0.35">
      <c r="A1795" s="10" t="s">
        <v>1185</v>
      </c>
      <c r="B1795" s="255">
        <v>10</v>
      </c>
      <c r="C1795" s="10" t="s">
        <v>204</v>
      </c>
      <c r="D1795" s="10">
        <v>1</v>
      </c>
      <c r="E1795" s="10">
        <v>69</v>
      </c>
      <c r="F1795" s="10" t="s">
        <v>690</v>
      </c>
      <c r="G1795" s="10" t="s">
        <v>695</v>
      </c>
      <c r="H1795" s="10" t="str" cm="1">
        <f t="array" aca="1" ref="H1795" ca="1">IF(INDEX(I1795:Z1795,$H$1)=0,"",INDEX(I1795:Z1795,$H$1))</f>
        <v>Storage Tank (Produced Water, without Vapor Control)</v>
      </c>
      <c r="I1795" s="17" t="s">
        <v>363</v>
      </c>
      <c r="J1795" s="17" t="s">
        <v>363</v>
      </c>
      <c r="K1795" s="17" t="s">
        <v>363</v>
      </c>
    </row>
    <row r="1796" spans="1:11" x14ac:dyDescent="0.35">
      <c r="A1796" s="10" t="s">
        <v>1185</v>
      </c>
      <c r="B1796" s="255">
        <v>10</v>
      </c>
      <c r="C1796" s="10" t="s">
        <v>204</v>
      </c>
      <c r="D1796" s="10">
        <v>1</v>
      </c>
      <c r="E1796" s="10">
        <v>70</v>
      </c>
      <c r="F1796" s="10" t="s">
        <v>690</v>
      </c>
      <c r="G1796" s="10" t="s">
        <v>695</v>
      </c>
      <c r="H1796" s="10" t="str" cm="1">
        <f t="array" aca="1" ref="H1796" ca="1">IF(INDEX(I1796:Z1796,$H$1)=0,"",INDEX(I1796:Z1796,$H$1))</f>
        <v>Storage Tank: Chemicals with Natural Gas Blanketing)</v>
      </c>
      <c r="I1796" s="17" t="s">
        <v>3412</v>
      </c>
      <c r="J1796" s="17" t="s">
        <v>3412</v>
      </c>
      <c r="K1796" s="17" t="s">
        <v>3412</v>
      </c>
    </row>
    <row r="1797" spans="1:11" x14ac:dyDescent="0.35">
      <c r="A1797" s="10" t="s">
        <v>1185</v>
      </c>
      <c r="B1797" s="255">
        <v>10</v>
      </c>
      <c r="C1797" s="10" t="s">
        <v>204</v>
      </c>
      <c r="D1797" s="10">
        <v>1</v>
      </c>
      <c r="E1797" s="10">
        <v>71</v>
      </c>
      <c r="F1797" s="10" t="s">
        <v>690</v>
      </c>
      <c r="G1797" s="10" t="s">
        <v>695</v>
      </c>
      <c r="H1797" s="10" t="str" cm="1">
        <f t="array" aca="1" ref="H1797" ca="1">IF(INDEX(I1797:Z1797,$H$1)=0,"",INDEX(I1797:Z1797,$H$1))</f>
        <v>Sulphur Recovery: Claus</v>
      </c>
      <c r="I1797" s="17" t="s">
        <v>2411</v>
      </c>
      <c r="J1797" s="17" t="s">
        <v>2411</v>
      </c>
      <c r="K1797" s="17" t="s">
        <v>2411</v>
      </c>
    </row>
    <row r="1798" spans="1:11" x14ac:dyDescent="0.35">
      <c r="A1798" s="10" t="s">
        <v>1185</v>
      </c>
      <c r="B1798" s="255">
        <v>10</v>
      </c>
      <c r="C1798" s="10" t="s">
        <v>204</v>
      </c>
      <c r="D1798" s="10">
        <v>1</v>
      </c>
      <c r="E1798" s="10">
        <v>72</v>
      </c>
      <c r="F1798" s="10" t="s">
        <v>690</v>
      </c>
      <c r="G1798" s="10" t="s">
        <v>695</v>
      </c>
      <c r="H1798" s="10" t="str" cm="1">
        <f t="array" aca="1" ref="H1798" ca="1">IF(INDEX(I1798:Z1798,$H$1)=0,"",INDEX(I1798:Z1798,$H$1))</f>
        <v>Sulphur Recovery: MCRC (Sub-dewpoint)</v>
      </c>
      <c r="I1798" s="17" t="s">
        <v>2412</v>
      </c>
      <c r="J1798" s="17" t="s">
        <v>2412</v>
      </c>
      <c r="K1798" s="17" t="s">
        <v>2412</v>
      </c>
    </row>
    <row r="1799" spans="1:11" x14ac:dyDescent="0.35">
      <c r="A1799" s="10" t="s">
        <v>1185</v>
      </c>
      <c r="B1799" s="255">
        <v>10</v>
      </c>
      <c r="C1799" s="10" t="s">
        <v>204</v>
      </c>
      <c r="D1799" s="10">
        <v>1</v>
      </c>
      <c r="E1799" s="10">
        <v>73</v>
      </c>
      <c r="F1799" s="10" t="s">
        <v>690</v>
      </c>
      <c r="G1799" s="10" t="s">
        <v>695</v>
      </c>
      <c r="H1799" s="10" t="str" cm="1">
        <f t="array" aca="1" ref="H1799" ca="1">IF(INDEX(I1799:Z1799,$H$1)=0,"",INDEX(I1799:Z1799,$H$1))</f>
        <v>Sweetening: (Physical Solvent)</v>
      </c>
      <c r="I1799" s="17" t="s">
        <v>2413</v>
      </c>
      <c r="J1799" s="17" t="s">
        <v>2413</v>
      </c>
      <c r="K1799" s="17" t="s">
        <v>2413</v>
      </c>
    </row>
    <row r="1800" spans="1:11" x14ac:dyDescent="0.35">
      <c r="A1800" s="10" t="s">
        <v>1185</v>
      </c>
      <c r="B1800" s="255">
        <v>10</v>
      </c>
      <c r="C1800" s="10" t="s">
        <v>204</v>
      </c>
      <c r="D1800" s="10">
        <v>1</v>
      </c>
      <c r="E1800" s="10">
        <v>74</v>
      </c>
      <c r="F1800" s="10" t="s">
        <v>690</v>
      </c>
      <c r="G1800" s="10" t="s">
        <v>695</v>
      </c>
      <c r="H1800" s="10" t="str" cm="1">
        <f t="array" aca="1" ref="H1800" ca="1">IF(INDEX(I1800:Z1800,$H$1)=0,"",INDEX(I1800:Z1800,$H$1))</f>
        <v>Sweetening: Chemsweet</v>
      </c>
      <c r="I1800" s="17" t="s">
        <v>2414</v>
      </c>
      <c r="J1800" s="17" t="s">
        <v>2414</v>
      </c>
      <c r="K1800" s="17" t="s">
        <v>2414</v>
      </c>
    </row>
    <row r="1801" spans="1:11" x14ac:dyDescent="0.35">
      <c r="A1801" s="10" t="s">
        <v>1185</v>
      </c>
      <c r="B1801" s="255">
        <v>10</v>
      </c>
      <c r="C1801" s="10" t="s">
        <v>204</v>
      </c>
      <c r="D1801" s="10">
        <v>1</v>
      </c>
      <c r="E1801" s="10">
        <v>75</v>
      </c>
      <c r="F1801" s="10" t="s">
        <v>690</v>
      </c>
      <c r="G1801" s="10" t="s">
        <v>695</v>
      </c>
      <c r="H1801" s="10" t="str" cm="1">
        <f t="array" aca="1" ref="H1801" ca="1">IF(INDEX(I1801:Z1801,$H$1)=0,"",INDEX(I1801:Z1801,$H$1))</f>
        <v>Sweetening: DEA (Diethanolamine)</v>
      </c>
      <c r="I1801" s="17" t="s">
        <v>2415</v>
      </c>
      <c r="J1801" s="17" t="s">
        <v>2415</v>
      </c>
      <c r="K1801" s="17" t="s">
        <v>2415</v>
      </c>
    </row>
    <row r="1802" spans="1:11" x14ac:dyDescent="0.35">
      <c r="A1802" s="10" t="s">
        <v>1185</v>
      </c>
      <c r="B1802" s="255">
        <v>10</v>
      </c>
      <c r="C1802" s="10" t="s">
        <v>204</v>
      </c>
      <c r="D1802" s="10">
        <v>1</v>
      </c>
      <c r="E1802" s="10">
        <v>76</v>
      </c>
      <c r="F1802" s="10" t="s">
        <v>690</v>
      </c>
      <c r="G1802" s="10" t="s">
        <v>695</v>
      </c>
      <c r="H1802" s="10" t="str" cm="1">
        <f t="array" aca="1" ref="H1802" ca="1">IF(INDEX(I1802:Z1802,$H$1)=0,"",INDEX(I1802:Z1802,$H$1))</f>
        <v>Sweetening: DGA (Diglycolamine)</v>
      </c>
      <c r="I1802" s="17" t="s">
        <v>2416</v>
      </c>
      <c r="J1802" s="17" t="s">
        <v>2416</v>
      </c>
      <c r="K1802" s="17" t="s">
        <v>2416</v>
      </c>
    </row>
    <row r="1803" spans="1:11" x14ac:dyDescent="0.35">
      <c r="A1803" s="10" t="s">
        <v>1185</v>
      </c>
      <c r="B1803" s="255">
        <v>10</v>
      </c>
      <c r="C1803" s="10" t="s">
        <v>204</v>
      </c>
      <c r="D1803" s="10">
        <v>1</v>
      </c>
      <c r="E1803" s="10">
        <v>77</v>
      </c>
      <c r="F1803" s="10" t="s">
        <v>690</v>
      </c>
      <c r="G1803" s="10" t="s">
        <v>695</v>
      </c>
      <c r="H1803" s="10" t="str" cm="1">
        <f t="array" aca="1" ref="H1803" ca="1">IF(INDEX(I1803:Z1803,$H$1)=0,"",INDEX(I1803:Z1803,$H$1))</f>
        <v>Sweetening: Generic</v>
      </c>
      <c r="I1803" s="17" t="s">
        <v>2417</v>
      </c>
      <c r="J1803" s="17" t="s">
        <v>2417</v>
      </c>
      <c r="K1803" s="17" t="s">
        <v>2417</v>
      </c>
    </row>
    <row r="1804" spans="1:11" x14ac:dyDescent="0.35">
      <c r="A1804" s="10" t="s">
        <v>1185</v>
      </c>
      <c r="B1804" s="255">
        <v>10</v>
      </c>
      <c r="C1804" s="10" t="s">
        <v>204</v>
      </c>
      <c r="D1804" s="10">
        <v>1</v>
      </c>
      <c r="E1804" s="10">
        <v>78</v>
      </c>
      <c r="F1804" s="10" t="s">
        <v>690</v>
      </c>
      <c r="G1804" s="10" t="s">
        <v>695</v>
      </c>
      <c r="H1804" s="10" t="str" cm="1">
        <f t="array" aca="1" ref="H1804" ca="1">IF(INDEX(I1804:Z1804,$H$1)=0,"",INDEX(I1804:Z1804,$H$1))</f>
        <v>Sweetening: Iron Sponge</v>
      </c>
      <c r="I1804" s="17" t="s">
        <v>2418</v>
      </c>
      <c r="J1804" s="17" t="s">
        <v>2418</v>
      </c>
      <c r="K1804" s="17" t="s">
        <v>2418</v>
      </c>
    </row>
    <row r="1805" spans="1:11" x14ac:dyDescent="0.35">
      <c r="A1805" s="10" t="s">
        <v>1185</v>
      </c>
      <c r="B1805" s="255">
        <v>10</v>
      </c>
      <c r="C1805" s="10" t="s">
        <v>204</v>
      </c>
      <c r="D1805" s="10">
        <v>1</v>
      </c>
      <c r="E1805" s="10">
        <v>79</v>
      </c>
      <c r="F1805" s="10" t="s">
        <v>690</v>
      </c>
      <c r="G1805" s="10" t="s">
        <v>695</v>
      </c>
      <c r="H1805" s="10" t="str" cm="1">
        <f t="array" aca="1" ref="H1805" ca="1">IF(INDEX(I1805:Z1805,$H$1)=0,"",INDEX(I1805:Z1805,$H$1))</f>
        <v>Sweetening: LoCat</v>
      </c>
      <c r="I1805" s="17" t="s">
        <v>2419</v>
      </c>
      <c r="J1805" s="17" t="s">
        <v>2419</v>
      </c>
      <c r="K1805" s="17" t="s">
        <v>2419</v>
      </c>
    </row>
    <row r="1806" spans="1:11" x14ac:dyDescent="0.35">
      <c r="A1806" s="10" t="s">
        <v>1185</v>
      </c>
      <c r="B1806" s="255">
        <v>10</v>
      </c>
      <c r="C1806" s="10" t="s">
        <v>204</v>
      </c>
      <c r="D1806" s="10">
        <v>1</v>
      </c>
      <c r="E1806" s="10">
        <v>80</v>
      </c>
      <c r="F1806" s="10" t="s">
        <v>690</v>
      </c>
      <c r="G1806" s="10" t="s">
        <v>695</v>
      </c>
      <c r="H1806" s="10" t="str" cm="1">
        <f t="array" aca="1" ref="H1806" ca="1">IF(INDEX(I1806:Z1806,$H$1)=0,"",INDEX(I1806:Z1806,$H$1))</f>
        <v>Sweetening: MDEA (Monodiethanolamine)</v>
      </c>
      <c r="I1806" s="17" t="s">
        <v>2420</v>
      </c>
      <c r="J1806" s="17" t="s">
        <v>2420</v>
      </c>
      <c r="K1806" s="17" t="s">
        <v>2420</v>
      </c>
    </row>
    <row r="1807" spans="1:11" x14ac:dyDescent="0.35">
      <c r="A1807" s="10" t="s">
        <v>1185</v>
      </c>
      <c r="B1807" s="255">
        <v>10</v>
      </c>
      <c r="C1807" s="10" t="s">
        <v>204</v>
      </c>
      <c r="D1807" s="10">
        <v>1</v>
      </c>
      <c r="E1807" s="10">
        <v>81</v>
      </c>
      <c r="F1807" s="10" t="s">
        <v>690</v>
      </c>
      <c r="G1807" s="10" t="s">
        <v>695</v>
      </c>
      <c r="H1807" s="10" t="str" cm="1">
        <f t="array" aca="1" ref="H1807" ca="1">IF(INDEX(I1807:Z1807,$H$1)=0,"",INDEX(I1807:Z1807,$H$1))</f>
        <v>Sweetening: MEA (Monoethanolamine)</v>
      </c>
      <c r="I1807" s="17" t="s">
        <v>2421</v>
      </c>
      <c r="J1807" s="17" t="s">
        <v>2421</v>
      </c>
      <c r="K1807" s="17" t="s">
        <v>2421</v>
      </c>
    </row>
    <row r="1808" spans="1:11" x14ac:dyDescent="0.35">
      <c r="A1808" s="10" t="s">
        <v>1185</v>
      </c>
      <c r="B1808" s="255">
        <v>10</v>
      </c>
      <c r="C1808" s="10" t="s">
        <v>204</v>
      </c>
      <c r="D1808" s="10">
        <v>1</v>
      </c>
      <c r="E1808" s="10">
        <v>82</v>
      </c>
      <c r="F1808" s="10" t="s">
        <v>690</v>
      </c>
      <c r="G1808" s="10" t="s">
        <v>695</v>
      </c>
      <c r="H1808" s="10" t="str" cm="1">
        <f t="array" aca="1" ref="H1808" ca="1">IF(INDEX(I1808:Z1808,$H$1)=0,"",INDEX(I1808:Z1808,$H$1))</f>
        <v>Sweetening: Selexol</v>
      </c>
      <c r="I1808" s="17" t="s">
        <v>2422</v>
      </c>
      <c r="J1808" s="17" t="s">
        <v>2422</v>
      </c>
      <c r="K1808" s="17" t="s">
        <v>2422</v>
      </c>
    </row>
    <row r="1809" spans="1:11" x14ac:dyDescent="0.35">
      <c r="A1809" s="10" t="s">
        <v>1185</v>
      </c>
      <c r="B1809" s="255">
        <v>10</v>
      </c>
      <c r="C1809" s="10" t="s">
        <v>204</v>
      </c>
      <c r="D1809" s="10">
        <v>1</v>
      </c>
      <c r="E1809" s="10">
        <v>83</v>
      </c>
      <c r="F1809" s="10" t="s">
        <v>690</v>
      </c>
      <c r="G1809" s="10" t="s">
        <v>695</v>
      </c>
      <c r="H1809" s="10" t="str" cm="1">
        <f t="array" aca="1" ref="H1809" ca="1">IF(INDEX(I1809:Z1809,$H$1)=0,"",INDEX(I1809:Z1809,$H$1))</f>
        <v>Sweetening: Sulfacheck</v>
      </c>
      <c r="I1809" s="17" t="s">
        <v>2423</v>
      </c>
      <c r="J1809" s="17" t="s">
        <v>2423</v>
      </c>
      <c r="K1809" s="17" t="s">
        <v>2423</v>
      </c>
    </row>
    <row r="1810" spans="1:11" x14ac:dyDescent="0.35">
      <c r="A1810" s="10" t="s">
        <v>1185</v>
      </c>
      <c r="B1810" s="255">
        <v>10</v>
      </c>
      <c r="C1810" s="10" t="s">
        <v>204</v>
      </c>
      <c r="D1810" s="10">
        <v>1</v>
      </c>
      <c r="E1810" s="10">
        <v>84</v>
      </c>
      <c r="F1810" s="10" t="s">
        <v>690</v>
      </c>
      <c r="G1810" s="10" t="s">
        <v>695</v>
      </c>
      <c r="H1810" s="10" t="str" cm="1">
        <f t="array" aca="1" ref="H1810" ca="1">IF(INDEX(I1810:Z1810,$H$1)=0,"",INDEX(I1810:Z1810,$H$1))</f>
        <v>Sweetening: Sulfinol</v>
      </c>
      <c r="I1810" s="17" t="s">
        <v>2424</v>
      </c>
      <c r="J1810" s="17" t="s">
        <v>2424</v>
      </c>
      <c r="K1810" s="17" t="s">
        <v>2424</v>
      </c>
    </row>
    <row r="1811" spans="1:11" x14ac:dyDescent="0.35">
      <c r="A1811" s="10" t="s">
        <v>1185</v>
      </c>
      <c r="B1811" s="255">
        <v>10</v>
      </c>
      <c r="C1811" s="10" t="s">
        <v>204</v>
      </c>
      <c r="D1811" s="10">
        <v>1</v>
      </c>
      <c r="E1811" s="10">
        <v>85</v>
      </c>
      <c r="F1811" s="10" t="s">
        <v>690</v>
      </c>
      <c r="G1811" s="10" t="s">
        <v>695</v>
      </c>
      <c r="H1811" s="10" t="str" cm="1">
        <f t="array" aca="1" ref="H1811" ca="1">IF(INDEX(I1811:Z1811,$H$1)=0,"",INDEX(I1811:Z1811,$H$1))</f>
        <v>Vapor Recovery Unit: Offshore</v>
      </c>
      <c r="I1811" s="17" t="s">
        <v>2425</v>
      </c>
      <c r="J1811" s="17" t="s">
        <v>2425</v>
      </c>
      <c r="K1811" s="17" t="s">
        <v>2425</v>
      </c>
    </row>
    <row r="1812" spans="1:11" x14ac:dyDescent="0.35">
      <c r="A1812" s="10" t="s">
        <v>1185</v>
      </c>
      <c r="B1812" s="255">
        <v>10</v>
      </c>
      <c r="C1812" s="10" t="s">
        <v>204</v>
      </c>
      <c r="D1812" s="10">
        <v>1</v>
      </c>
      <c r="E1812" s="10">
        <v>86</v>
      </c>
      <c r="F1812" s="10" t="s">
        <v>690</v>
      </c>
      <c r="G1812" s="10" t="s">
        <v>695</v>
      </c>
      <c r="H1812" s="10" t="str" cm="1">
        <f t="array" aca="1" ref="H1812" ca="1">IF(INDEX(I1812:Z1812,$H$1)=0,"",INDEX(I1812:Z1812,$H$1))</f>
        <v>Vapor Recovery Unit: Onshore</v>
      </c>
      <c r="I1812" s="17" t="s">
        <v>2426</v>
      </c>
      <c r="J1812" s="17" t="s">
        <v>2426</v>
      </c>
      <c r="K1812" s="17" t="s">
        <v>2426</v>
      </c>
    </row>
    <row r="1813" spans="1:11" x14ac:dyDescent="0.35">
      <c r="A1813" s="10" t="s">
        <v>1185</v>
      </c>
      <c r="B1813" s="255">
        <v>10</v>
      </c>
      <c r="C1813" s="10" t="s">
        <v>204</v>
      </c>
      <c r="D1813" s="10">
        <v>1</v>
      </c>
      <c r="E1813" s="10">
        <v>87</v>
      </c>
      <c r="F1813" s="10" t="s">
        <v>690</v>
      </c>
      <c r="G1813" s="10" t="s">
        <v>695</v>
      </c>
      <c r="H1813" s="10" t="str" cm="1">
        <f t="array" aca="1" ref="H1813" ca="1">IF(INDEX(I1813:Z1813,$H$1)=0,"",INDEX(I1813:Z1813,$H$1))</f>
        <v>Well: Offshore</v>
      </c>
      <c r="I1813" s="17" t="s">
        <v>2430</v>
      </c>
      <c r="J1813" s="17" t="s">
        <v>2430</v>
      </c>
      <c r="K1813" s="17" t="s">
        <v>2430</v>
      </c>
    </row>
    <row r="1814" spans="1:11" x14ac:dyDescent="0.35">
      <c r="A1814" s="10" t="s">
        <v>1185</v>
      </c>
      <c r="B1814" s="255">
        <v>10</v>
      </c>
      <c r="C1814" s="10" t="s">
        <v>204</v>
      </c>
      <c r="D1814" s="10">
        <v>1</v>
      </c>
      <c r="E1814" s="10">
        <v>88</v>
      </c>
      <c r="F1814" s="10" t="s">
        <v>690</v>
      </c>
      <c r="G1814" s="10" t="s">
        <v>695</v>
      </c>
      <c r="H1814" s="10" t="str" cm="1">
        <f t="array" aca="1" ref="H1814" ca="1">IF(INDEX(I1814:Z1814,$H$1)=0,"",INDEX(I1814:Z1814,$H$1))</f>
        <v>Blowdown System: Generic (Pit or Vent)</v>
      </c>
      <c r="I1814" s="17" t="s">
        <v>2374</v>
      </c>
      <c r="J1814" s="17" t="s">
        <v>2374</v>
      </c>
      <c r="K1814" s="17" t="s">
        <v>2374</v>
      </c>
    </row>
    <row r="1815" spans="1:11" x14ac:dyDescent="0.35">
      <c r="A1815" s="10" t="s">
        <v>1185</v>
      </c>
      <c r="B1815" s="255">
        <v>10</v>
      </c>
      <c r="C1815" s="10" t="s">
        <v>204</v>
      </c>
      <c r="D1815" s="10">
        <v>1</v>
      </c>
      <c r="E1815" s="10">
        <v>89</v>
      </c>
      <c r="F1815" s="10" t="s">
        <v>690</v>
      </c>
      <c r="G1815" s="10" t="s">
        <v>695</v>
      </c>
      <c r="H1815" s="10" t="str" cm="1">
        <f t="array" aca="1" ref="H1815" ca="1">IF(INDEX(I1815:Z1815,$H$1)=0,"",INDEX(I1815:Z1815,$H$1))</f>
        <v>Aerial Cooler: Natural Gas Service</v>
      </c>
      <c r="I1815" s="17" t="s">
        <v>3396</v>
      </c>
      <c r="J1815" s="17" t="s">
        <v>3396</v>
      </c>
      <c r="K1815" s="17" t="s">
        <v>3396</v>
      </c>
    </row>
    <row r="1816" spans="1:11" x14ac:dyDescent="0.35">
      <c r="A1816" s="10" t="s">
        <v>1185</v>
      </c>
      <c r="B1816" s="255">
        <v>10</v>
      </c>
      <c r="C1816" s="10" t="s">
        <v>204</v>
      </c>
      <c r="D1816" s="10">
        <v>1</v>
      </c>
      <c r="E1816" s="10">
        <v>90</v>
      </c>
      <c r="F1816" s="10" t="s">
        <v>690</v>
      </c>
      <c r="G1816" s="10" t="s">
        <v>695</v>
      </c>
      <c r="H1816" s="10" t="str" cm="1">
        <f t="array" aca="1" ref="H1816" ca="1">IF(INDEX(I1816:Z1816,$H$1)=0,"",INDEX(I1816:Z1816,$H$1))</f>
        <v>Aerial Cooler: Hydrocarbon Liquid Service</v>
      </c>
      <c r="I1816" s="17" t="s">
        <v>3403</v>
      </c>
      <c r="J1816" s="17" t="s">
        <v>3403</v>
      </c>
      <c r="K1816" s="17" t="s">
        <v>3403</v>
      </c>
    </row>
    <row r="1817" spans="1:11" x14ac:dyDescent="0.35">
      <c r="A1817" s="10" t="s">
        <v>1185</v>
      </c>
      <c r="B1817" s="255">
        <v>10</v>
      </c>
      <c r="C1817" s="10" t="s">
        <v>204</v>
      </c>
      <c r="D1817" s="10">
        <v>1</v>
      </c>
      <c r="E1817" s="10">
        <v>91</v>
      </c>
      <c r="F1817" s="10" t="s">
        <v>690</v>
      </c>
      <c r="G1817" s="10" t="s">
        <v>695</v>
      </c>
      <c r="H1817" s="10" t="str" cm="1">
        <f t="array" aca="1" ref="H1817" ca="1">IF(INDEX(I1817:Z1817,$H$1)=0,"",INDEX(I1817:Z1817,$H$1))</f>
        <v>Chemical Injection Pump: Pneumatic (Diaphragm Type)</v>
      </c>
      <c r="I1817" s="17" t="s">
        <v>2375</v>
      </c>
      <c r="J1817" s="17" t="s">
        <v>2375</v>
      </c>
      <c r="K1817" s="17" t="s">
        <v>2375</v>
      </c>
    </row>
    <row r="1818" spans="1:11" x14ac:dyDescent="0.35">
      <c r="A1818" s="10" t="s">
        <v>1185</v>
      </c>
      <c r="B1818" s="255">
        <v>10</v>
      </c>
      <c r="C1818" s="10" t="s">
        <v>204</v>
      </c>
      <c r="D1818" s="10">
        <v>1</v>
      </c>
      <c r="E1818" s="10">
        <f>ROW('Equipment Schedules'!A$13)</f>
        <v>13</v>
      </c>
      <c r="F1818" s="10" t="s">
        <v>687</v>
      </c>
      <c r="G1818" s="10" t="s">
        <v>695</v>
      </c>
      <c r="H1818" s="10" t="str" cm="1">
        <f t="array" aca="1" ref="H1818" ca="1">IF(INDEX(I1818:Z1818,$H$1)=0,"",INDEX(I1818:Z1818,$H$1))</f>
        <v>Chemical Injection Pump: Pneumatic (Piston Type)</v>
      </c>
      <c r="I1818" s="17" t="s">
        <v>2376</v>
      </c>
      <c r="J1818" s="17" t="s">
        <v>2376</v>
      </c>
      <c r="K1818" s="17" t="s">
        <v>2376</v>
      </c>
    </row>
    <row r="1819" spans="1:11" x14ac:dyDescent="0.35">
      <c r="A1819" s="10" t="s">
        <v>1185</v>
      </c>
      <c r="B1819" s="255">
        <v>10</v>
      </c>
      <c r="C1819" s="10" t="s">
        <v>204</v>
      </c>
      <c r="D1819" s="10">
        <v>1</v>
      </c>
      <c r="E1819" s="10">
        <v>92</v>
      </c>
      <c r="F1819" s="10" t="s">
        <v>690</v>
      </c>
      <c r="G1819" s="10" t="s">
        <v>695</v>
      </c>
      <c r="H1819" s="10" t="str" cm="1">
        <f t="array" aca="1" ref="H1819" ca="1">IF(INDEX(I1819:Z1819,$H$1)=0,"",INDEX(I1819:Z1819,$H$1))</f>
        <v>Chemical Injection Pump: Pneumatic (Unknown Type)</v>
      </c>
      <c r="I1819" s="17" t="s">
        <v>2377</v>
      </c>
      <c r="J1819" s="17" t="s">
        <v>2377</v>
      </c>
      <c r="K1819" s="17" t="s">
        <v>2377</v>
      </c>
    </row>
    <row r="1820" spans="1:11" x14ac:dyDescent="0.35">
      <c r="A1820" s="10" t="s">
        <v>1185</v>
      </c>
      <c r="B1820" s="255">
        <v>10</v>
      </c>
      <c r="C1820" s="10" t="s">
        <v>204</v>
      </c>
      <c r="D1820" s="10">
        <v>1</v>
      </c>
      <c r="E1820" s="10">
        <v>93</v>
      </c>
      <c r="F1820" s="10" t="s">
        <v>690</v>
      </c>
      <c r="G1820" s="10" t="s">
        <v>695</v>
      </c>
      <c r="H1820" s="10" t="str" cm="1">
        <f t="array" aca="1" ref="H1820" ca="1">IF(INDEX(I1820:Z1820,$H$1)=0,"",INDEX(I1820:Z1820,$H$1))</f>
        <v>Compressor: Centrifugal: (Stages: 1) (Seals: Wet) (Driver: Electric Motor)</v>
      </c>
      <c r="I1820" s="17" t="s">
        <v>3219</v>
      </c>
      <c r="J1820" s="17" t="s">
        <v>3219</v>
      </c>
      <c r="K1820" s="17" t="s">
        <v>3219</v>
      </c>
    </row>
    <row r="1821" spans="1:11" x14ac:dyDescent="0.35">
      <c r="A1821" s="10" t="s">
        <v>1185</v>
      </c>
      <c r="B1821" s="255">
        <v>10</v>
      </c>
      <c r="C1821" s="10" t="s">
        <v>204</v>
      </c>
      <c r="D1821" s="10">
        <v>1</v>
      </c>
      <c r="E1821" s="10">
        <v>94</v>
      </c>
      <c r="F1821" s="10" t="s">
        <v>690</v>
      </c>
      <c r="G1821" s="10" t="s">
        <v>695</v>
      </c>
      <c r="H1821" s="10" t="str" cm="1">
        <f t="array" aca="1" ref="H1821" ca="1">IF(INDEX(I1821:Z1821,$H$1)=0,"",INDEX(I1821:Z1821,$H$1))</f>
        <v>Compressor: Centrifugal: (Stages: 1) (Seals: Wet) (Driver: Gas Turbine)</v>
      </c>
      <c r="I1821" s="17" t="s">
        <v>3220</v>
      </c>
      <c r="J1821" s="17" t="s">
        <v>3220</v>
      </c>
      <c r="K1821" s="17" t="s">
        <v>3220</v>
      </c>
    </row>
    <row r="1822" spans="1:11" x14ac:dyDescent="0.35">
      <c r="A1822" s="10" t="s">
        <v>1185</v>
      </c>
      <c r="B1822" s="255">
        <v>10</v>
      </c>
      <c r="C1822" s="10" t="s">
        <v>204</v>
      </c>
      <c r="D1822" s="10">
        <v>1</v>
      </c>
      <c r="E1822" s="10">
        <v>95</v>
      </c>
      <c r="F1822" s="10" t="s">
        <v>690</v>
      </c>
      <c r="G1822" s="10" t="s">
        <v>695</v>
      </c>
      <c r="H1822" s="10" t="str" cm="1">
        <f t="array" aca="1" ref="H1822" ca="1">IF(INDEX(I1822:Z1822,$H$1)=0,"",INDEX(I1822:Z1822,$H$1))</f>
        <v>Compressor: Centrifugal: (Stages: 2) (Seals: Wet) (Driver: Electric Motor)</v>
      </c>
      <c r="I1822" s="17" t="s">
        <v>3221</v>
      </c>
      <c r="J1822" s="17" t="s">
        <v>3221</v>
      </c>
      <c r="K1822" s="17" t="s">
        <v>3221</v>
      </c>
    </row>
    <row r="1823" spans="1:11" x14ac:dyDescent="0.35">
      <c r="A1823" s="10" t="s">
        <v>1185</v>
      </c>
      <c r="B1823" s="255">
        <v>10</v>
      </c>
      <c r="C1823" s="10" t="s">
        <v>204</v>
      </c>
      <c r="D1823" s="10">
        <v>1</v>
      </c>
      <c r="E1823" s="10">
        <v>96</v>
      </c>
      <c r="F1823" s="10" t="s">
        <v>690</v>
      </c>
      <c r="G1823" s="10" t="s">
        <v>695</v>
      </c>
      <c r="H1823" s="10" t="str" cm="1">
        <f t="array" aca="1" ref="H1823" ca="1">IF(INDEX(I1823:Z1823,$H$1)=0,"",INDEX(I1823:Z1823,$H$1))</f>
        <v>Compressor: Centrifugal: (Stages: 2) (Seals: Wet) (Driver: Gas Turbine)</v>
      </c>
      <c r="I1823" s="17" t="s">
        <v>3222</v>
      </c>
      <c r="J1823" s="17" t="s">
        <v>3222</v>
      </c>
      <c r="K1823" s="17" t="s">
        <v>3222</v>
      </c>
    </row>
    <row r="1824" spans="1:11" x14ac:dyDescent="0.35">
      <c r="A1824" s="10" t="s">
        <v>1185</v>
      </c>
      <c r="B1824" s="255">
        <v>10</v>
      </c>
      <c r="C1824" s="10" t="s">
        <v>204</v>
      </c>
      <c r="D1824" s="10">
        <v>1</v>
      </c>
      <c r="E1824" s="10">
        <v>97</v>
      </c>
      <c r="F1824" s="10" t="s">
        <v>690</v>
      </c>
      <c r="G1824" s="10" t="s">
        <v>695</v>
      </c>
      <c r="H1824" s="10" t="str" cm="1">
        <f t="array" aca="1" ref="H1824" ca="1">IF(INDEX(I1824:Z1824,$H$1)=0,"",INDEX(I1824:Z1824,$H$1))</f>
        <v>Compressor: Centrifugal: (Stages: 1) (Seals: Dry) (Driver: Electric Motor)</v>
      </c>
      <c r="I1824" s="17" t="s">
        <v>3223</v>
      </c>
      <c r="J1824" s="17" t="s">
        <v>3223</v>
      </c>
      <c r="K1824" s="17" t="s">
        <v>3223</v>
      </c>
    </row>
    <row r="1825" spans="1:11" x14ac:dyDescent="0.35">
      <c r="A1825" s="10" t="s">
        <v>1185</v>
      </c>
      <c r="B1825" s="255">
        <v>10</v>
      </c>
      <c r="C1825" s="10" t="s">
        <v>204</v>
      </c>
      <c r="D1825" s="10">
        <v>1</v>
      </c>
      <c r="E1825" s="10">
        <v>98</v>
      </c>
      <c r="F1825" s="10" t="s">
        <v>690</v>
      </c>
      <c r="G1825" s="10" t="s">
        <v>695</v>
      </c>
      <c r="H1825" s="10" t="str" cm="1">
        <f t="array" aca="1" ref="H1825" ca="1">IF(INDEX(I1825:Z1825,$H$1)=0,"",INDEX(I1825:Z1825,$H$1))</f>
        <v>Compressor: Centrifugal: (Stages: 1) (Seals: Dry) (Driver: Gas Turbine)</v>
      </c>
      <c r="I1825" s="17" t="s">
        <v>3224</v>
      </c>
      <c r="J1825" s="17" t="s">
        <v>3224</v>
      </c>
      <c r="K1825" s="17" t="s">
        <v>3224</v>
      </c>
    </row>
    <row r="1826" spans="1:11" x14ac:dyDescent="0.35">
      <c r="A1826" s="10" t="s">
        <v>1185</v>
      </c>
      <c r="B1826" s="255">
        <v>10</v>
      </c>
      <c r="C1826" s="10" t="s">
        <v>204</v>
      </c>
      <c r="D1826" s="10">
        <v>1</v>
      </c>
      <c r="E1826" s="10">
        <v>99</v>
      </c>
      <c r="F1826" s="10" t="s">
        <v>690</v>
      </c>
      <c r="G1826" s="10" t="s">
        <v>695</v>
      </c>
      <c r="H1826" s="10" t="str" cm="1">
        <f t="array" aca="1" ref="H1826" ca="1">IF(INDEX(I1826:Z1826,$H$1)=0,"",INDEX(I1826:Z1826,$H$1))</f>
        <v>Compressor: Centrifugal: (Stages: 2) (Seals: Dry) (Driver: Electric Motor)</v>
      </c>
      <c r="I1826" s="17" t="s">
        <v>3225</v>
      </c>
      <c r="J1826" s="17" t="s">
        <v>3225</v>
      </c>
      <c r="K1826" s="17" t="s">
        <v>3225</v>
      </c>
    </row>
    <row r="1827" spans="1:11" x14ac:dyDescent="0.35">
      <c r="A1827" s="10" t="s">
        <v>1185</v>
      </c>
      <c r="B1827" s="255">
        <v>10</v>
      </c>
      <c r="C1827" s="10" t="s">
        <v>204</v>
      </c>
      <c r="D1827" s="10">
        <v>1</v>
      </c>
      <c r="E1827" s="10">
        <v>99</v>
      </c>
      <c r="F1827" s="10" t="s">
        <v>690</v>
      </c>
      <c r="G1827" s="10" t="s">
        <v>695</v>
      </c>
      <c r="H1827" s="10" t="str" cm="1">
        <f t="array" aca="1" ref="H1827" ca="1">IF(INDEX(I1827:Z1827,$H$1)=0,"",INDEX(I1827:Z1827,$H$1))</f>
        <v>Compressor: Centrifugal: (Stages: 2) (Seals: Dry) (Driver: Gas Turbine)</v>
      </c>
      <c r="I1827" s="17" t="s">
        <v>3226</v>
      </c>
      <c r="J1827" s="17" t="s">
        <v>3226</v>
      </c>
      <c r="K1827" s="17" t="s">
        <v>3226</v>
      </c>
    </row>
    <row r="1828" spans="1:11" x14ac:dyDescent="0.35">
      <c r="A1828" s="10" t="s">
        <v>1185</v>
      </c>
      <c r="B1828" s="255">
        <v>10</v>
      </c>
      <c r="C1828" s="10" t="s">
        <v>204</v>
      </c>
      <c r="D1828" s="10">
        <v>1</v>
      </c>
      <c r="E1828" s="10">
        <v>99</v>
      </c>
      <c r="F1828" s="10" t="s">
        <v>690</v>
      </c>
      <c r="G1828" s="10" t="s">
        <v>695</v>
      </c>
      <c r="H1828" s="10" t="str" cm="1">
        <f t="array" aca="1" ref="H1828" ca="1">IF(INDEX(I1828:Z1828,$H$1)=0,"",INDEX(I1828:Z1828,$H$1))</f>
        <v>Compressor: Reciprocating: (Stages: 1) (Driver: Electric Motor)</v>
      </c>
      <c r="I1828" s="17" t="s">
        <v>2378</v>
      </c>
      <c r="J1828" s="17" t="s">
        <v>2378</v>
      </c>
      <c r="K1828" s="17" t="s">
        <v>2378</v>
      </c>
    </row>
    <row r="1829" spans="1:11" x14ac:dyDescent="0.35">
      <c r="A1829" s="10" t="s">
        <v>1185</v>
      </c>
      <c r="B1829" s="255">
        <v>10</v>
      </c>
      <c r="C1829" s="10" t="s">
        <v>204</v>
      </c>
      <c r="D1829" s="10">
        <v>1</v>
      </c>
      <c r="E1829" s="10">
        <v>99</v>
      </c>
      <c r="F1829" s="10" t="s">
        <v>690</v>
      </c>
      <c r="G1829" s="10" t="s">
        <v>695</v>
      </c>
      <c r="H1829" s="10" t="str" cm="1">
        <f t="array" aca="1" ref="H1829" ca="1">IF(INDEX(I1829:Z1829,$H$1)=0,"",INDEX(I1829:Z1829,$H$1))</f>
        <v>Compressor: Reciprocating: (Stages: 1) (Driver: Recip Engine)</v>
      </c>
      <c r="I1829" s="17" t="s">
        <v>2379</v>
      </c>
      <c r="J1829" s="17" t="s">
        <v>2379</v>
      </c>
      <c r="K1829" s="17" t="s">
        <v>2379</v>
      </c>
    </row>
    <row r="1830" spans="1:11" x14ac:dyDescent="0.35">
      <c r="A1830" s="10" t="s">
        <v>1185</v>
      </c>
      <c r="B1830" s="255">
        <v>10</v>
      </c>
      <c r="C1830" s="10" t="s">
        <v>204</v>
      </c>
      <c r="D1830" s="10">
        <v>1</v>
      </c>
      <c r="E1830" s="10">
        <v>99</v>
      </c>
      <c r="F1830" s="10" t="s">
        <v>690</v>
      </c>
      <c r="G1830" s="10" t="s">
        <v>695</v>
      </c>
      <c r="H1830" s="10" t="str" cm="1">
        <f t="array" aca="1" ref="H1830" ca="1">IF(INDEX(I1830:Z1830,$H$1)=0,"",INDEX(I1830:Z1830,$H$1))</f>
        <v>Compressor: Reciprocating: (Stages: 2) (Driver: Electric Motor)</v>
      </c>
      <c r="I1830" s="17" t="s">
        <v>2380</v>
      </c>
      <c r="J1830" s="17" t="s">
        <v>2380</v>
      </c>
      <c r="K1830" s="17" t="s">
        <v>2380</v>
      </c>
    </row>
    <row r="1831" spans="1:11" x14ac:dyDescent="0.35">
      <c r="A1831" s="10" t="s">
        <v>1185</v>
      </c>
      <c r="B1831" s="255">
        <v>10</v>
      </c>
      <c r="C1831" s="10" t="s">
        <v>204</v>
      </c>
      <c r="D1831" s="10">
        <v>1</v>
      </c>
      <c r="E1831" s="10">
        <v>100</v>
      </c>
      <c r="F1831" s="10" t="s">
        <v>690</v>
      </c>
      <c r="G1831" s="10" t="s">
        <v>695</v>
      </c>
      <c r="H1831" s="10" t="str" cm="1">
        <f t="array" aca="1" ref="H1831" ca="1">IF(INDEX(I1831:Z1831,$H$1)=0,"",INDEX(I1831:Z1831,$H$1))</f>
        <v>Compressor: Reciprocating: (Stages: 2) (Driver: Recip Engine)</v>
      </c>
      <c r="I1831" s="17" t="s">
        <v>2381</v>
      </c>
      <c r="J1831" s="17" t="s">
        <v>2381</v>
      </c>
      <c r="K1831" s="17" t="s">
        <v>2381</v>
      </c>
    </row>
    <row r="1832" spans="1:11" x14ac:dyDescent="0.35">
      <c r="A1832" s="10" t="s">
        <v>1185</v>
      </c>
      <c r="B1832" s="255">
        <v>10</v>
      </c>
      <c r="C1832" s="10" t="s">
        <v>204</v>
      </c>
      <c r="D1832" s="10">
        <v>1</v>
      </c>
      <c r="E1832" s="10">
        <v>101</v>
      </c>
      <c r="F1832" s="10" t="s">
        <v>690</v>
      </c>
      <c r="G1832" s="10" t="s">
        <v>695</v>
      </c>
      <c r="H1832" s="10" t="str" cm="1">
        <f t="array" aca="1" ref="H1832" ca="1">IF(INDEX(I1832:Z1832,$H$1)=0,"",INDEX(I1832:Z1832,$H$1))</f>
        <v>Compressor: Reciprocating: (Stages: 3) (Driver: Electric Motor)</v>
      </c>
      <c r="I1832" s="17" t="s">
        <v>2382</v>
      </c>
      <c r="J1832" s="17" t="s">
        <v>2382</v>
      </c>
      <c r="K1832" s="17" t="s">
        <v>2382</v>
      </c>
    </row>
    <row r="1833" spans="1:11" x14ac:dyDescent="0.35">
      <c r="A1833" s="10" t="s">
        <v>1185</v>
      </c>
      <c r="B1833" s="255">
        <v>10</v>
      </c>
      <c r="C1833" s="10" t="s">
        <v>204</v>
      </c>
      <c r="D1833" s="10">
        <v>1</v>
      </c>
      <c r="E1833" s="10">
        <v>102</v>
      </c>
      <c r="F1833" s="10" t="s">
        <v>690</v>
      </c>
      <c r="G1833" s="10" t="s">
        <v>695</v>
      </c>
      <c r="H1833" s="10" t="str" cm="1">
        <f t="array" aca="1" ref="H1833" ca="1">IF(INDEX(I1833:Z1833,$H$1)=0,"",INDEX(I1833:Z1833,$H$1))</f>
        <v>Compressor: Reciprocating: (Stages: 3) (Driver: Recip Engine)</v>
      </c>
      <c r="I1833" s="17" t="s">
        <v>2383</v>
      </c>
      <c r="J1833" s="17" t="s">
        <v>2383</v>
      </c>
      <c r="K1833" s="17" t="s">
        <v>2383</v>
      </c>
    </row>
    <row r="1834" spans="1:11" x14ac:dyDescent="0.35">
      <c r="A1834" s="10" t="s">
        <v>1185</v>
      </c>
      <c r="B1834" s="255">
        <v>10</v>
      </c>
      <c r="C1834" s="10" t="s">
        <v>204</v>
      </c>
      <c r="D1834" s="10">
        <v>1</v>
      </c>
      <c r="E1834" s="10">
        <v>103</v>
      </c>
      <c r="F1834" s="10" t="s">
        <v>690</v>
      </c>
      <c r="G1834" s="10" t="s">
        <v>695</v>
      </c>
      <c r="H1834" s="10" t="str" cm="1">
        <f t="array" aca="1" ref="H1834" ca="1">IF(INDEX(I1834:Z1834,$H$1)=0,"",INDEX(I1834:Z1834,$H$1))</f>
        <v>Compressor: Reciprocating: (Stages 4) (Driver: Electric Motor)</v>
      </c>
      <c r="I1834" s="17" t="s">
        <v>3308</v>
      </c>
      <c r="J1834" s="17" t="s">
        <v>3308</v>
      </c>
      <c r="K1834" s="17" t="s">
        <v>3308</v>
      </c>
    </row>
    <row r="1835" spans="1:11" x14ac:dyDescent="0.35">
      <c r="A1835" s="10" t="s">
        <v>1185</v>
      </c>
      <c r="B1835" s="255">
        <v>10</v>
      </c>
      <c r="C1835" s="10" t="s">
        <v>204</v>
      </c>
      <c r="D1835" s="10">
        <v>1</v>
      </c>
      <c r="E1835" s="10">
        <v>104</v>
      </c>
      <c r="F1835" s="10" t="s">
        <v>690</v>
      </c>
      <c r="G1835" s="10" t="s">
        <v>695</v>
      </c>
      <c r="H1835" s="10" t="str" cm="1">
        <f t="array" aca="1" ref="H1835" ca="1">IF(INDEX(I1835:Z1835,$H$1)=0,"",INDEX(I1835:Z1835,$H$1))</f>
        <v>Compressor: Reciprocating: (Stages 4) (Driver: Recip Engine)</v>
      </c>
      <c r="I1835" s="17" t="s">
        <v>3307</v>
      </c>
      <c r="J1835" s="17" t="s">
        <v>3307</v>
      </c>
      <c r="K1835" s="17" t="s">
        <v>3307</v>
      </c>
    </row>
    <row r="1836" spans="1:11" x14ac:dyDescent="0.35">
      <c r="A1836" s="10" t="s">
        <v>1185</v>
      </c>
      <c r="B1836" s="255">
        <v>10</v>
      </c>
      <c r="C1836" s="10" t="s">
        <v>204</v>
      </c>
      <c r="D1836" s="10">
        <v>1</v>
      </c>
      <c r="E1836" s="10">
        <v>105</v>
      </c>
      <c r="F1836" s="10" t="s">
        <v>690</v>
      </c>
      <c r="G1836" s="10" t="s">
        <v>695</v>
      </c>
      <c r="H1836" s="10" t="str" cm="1">
        <f t="array" aca="1" ref="H1836" ca="1">IF(INDEX(I1836:Z1836,$H$1)=0,"",INDEX(I1836:Z1836,$H$1))</f>
        <v>Compressor: Screw (Driver: Electric Motor)</v>
      </c>
      <c r="I1836" s="17" t="s">
        <v>2384</v>
      </c>
      <c r="J1836" s="17" t="s">
        <v>2384</v>
      </c>
      <c r="K1836" s="17" t="s">
        <v>2384</v>
      </c>
    </row>
    <row r="1837" spans="1:11" x14ac:dyDescent="0.35">
      <c r="A1837" s="10" t="s">
        <v>1185</v>
      </c>
      <c r="B1837" s="255">
        <v>10</v>
      </c>
      <c r="C1837" s="10" t="s">
        <v>204</v>
      </c>
      <c r="D1837" s="10">
        <v>1</v>
      </c>
      <c r="E1837" s="10">
        <v>105</v>
      </c>
      <c r="F1837" s="10" t="s">
        <v>690</v>
      </c>
      <c r="G1837" s="10" t="s">
        <v>695</v>
      </c>
      <c r="H1837" s="10" t="str" cm="1">
        <f t="array" aca="1" ref="H1837" ca="1">IF(INDEX(I1837:Z1837,$H$1)=0,"",INDEX(I1837:Z1837,$H$1))</f>
        <v>Compressor: Screw (Driver: Recip Engine)</v>
      </c>
      <c r="I1837" s="17" t="s">
        <v>2385</v>
      </c>
      <c r="J1837" s="17" t="s">
        <v>2385</v>
      </c>
      <c r="K1837" s="17" t="s">
        <v>2385</v>
      </c>
    </row>
    <row r="1838" spans="1:11" x14ac:dyDescent="0.35">
      <c r="A1838" s="10" t="s">
        <v>1185</v>
      </c>
      <c r="B1838" s="255">
        <v>10</v>
      </c>
      <c r="C1838" s="10" t="s">
        <v>204</v>
      </c>
      <c r="D1838" s="10">
        <v>1</v>
      </c>
      <c r="E1838" s="10">
        <v>105</v>
      </c>
      <c r="F1838" s="10" t="s">
        <v>690</v>
      </c>
      <c r="G1838" s="10" t="s">
        <v>695</v>
      </c>
      <c r="H1838" s="10" t="str" cm="1">
        <f t="array" aca="1" ref="H1838" ca="1">IF(INDEX(I1838:Z1838,$H$1)=0,"",INDEX(I1838:Z1838,$H$1))</f>
        <v>Dehydration: Desiccant (Adsorber Columns: 2)</v>
      </c>
      <c r="I1838" s="17" t="s">
        <v>2386</v>
      </c>
      <c r="J1838" s="17" t="s">
        <v>2386</v>
      </c>
      <c r="K1838" s="17" t="s">
        <v>2386</v>
      </c>
    </row>
    <row r="1839" spans="1:11" x14ac:dyDescent="0.35">
      <c r="A1839" s="10" t="s">
        <v>1185</v>
      </c>
      <c r="B1839" s="255">
        <v>10</v>
      </c>
      <c r="C1839" s="10" t="s">
        <v>204</v>
      </c>
      <c r="D1839" s="10">
        <v>1</v>
      </c>
      <c r="E1839" s="10">
        <v>106</v>
      </c>
      <c r="F1839" s="10" t="s">
        <v>690</v>
      </c>
      <c r="G1839" s="10" t="s">
        <v>695</v>
      </c>
      <c r="H1839" s="10" t="str" cm="1">
        <f t="array" aca="1" ref="H1839" ca="1">IF(INDEX(I1839:Z1839,$H$1)=0,"",INDEX(I1839:Z1839,$H$1))</f>
        <v>Dehydration: Desiccant (Adsorber Columns: 3)</v>
      </c>
      <c r="I1839" s="17" t="s">
        <v>2387</v>
      </c>
      <c r="J1839" s="17" t="s">
        <v>2387</v>
      </c>
      <c r="K1839" s="17" t="s">
        <v>2387</v>
      </c>
    </row>
    <row r="1840" spans="1:11" x14ac:dyDescent="0.35">
      <c r="A1840" s="10" t="s">
        <v>1185</v>
      </c>
      <c r="B1840" s="255">
        <v>10</v>
      </c>
      <c r="C1840" s="10" t="s">
        <v>204</v>
      </c>
      <c r="D1840" s="10">
        <v>1</v>
      </c>
      <c r="E1840" s="10">
        <v>107</v>
      </c>
      <c r="F1840" s="10" t="s">
        <v>690</v>
      </c>
      <c r="G1840" s="10" t="s">
        <v>695</v>
      </c>
      <c r="H1840" s="10" t="str" cm="1">
        <f t="array" aca="1" ref="H1840" ca="1">IF(INDEX(I1840:Z1840,$H$1)=0,"",INDEX(I1840:Z1840,$H$1))</f>
        <v>Dehydration: Glycol (with Gas-assisted Pump)</v>
      </c>
      <c r="I1840" s="17" t="s">
        <v>2388</v>
      </c>
      <c r="J1840" s="17" t="s">
        <v>2388</v>
      </c>
      <c r="K1840" s="17" t="s">
        <v>2388</v>
      </c>
    </row>
    <row r="1841" spans="1:11" x14ac:dyDescent="0.35">
      <c r="A1841" s="10" t="s">
        <v>1185</v>
      </c>
      <c r="B1841" s="255">
        <v>10</v>
      </c>
      <c r="C1841" s="10" t="s">
        <v>204</v>
      </c>
      <c r="D1841" s="10">
        <v>1</v>
      </c>
      <c r="E1841" s="10">
        <v>108</v>
      </c>
      <c r="F1841" s="10" t="s">
        <v>690</v>
      </c>
      <c r="G1841" s="10" t="s">
        <v>695</v>
      </c>
      <c r="H1841" s="10" t="str" cm="1">
        <f t="array" aca="1" ref="H1841" ca="1">IF(INDEX(I1841:Z1841,$H$1)=0,"",INDEX(I1841:Z1841,$H$1))</f>
        <v>Dehydration: Glycol (without Gas-assisted Pump)</v>
      </c>
      <c r="I1841" s="17" t="s">
        <v>2389</v>
      </c>
      <c r="J1841" s="17" t="s">
        <v>2389</v>
      </c>
      <c r="K1841" s="17" t="s">
        <v>2389</v>
      </c>
    </row>
    <row r="1842" spans="1:11" x14ac:dyDescent="0.35">
      <c r="A1842" s="10" t="s">
        <v>1185</v>
      </c>
      <c r="B1842" s="255">
        <v>10</v>
      </c>
      <c r="C1842" s="10" t="s">
        <v>204</v>
      </c>
      <c r="D1842" s="10">
        <v>1</v>
      </c>
      <c r="E1842" s="10">
        <v>109</v>
      </c>
      <c r="F1842" s="10" t="s">
        <v>690</v>
      </c>
      <c r="G1842" s="10" t="s">
        <v>695</v>
      </c>
      <c r="H1842" s="10" t="str" cm="1">
        <f t="array" aca="1" ref="H1842" ca="1">IF(INDEX(I1842:Z1842,$H$1)=0,"",INDEX(I1842:Z1842,$H$1))</f>
        <v>Flare System: Generic (Including Knock-out Drum)</v>
      </c>
      <c r="I1842" s="17" t="s">
        <v>2390</v>
      </c>
      <c r="J1842" s="17" t="s">
        <v>2390</v>
      </c>
      <c r="K1842" s="17" t="s">
        <v>2390</v>
      </c>
    </row>
    <row r="1843" spans="1:11" x14ac:dyDescent="0.35">
      <c r="A1843" s="10" t="s">
        <v>1185</v>
      </c>
      <c r="B1843" s="255">
        <v>10</v>
      </c>
      <c r="C1843" s="10" t="s">
        <v>204</v>
      </c>
      <c r="D1843" s="10">
        <v>1</v>
      </c>
      <c r="E1843" s="10">
        <v>110</v>
      </c>
      <c r="F1843" s="10" t="s">
        <v>690</v>
      </c>
      <c r="G1843" s="10" t="s">
        <v>695</v>
      </c>
      <c r="H1843" s="10" t="str" cm="1">
        <f t="array" aca="1" ref="H1843" ca="1">IF(INDEX(I1843:Z1843,$H$1)=0,"",INDEX(I1843:Z1843,$H$1))</f>
        <v>Heat Exchanger: Natural Gas/Steam</v>
      </c>
      <c r="I1843" s="17" t="s">
        <v>3399</v>
      </c>
      <c r="J1843" s="17" t="s">
        <v>3399</v>
      </c>
      <c r="K1843" s="17" t="s">
        <v>3399</v>
      </c>
    </row>
    <row r="1844" spans="1:11" x14ac:dyDescent="0.35">
      <c r="A1844" s="10" t="s">
        <v>1185</v>
      </c>
      <c r="B1844" s="255">
        <v>10</v>
      </c>
      <c r="C1844" s="10" t="s">
        <v>204</v>
      </c>
      <c r="D1844" s="10">
        <v>1</v>
      </c>
      <c r="E1844" s="10">
        <v>111</v>
      </c>
      <c r="F1844" s="10" t="s">
        <v>690</v>
      </c>
      <c r="G1844" s="10" t="s">
        <v>695</v>
      </c>
      <c r="H1844" s="10" t="str" cm="1">
        <f t="array" aca="1" ref="H1844" ca="1">IF(INDEX(I1844:Z1844,$H$1)=0,"",INDEX(I1844:Z1844,$H$1))</f>
        <v>Heat Exchanger: Natural Gas/Natural Gas</v>
      </c>
      <c r="I1844" s="17" t="s">
        <v>3398</v>
      </c>
      <c r="J1844" s="17" t="s">
        <v>3398</v>
      </c>
      <c r="K1844" s="17" t="s">
        <v>3398</v>
      </c>
    </row>
    <row r="1845" spans="1:11" x14ac:dyDescent="0.35">
      <c r="A1845" s="10" t="s">
        <v>1185</v>
      </c>
      <c r="B1845" s="255">
        <v>10</v>
      </c>
      <c r="C1845" s="10" t="s">
        <v>204</v>
      </c>
      <c r="D1845" s="10">
        <v>1</v>
      </c>
      <c r="E1845" s="10">
        <v>112</v>
      </c>
      <c r="F1845" s="10" t="s">
        <v>690</v>
      </c>
      <c r="G1845" s="10" t="s">
        <v>695</v>
      </c>
      <c r="H1845" s="10" t="str" cm="1">
        <f t="array" aca="1" ref="H1845" ca="1">IF(INDEX(I1845:Z1845,$H$1)=0,"",INDEX(I1845:Z1845,$H$1))</f>
        <v>Heat Exchanger: Natural Gas/Non-Hydrocarbon Liquid</v>
      </c>
      <c r="I1845" s="17" t="s">
        <v>3400</v>
      </c>
      <c r="J1845" s="17" t="s">
        <v>3400</v>
      </c>
      <c r="K1845" s="17" t="s">
        <v>3400</v>
      </c>
    </row>
    <row r="1846" spans="1:11" x14ac:dyDescent="0.35">
      <c r="A1846" s="10" t="s">
        <v>1185</v>
      </c>
      <c r="B1846" s="255">
        <v>10</v>
      </c>
      <c r="C1846" s="10" t="s">
        <v>204</v>
      </c>
      <c r="D1846" s="10">
        <v>1</v>
      </c>
      <c r="E1846" s="10">
        <v>113</v>
      </c>
      <c r="F1846" s="10" t="s">
        <v>690</v>
      </c>
      <c r="G1846" s="10" t="s">
        <v>695</v>
      </c>
      <c r="H1846" s="10" t="str" cm="1">
        <f t="array" aca="1" ref="H1846" ca="1">IF(INDEX(I1846:Z1846,$H$1)=0,"",INDEX(I1846:Z1846,$H$1))</f>
        <v>Heat Exchanger: Natural Gas/Hydrocarbon Liquid</v>
      </c>
      <c r="I1846" s="17" t="s">
        <v>3401</v>
      </c>
      <c r="J1846" s="17" t="s">
        <v>3401</v>
      </c>
      <c r="K1846" s="17" t="s">
        <v>3401</v>
      </c>
    </row>
    <row r="1847" spans="1:11" x14ac:dyDescent="0.35">
      <c r="A1847" s="10" t="s">
        <v>1185</v>
      </c>
      <c r="B1847" s="255">
        <v>10</v>
      </c>
      <c r="C1847" s="10" t="s">
        <v>204</v>
      </c>
      <c r="D1847" s="10">
        <v>1</v>
      </c>
      <c r="E1847" s="10">
        <v>114</v>
      </c>
      <c r="F1847" s="10" t="s">
        <v>690</v>
      </c>
      <c r="G1847" s="10" t="s">
        <v>695</v>
      </c>
      <c r="H1847" s="10" t="str" cm="1">
        <f t="array" aca="1" ref="H1847" ca="1">IF(INDEX(I1847:Z1847,$H$1)=0,"",INDEX(I1847:Z1847,$H$1))</f>
        <v>Heat Exchanger: Steam/Hydrocarbon Liquid</v>
      </c>
      <c r="I1847" s="17" t="s">
        <v>3402</v>
      </c>
      <c r="J1847" s="17" t="s">
        <v>3402</v>
      </c>
      <c r="K1847" s="17" t="s">
        <v>3402</v>
      </c>
    </row>
    <row r="1848" spans="1:11" x14ac:dyDescent="0.35">
      <c r="A1848" s="10" t="s">
        <v>1185</v>
      </c>
      <c r="B1848" s="255">
        <v>10</v>
      </c>
      <c r="C1848" s="10" t="s">
        <v>204</v>
      </c>
      <c r="D1848" s="10">
        <v>1</v>
      </c>
      <c r="E1848" s="10">
        <v>115</v>
      </c>
      <c r="F1848" s="10" t="s">
        <v>690</v>
      </c>
      <c r="G1848" s="10" t="s">
        <v>695</v>
      </c>
      <c r="H1848" s="10" t="str" cm="1">
        <f t="array" aca="1" ref="H1848" ca="1">IF(INDEX(I1848:Z1848,$H$1)=0,"",INDEX(I1848:Z1848,$H$1))</f>
        <v>Heat Exchanger: Hydrocarbon Liquid/Hydrocarbon Liquid</v>
      </c>
      <c r="I1848" s="17" t="s">
        <v>3397</v>
      </c>
      <c r="J1848" s="17" t="s">
        <v>3397</v>
      </c>
      <c r="K1848" s="17" t="s">
        <v>3397</v>
      </c>
    </row>
    <row r="1849" spans="1:11" x14ac:dyDescent="0.35">
      <c r="A1849" s="10" t="s">
        <v>1185</v>
      </c>
      <c r="B1849" s="255">
        <v>10</v>
      </c>
      <c r="C1849" s="10" t="s">
        <v>204</v>
      </c>
      <c r="D1849" s="10">
        <v>1</v>
      </c>
      <c r="E1849" s="10">
        <v>116</v>
      </c>
      <c r="F1849" s="10" t="s">
        <v>690</v>
      </c>
      <c r="G1849" s="10" t="s">
        <v>695</v>
      </c>
      <c r="H1849" s="10" t="str" cm="1">
        <f t="array" aca="1" ref="H1849" ca="1">IF(INDEX(I1849:Z1849,$H$1)=0,"",INDEX(I1849:Z1849,$H$1))</f>
        <v>Heater/Boiler/Reboiler: Generic (Burner Assemblies: 1)</v>
      </c>
      <c r="I1849" s="17" t="s">
        <v>2391</v>
      </c>
      <c r="J1849" s="17" t="s">
        <v>2391</v>
      </c>
      <c r="K1849" s="17" t="s">
        <v>2391</v>
      </c>
    </row>
    <row r="1850" spans="1:11" x14ac:dyDescent="0.35">
      <c r="A1850" s="10" t="s">
        <v>1185</v>
      </c>
      <c r="B1850" s="255">
        <v>10</v>
      </c>
      <c r="C1850" s="10" t="s">
        <v>204</v>
      </c>
      <c r="D1850" s="10">
        <v>1</v>
      </c>
      <c r="E1850" s="10">
        <v>117</v>
      </c>
      <c r="F1850" s="10" t="s">
        <v>690</v>
      </c>
      <c r="G1850" s="10" t="s">
        <v>695</v>
      </c>
      <c r="H1850" s="10" t="str" cm="1">
        <f t="array" aca="1" ref="H1850" ca="1">IF(INDEX(I1850:Z1850,$H$1)=0,"",INDEX(I1850:Z1850,$H$1))</f>
        <v>Heater/Boiler/Reboiler: Generic (Burner Assemblies: 2)</v>
      </c>
      <c r="I1850" s="17" t="s">
        <v>2392</v>
      </c>
      <c r="J1850" s="17" t="s">
        <v>2392</v>
      </c>
      <c r="K1850" s="17" t="s">
        <v>2392</v>
      </c>
    </row>
    <row r="1851" spans="1:11" x14ac:dyDescent="0.35">
      <c r="A1851" s="10" t="s">
        <v>1185</v>
      </c>
      <c r="B1851" s="255">
        <v>10</v>
      </c>
      <c r="C1851" s="10" t="s">
        <v>204</v>
      </c>
      <c r="D1851" s="10">
        <v>1</v>
      </c>
      <c r="E1851" s="10">
        <v>118</v>
      </c>
      <c r="F1851" s="10" t="s">
        <v>690</v>
      </c>
      <c r="G1851" s="10" t="s">
        <v>695</v>
      </c>
      <c r="H1851" s="10" t="str" cm="1">
        <f t="array" aca="1" ref="H1851" ca="1">IF(INDEX(I1851:Z1851,$H$1)=0,"",INDEX(I1851:Z1851,$H$1))</f>
        <v>Heater/Boiler/Reboiler: Generic (Burner Assemblies: 3)</v>
      </c>
      <c r="I1851" s="17" t="s">
        <v>2393</v>
      </c>
      <c r="J1851" s="17" t="s">
        <v>2393</v>
      </c>
      <c r="K1851" s="17" t="s">
        <v>2393</v>
      </c>
    </row>
    <row r="1852" spans="1:11" x14ac:dyDescent="0.35">
      <c r="A1852" s="10" t="s">
        <v>1185</v>
      </c>
      <c r="B1852" s="255">
        <v>10</v>
      </c>
      <c r="C1852" s="10" t="s">
        <v>204</v>
      </c>
      <c r="D1852" s="10">
        <v>1</v>
      </c>
      <c r="E1852" s="10">
        <v>119</v>
      </c>
      <c r="F1852" s="10" t="s">
        <v>690</v>
      </c>
      <c r="G1852" s="10" t="s">
        <v>695</v>
      </c>
      <c r="H1852" s="10" t="str" cm="1">
        <f t="array" aca="1" ref="H1852" ca="1">IF(INDEX(I1852:Z1852,$H$1)=0,"",INDEX(I1852:Z1852,$H$1))</f>
        <v>Heater/Boiler/Reboiler: Line (Burner Assemblies: 1)</v>
      </c>
      <c r="I1852" s="17" t="s">
        <v>2671</v>
      </c>
      <c r="J1852" s="17" t="s">
        <v>2671</v>
      </c>
      <c r="K1852" s="17" t="s">
        <v>2671</v>
      </c>
    </row>
    <row r="1853" spans="1:11" x14ac:dyDescent="0.35">
      <c r="A1853" s="10" t="s">
        <v>1185</v>
      </c>
      <c r="B1853" s="255">
        <v>10</v>
      </c>
      <c r="C1853" s="10" t="s">
        <v>204</v>
      </c>
      <c r="D1853" s="10">
        <v>1</v>
      </c>
      <c r="E1853" s="10">
        <v>120</v>
      </c>
      <c r="F1853" s="10" t="s">
        <v>690</v>
      </c>
      <c r="G1853" s="10" t="s">
        <v>695</v>
      </c>
      <c r="H1853" s="10" t="str" cm="1">
        <f t="array" aca="1" ref="H1853" ca="1">IF(INDEX(I1853:Z1853,$H$1)=0,"",INDEX(I1853:Z1853,$H$1))</f>
        <v>Heater/Boiler/Reboiler: Line (Burner Assemblies: 2)</v>
      </c>
      <c r="I1853" s="17" t="s">
        <v>2672</v>
      </c>
      <c r="J1853" s="17" t="s">
        <v>2672</v>
      </c>
      <c r="K1853" s="17" t="s">
        <v>2672</v>
      </c>
    </row>
    <row r="1854" spans="1:11" x14ac:dyDescent="0.35">
      <c r="A1854" s="10" t="s">
        <v>1185</v>
      </c>
      <c r="B1854" s="255">
        <v>10</v>
      </c>
      <c r="C1854" s="10" t="s">
        <v>204</v>
      </c>
      <c r="D1854" s="10">
        <v>1</v>
      </c>
      <c r="E1854" s="10">
        <v>121</v>
      </c>
      <c r="F1854" s="10" t="s">
        <v>690</v>
      </c>
      <c r="G1854" s="10" t="s">
        <v>695</v>
      </c>
      <c r="H1854" s="10" t="str" cm="1">
        <f t="array" aca="1" ref="H1854" ca="1">IF(INDEX(I1854:Z1854,$H$1)=0,"",INDEX(I1854:Z1854,$H$1))</f>
        <v>Heater/Boiler/Reboiler: Line (Burner Assemblies: 3)</v>
      </c>
      <c r="I1854" s="17" t="s">
        <v>2673</v>
      </c>
      <c r="J1854" s="17" t="s">
        <v>2673</v>
      </c>
      <c r="K1854" s="17" t="s">
        <v>2673</v>
      </c>
    </row>
    <row r="1855" spans="1:11" x14ac:dyDescent="0.35">
      <c r="A1855" s="10" t="s">
        <v>1185</v>
      </c>
      <c r="B1855" s="255">
        <v>10</v>
      </c>
      <c r="C1855" s="10" t="s">
        <v>204</v>
      </c>
      <c r="D1855" s="10">
        <v>1</v>
      </c>
      <c r="E1855" s="10">
        <v>122</v>
      </c>
      <c r="F1855" s="10" t="s">
        <v>690</v>
      </c>
      <c r="G1855" s="10" t="s">
        <v>695</v>
      </c>
      <c r="H1855" s="10" t="str" cm="1">
        <f t="array" aca="1" ref="H1855" ca="1">IF(INDEX(I1855:Z1855,$H$1)=0,"",INDEX(I1855:Z1855,$H$1))</f>
        <v>Heater/Boiler/Reboiler: Treater (Burner Assemblies: 1)</v>
      </c>
      <c r="I1855" s="17" t="s">
        <v>2394</v>
      </c>
      <c r="J1855" s="17" t="s">
        <v>2394</v>
      </c>
      <c r="K1855" s="17" t="s">
        <v>2394</v>
      </c>
    </row>
    <row r="1856" spans="1:11" x14ac:dyDescent="0.35">
      <c r="A1856" s="10" t="s">
        <v>1185</v>
      </c>
      <c r="B1856" s="255">
        <v>10</v>
      </c>
      <c r="C1856" s="10" t="s">
        <v>204</v>
      </c>
      <c r="D1856" s="10">
        <v>1</v>
      </c>
      <c r="E1856" s="10">
        <v>123</v>
      </c>
      <c r="F1856" s="10" t="s">
        <v>690</v>
      </c>
      <c r="G1856" s="10" t="s">
        <v>695</v>
      </c>
      <c r="H1856" s="10" t="str" cm="1">
        <f t="array" aca="1" ref="H1856" ca="1">IF(INDEX(I1856:Z1856,$H$1)=0,"",INDEX(I1856:Z1856,$H$1))</f>
        <v>Heater/Boiler/Reboiler: Treater (Burner Assemblies: 2)</v>
      </c>
      <c r="I1856" s="17" t="s">
        <v>2395</v>
      </c>
      <c r="J1856" s="17" t="s">
        <v>2395</v>
      </c>
      <c r="K1856" s="17" t="s">
        <v>2395</v>
      </c>
    </row>
    <row r="1857" spans="1:11" x14ac:dyDescent="0.35">
      <c r="A1857" s="10" t="s">
        <v>1185</v>
      </c>
      <c r="B1857" s="255">
        <v>10</v>
      </c>
      <c r="C1857" s="10" t="s">
        <v>204</v>
      </c>
      <c r="D1857" s="10">
        <v>1</v>
      </c>
      <c r="E1857" s="10">
        <v>124</v>
      </c>
      <c r="F1857" s="10" t="s">
        <v>690</v>
      </c>
      <c r="G1857" s="10" t="s">
        <v>695</v>
      </c>
      <c r="H1857" s="10" t="str" cm="1">
        <f t="array" aca="1" ref="H1857" ca="1">IF(INDEX(I1857:Z1857,$H$1)=0,"",INDEX(I1857:Z1857,$H$1))</f>
        <v>Heater/Boiler/Reboiler: Treater (Burner Assemblies: 3)</v>
      </c>
      <c r="I1857" s="17" t="s">
        <v>2396</v>
      </c>
      <c r="J1857" s="17" t="s">
        <v>2396</v>
      </c>
      <c r="K1857" s="17" t="s">
        <v>2396</v>
      </c>
    </row>
    <row r="1858" spans="1:11" x14ac:dyDescent="0.35">
      <c r="A1858" s="10" t="s">
        <v>1185</v>
      </c>
      <c r="B1858" s="255">
        <v>10</v>
      </c>
      <c r="C1858" s="10" t="s">
        <v>204</v>
      </c>
      <c r="D1858" s="10">
        <v>1</v>
      </c>
      <c r="E1858" s="10">
        <v>125</v>
      </c>
      <c r="F1858" s="10" t="s">
        <v>690</v>
      </c>
      <c r="G1858" s="10" t="s">
        <v>695</v>
      </c>
      <c r="H1858" s="10" t="str" cm="1">
        <f t="array" aca="1" ref="H1858" ca="1">IF(INDEX(I1858:Z1858,$H$1)=0,"",INDEX(I1858:Z1858,$H$1))</f>
        <v>Hydrocarbon Dewpoint Control: Joule-Thomson Unit (Excluding Compressor)</v>
      </c>
      <c r="I1858" s="17" t="s">
        <v>2397</v>
      </c>
      <c r="J1858" s="17" t="s">
        <v>2397</v>
      </c>
      <c r="K1858" s="17" t="s">
        <v>2397</v>
      </c>
    </row>
    <row r="1859" spans="1:11" x14ac:dyDescent="0.35">
      <c r="A1859" s="10" t="s">
        <v>1185</v>
      </c>
      <c r="B1859" s="255">
        <v>10</v>
      </c>
      <c r="C1859" s="10" t="s">
        <v>204</v>
      </c>
      <c r="D1859" s="10">
        <v>1</v>
      </c>
      <c r="E1859" s="10">
        <v>126</v>
      </c>
      <c r="F1859" s="10" t="s">
        <v>690</v>
      </c>
      <c r="G1859" s="10" t="s">
        <v>695</v>
      </c>
      <c r="H1859" s="10" t="str" cm="1">
        <f t="array" aca="1" ref="H1859" ca="1">IF(INDEX(I1859:Z1859,$H$1)=0,"",INDEX(I1859:Z1859,$H$1))</f>
        <v>Hydrocarbon Dewpoint Control: Propane Refrigeration</v>
      </c>
      <c r="I1859" s="17" t="s">
        <v>2398</v>
      </c>
      <c r="J1859" s="17" t="s">
        <v>2398</v>
      </c>
      <c r="K1859" s="17" t="s">
        <v>2398</v>
      </c>
    </row>
    <row r="1860" spans="1:11" x14ac:dyDescent="0.35">
      <c r="A1860" s="10" t="s">
        <v>1185</v>
      </c>
      <c r="B1860" s="255">
        <v>10</v>
      </c>
      <c r="C1860" s="10" t="s">
        <v>204</v>
      </c>
      <c r="D1860" s="10">
        <v>1</v>
      </c>
      <c r="E1860" s="10">
        <v>127</v>
      </c>
      <c r="F1860" s="10" t="s">
        <v>690</v>
      </c>
      <c r="G1860" s="10" t="s">
        <v>695</v>
      </c>
      <c r="H1860" s="10" t="str" cm="1">
        <f t="array" aca="1" ref="H1860" ca="1">IF(INDEX(I1860:Z1860,$H$1)=0,"",INDEX(I1860:Z1860,$H$1))</f>
        <v>Inlet/Outlet Header: Gas Facilities (Fittings Per Pipeline)</v>
      </c>
      <c r="I1860" s="17" t="s">
        <v>2729</v>
      </c>
      <c r="J1860" s="17" t="s">
        <v>2729</v>
      </c>
      <c r="K1860" s="17" t="s">
        <v>2729</v>
      </c>
    </row>
    <row r="1861" spans="1:11" x14ac:dyDescent="0.35">
      <c r="A1861" s="10" t="s">
        <v>1185</v>
      </c>
      <c r="B1861" s="255">
        <v>10</v>
      </c>
      <c r="C1861" s="10" t="s">
        <v>204</v>
      </c>
      <c r="D1861" s="10">
        <v>1</v>
      </c>
      <c r="E1861" s="10">
        <v>128</v>
      </c>
      <c r="F1861" s="10" t="s">
        <v>690</v>
      </c>
      <c r="G1861" s="10" t="s">
        <v>695</v>
      </c>
      <c r="H1861" s="10" t="str" cm="1">
        <f t="array" aca="1" ref="H1861" ca="1">IF(INDEX(I1861:Z1861,$H$1)=0,"",INDEX(I1861:Z1861,$H$1))</f>
        <v>LPG Extraction: Deepcut (C2 to C4)</v>
      </c>
      <c r="I1861" s="17" t="s">
        <v>2401</v>
      </c>
      <c r="J1861" s="17" t="s">
        <v>2401</v>
      </c>
      <c r="K1861" s="17" t="s">
        <v>2401</v>
      </c>
    </row>
    <row r="1862" spans="1:11" x14ac:dyDescent="0.35">
      <c r="A1862" s="10" t="s">
        <v>1185</v>
      </c>
      <c r="B1862" s="255">
        <v>10</v>
      </c>
      <c r="C1862" s="10" t="s">
        <v>204</v>
      </c>
      <c r="D1862" s="10">
        <v>1</v>
      </c>
      <c r="E1862" s="10">
        <v>129</v>
      </c>
      <c r="F1862" s="10" t="s">
        <v>690</v>
      </c>
      <c r="G1862" s="10" t="s">
        <v>695</v>
      </c>
      <c r="H1862" s="10" t="str" cm="1">
        <f t="array" aca="1" ref="H1862" ca="1">IF(INDEX(I1862:Z1862,$H$1)=0,"",INDEX(I1862:Z1862,$H$1))</f>
        <v>LPG Extraction: Shallow Cut (C3 to C4)</v>
      </c>
      <c r="I1862" s="17" t="s">
        <v>2402</v>
      </c>
      <c r="J1862" s="17" t="s">
        <v>2402</v>
      </c>
      <c r="K1862" s="17" t="s">
        <v>2402</v>
      </c>
    </row>
    <row r="1863" spans="1:11" x14ac:dyDescent="0.35">
      <c r="A1863" s="10" t="s">
        <v>1185</v>
      </c>
      <c r="B1863" s="255">
        <v>10</v>
      </c>
      <c r="C1863" s="10" t="s">
        <v>204</v>
      </c>
      <c r="D1863" s="10">
        <v>1</v>
      </c>
      <c r="E1863" s="10">
        <v>130</v>
      </c>
      <c r="F1863" s="10" t="s">
        <v>690</v>
      </c>
      <c r="G1863" s="10" t="s">
        <v>695</v>
      </c>
      <c r="H1863" s="10" t="str" cm="1">
        <f t="array" aca="1" ref="H1863" ca="1">IF(INDEX(I1863:Z1863,$H$1)=0,"",INDEX(I1863:Z1863,$H$1))</f>
        <v>NGL – Natural Gas Liquefaction</v>
      </c>
      <c r="I1863" s="17" t="s">
        <v>199</v>
      </c>
      <c r="J1863" s="17" t="s">
        <v>199</v>
      </c>
      <c r="K1863" s="17" t="s">
        <v>199</v>
      </c>
    </row>
    <row r="1864" spans="1:11" x14ac:dyDescent="0.35">
      <c r="A1864" s="10" t="s">
        <v>1185</v>
      </c>
      <c r="B1864" s="255">
        <v>10</v>
      </c>
      <c r="C1864" s="10" t="s">
        <v>204</v>
      </c>
      <c r="D1864" s="10">
        <v>1</v>
      </c>
      <c r="E1864" s="10">
        <v>131</v>
      </c>
      <c r="F1864" s="10" t="s">
        <v>687</v>
      </c>
      <c r="G1864" s="10" t="s">
        <v>695</v>
      </c>
      <c r="H1864" s="10" t="str" cm="1">
        <f t="array" aca="1" ref="H1864" ca="1">IF(INDEX(I1864:Z1864,$H$1)=0,"",INDEX(I1864:Z1864,$H$1))</f>
        <v>PIG Receiver or Sender</v>
      </c>
      <c r="I1864" s="17" t="s">
        <v>230</v>
      </c>
      <c r="J1864" s="17" t="s">
        <v>230</v>
      </c>
      <c r="K1864" s="17" t="s">
        <v>230</v>
      </c>
    </row>
    <row r="1865" spans="1:11" x14ac:dyDescent="0.35">
      <c r="A1865" s="10" t="s">
        <v>1185</v>
      </c>
      <c r="B1865" s="255">
        <v>10</v>
      </c>
      <c r="C1865" s="10" t="s">
        <v>204</v>
      </c>
      <c r="D1865" s="10">
        <v>1</v>
      </c>
      <c r="E1865" s="10">
        <v>132</v>
      </c>
      <c r="F1865" s="10" t="s">
        <v>690</v>
      </c>
      <c r="G1865" s="10" t="s">
        <v>695</v>
      </c>
      <c r="H1865" s="10" t="str" cm="1">
        <f t="array" aca="1" ref="H1865" ca="1">IF(INDEX(I1865:Z1865,$H$1)=0,"",INDEX(I1865:Z1865,$H$1))</f>
        <v>Power Generator: Natural Gas Fuelled (Driver: Gas Turbine)</v>
      </c>
      <c r="I1865" s="17" t="s">
        <v>2674</v>
      </c>
      <c r="J1865" s="17" t="s">
        <v>2674</v>
      </c>
      <c r="K1865" s="17" t="s">
        <v>2674</v>
      </c>
    </row>
    <row r="1866" spans="1:11" x14ac:dyDescent="0.35">
      <c r="A1866" s="10" t="s">
        <v>1185</v>
      </c>
      <c r="B1866" s="255">
        <v>10</v>
      </c>
      <c r="C1866" s="10" t="s">
        <v>204</v>
      </c>
      <c r="D1866" s="10">
        <v>1</v>
      </c>
      <c r="E1866" s="10">
        <v>133</v>
      </c>
      <c r="F1866" s="10" t="s">
        <v>690</v>
      </c>
      <c r="G1866" s="10" t="s">
        <v>695</v>
      </c>
      <c r="H1866" s="10" t="str" cm="1">
        <f t="array" aca="1" ref="H1866" ca="1">IF(INDEX(I1866:Z1866,$H$1)=0,"",INDEX(I1866:Z1866,$H$1))</f>
        <v>Power Generator: Natural Gas Fuelled (Driver: Recip. Engine)</v>
      </c>
      <c r="I1866" s="17" t="s">
        <v>2403</v>
      </c>
      <c r="J1866" s="17" t="s">
        <v>2403</v>
      </c>
      <c r="K1866" s="17" t="s">
        <v>2403</v>
      </c>
    </row>
    <row r="1867" spans="1:11" x14ac:dyDescent="0.35">
      <c r="A1867" s="10" t="s">
        <v>1185</v>
      </c>
      <c r="B1867" s="255">
        <v>10</v>
      </c>
      <c r="C1867" s="10" t="s">
        <v>204</v>
      </c>
      <c r="D1867" s="10">
        <v>1</v>
      </c>
      <c r="E1867" s="10">
        <v>134</v>
      </c>
      <c r="F1867" s="10" t="s">
        <v>690</v>
      </c>
      <c r="G1867" s="10" t="s">
        <v>695</v>
      </c>
      <c r="H1867" s="10" t="str" cm="1">
        <f t="array" aca="1" ref="H1867" ca="1">IF(INDEX(I1867:Z1867,$H$1)=0,"",INDEX(I1867:Z1867,$H$1))</f>
        <v>Pump: Hydrocarbon Service (Driver: Motor)</v>
      </c>
      <c r="I1867" s="17" t="s">
        <v>3409</v>
      </c>
      <c r="J1867" s="17" t="s">
        <v>3409</v>
      </c>
      <c r="K1867" s="17" t="s">
        <v>3409</v>
      </c>
    </row>
    <row r="1868" spans="1:11" x14ac:dyDescent="0.35">
      <c r="A1868" s="10" t="s">
        <v>1185</v>
      </c>
      <c r="B1868" s="255">
        <v>10</v>
      </c>
      <c r="C1868" s="10" t="s">
        <v>204</v>
      </c>
      <c r="D1868" s="10">
        <v>1</v>
      </c>
      <c r="E1868" s="10">
        <v>135</v>
      </c>
      <c r="F1868" s="10" t="s">
        <v>690</v>
      </c>
      <c r="G1868" s="10" t="s">
        <v>695</v>
      </c>
      <c r="H1868" s="10" t="str" cm="1">
        <f t="array" aca="1" ref="H1868" ca="1">IF(INDEX(I1868:Z1868,$H$1)=0,"",INDEX(I1868:Z1868,$H$1))</f>
        <v>Pump: Hydrocarbon Service (Driver: Recip Engine) (Fuel: Gaseous)</v>
      </c>
      <c r="I1868" s="17" t="s">
        <v>3410</v>
      </c>
      <c r="J1868" s="17" t="s">
        <v>3410</v>
      </c>
      <c r="K1868" s="17" t="s">
        <v>3410</v>
      </c>
    </row>
    <row r="1869" spans="1:11" x14ac:dyDescent="0.35">
      <c r="A1869" s="10" t="s">
        <v>1185</v>
      </c>
      <c r="B1869" s="255">
        <v>10</v>
      </c>
      <c r="C1869" s="10" t="s">
        <v>204</v>
      </c>
      <c r="D1869" s="10">
        <v>1</v>
      </c>
      <c r="E1869" s="10">
        <v>136</v>
      </c>
      <c r="F1869" s="10" t="s">
        <v>690</v>
      </c>
      <c r="G1869" s="10" t="s">
        <v>695</v>
      </c>
      <c r="H1869" s="10" t="str" cm="1">
        <f t="array" aca="1" ref="H1869" ca="1">IF(INDEX(I1869:Z1869,$H$1)=0,"",INDEX(I1869:Z1869,$H$1))</f>
        <v>Pump: Hydrocarbon Service (Driver: Recip Engine) (Fuel: Liquid)</v>
      </c>
      <c r="I1869" s="17" t="s">
        <v>3411</v>
      </c>
      <c r="J1869" s="17" t="s">
        <v>3411</v>
      </c>
      <c r="K1869" s="17" t="s">
        <v>3411</v>
      </c>
    </row>
    <row r="1870" spans="1:11" x14ac:dyDescent="0.35">
      <c r="A1870" s="10" t="s">
        <v>1185</v>
      </c>
      <c r="B1870" s="255">
        <v>10</v>
      </c>
      <c r="C1870" s="10" t="s">
        <v>204</v>
      </c>
      <c r="D1870" s="10">
        <v>1</v>
      </c>
      <c r="E1870" s="10">
        <v>136</v>
      </c>
      <c r="F1870" s="10" t="s">
        <v>690</v>
      </c>
      <c r="G1870" s="10" t="s">
        <v>695</v>
      </c>
      <c r="H1870" s="10" t="str" cm="1">
        <f t="array" aca="1" ref="H1870" ca="1">IF(INDEX(I1870:Z1870,$H$1)=0,"",INDEX(I1870:Z1870,$H$1))</f>
        <v>Pump: Non-Hydrocarbon Service (Driver: Recip Engine) (Fuel: Gaseous)</v>
      </c>
      <c r="I1870" s="17" t="s">
        <v>3408</v>
      </c>
      <c r="J1870" s="17" t="s">
        <v>3408</v>
      </c>
      <c r="K1870" s="17" t="s">
        <v>3408</v>
      </c>
    </row>
    <row r="1871" spans="1:11" x14ac:dyDescent="0.35">
      <c r="A1871" s="10" t="s">
        <v>1185</v>
      </c>
      <c r="B1871" s="255">
        <v>10</v>
      </c>
      <c r="C1871" s="10" t="s">
        <v>204</v>
      </c>
      <c r="D1871" s="10">
        <v>1</v>
      </c>
      <c r="E1871" s="10">
        <v>136</v>
      </c>
      <c r="F1871" s="10" t="s">
        <v>690</v>
      </c>
      <c r="G1871" s="10" t="s">
        <v>695</v>
      </c>
      <c r="H1871" s="10" t="str" cm="1">
        <f t="array" aca="1" ref="H1871" ca="1">IF(INDEX(I1871:Z1871,$H$1)=0,"",INDEX(I1871:Z1871,$H$1))</f>
        <v>Pump: Non-Hydrocarbon Service (Driver: Recip Engine) (Fuel: Gaseous)</v>
      </c>
      <c r="I1871" s="17" t="s">
        <v>3408</v>
      </c>
      <c r="J1871" s="17" t="s">
        <v>3408</v>
      </c>
      <c r="K1871" s="17" t="s">
        <v>3408</v>
      </c>
    </row>
    <row r="1872" spans="1:11" x14ac:dyDescent="0.35">
      <c r="A1872" s="10" t="s">
        <v>1185</v>
      </c>
      <c r="B1872" s="255">
        <v>10</v>
      </c>
      <c r="C1872" s="10" t="s">
        <v>204</v>
      </c>
      <c r="D1872" s="10">
        <v>1</v>
      </c>
      <c r="E1872" s="10">
        <v>136</v>
      </c>
      <c r="F1872" s="10" t="s">
        <v>690</v>
      </c>
      <c r="G1872" s="10" t="s">
        <v>695</v>
      </c>
      <c r="H1872" s="10" t="str" cm="1">
        <f t="array" aca="1" ref="H1872" ca="1">IF(INDEX(I1872:Z1872,$H$1)=0,"",INDEX(I1872:Z1872,$H$1))</f>
        <v>Refrigeration (Propane)</v>
      </c>
      <c r="I1872" s="17" t="s">
        <v>245</v>
      </c>
      <c r="J1872" s="17" t="s">
        <v>245</v>
      </c>
      <c r="K1872" s="17" t="s">
        <v>245</v>
      </c>
    </row>
    <row r="1873" spans="1:11" x14ac:dyDescent="0.35">
      <c r="A1873" s="10" t="s">
        <v>1185</v>
      </c>
      <c r="B1873" s="255">
        <v>10</v>
      </c>
      <c r="C1873" s="10" t="s">
        <v>204</v>
      </c>
      <c r="D1873" s="10">
        <v>1</v>
      </c>
      <c r="E1873" s="10">
        <v>136</v>
      </c>
      <c r="F1873" s="10" t="s">
        <v>690</v>
      </c>
      <c r="G1873" s="10" t="s">
        <v>695</v>
      </c>
      <c r="H1873" s="10" t="str" cm="1">
        <f t="array" aca="1" ref="H1873" ca="1">IF(INDEX(I1873:Z1873,$H$1)=0,"",INDEX(I1873:Z1873,$H$1))</f>
        <v>Separator: Filter Separator</v>
      </c>
      <c r="I1873" s="17" t="s">
        <v>2404</v>
      </c>
      <c r="J1873" s="17" t="s">
        <v>2404</v>
      </c>
      <c r="K1873" s="17" t="s">
        <v>2404</v>
      </c>
    </row>
    <row r="1874" spans="1:11" x14ac:dyDescent="0.35">
      <c r="A1874" s="10" t="s">
        <v>1185</v>
      </c>
      <c r="B1874" s="255">
        <v>10</v>
      </c>
      <c r="C1874" s="10" t="s">
        <v>204</v>
      </c>
      <c r="D1874" s="10">
        <v>1</v>
      </c>
      <c r="E1874" s="10">
        <v>137</v>
      </c>
      <c r="F1874" s="10" t="s">
        <v>690</v>
      </c>
      <c r="G1874" s="10" t="s">
        <v>695</v>
      </c>
      <c r="H1874" s="10" t="str" cm="1">
        <f t="array" aca="1" ref="H1874" ca="1">IF(INDEX(I1874:Z1874,$H$1)=0,"",INDEX(I1874:Z1874,$H$1))</f>
        <v>Separator: Horizontal (Phases: 2)</v>
      </c>
      <c r="I1874" s="17" t="s">
        <v>2405</v>
      </c>
      <c r="J1874" s="17" t="s">
        <v>2405</v>
      </c>
      <c r="K1874" s="17" t="s">
        <v>2405</v>
      </c>
    </row>
    <row r="1875" spans="1:11" x14ac:dyDescent="0.35">
      <c r="A1875" s="10" t="s">
        <v>1185</v>
      </c>
      <c r="B1875" s="255">
        <v>10</v>
      </c>
      <c r="C1875" s="10" t="s">
        <v>204</v>
      </c>
      <c r="D1875" s="10">
        <v>1</v>
      </c>
      <c r="E1875" s="10">
        <v>138</v>
      </c>
      <c r="F1875" s="10" t="s">
        <v>690</v>
      </c>
      <c r="G1875" s="10" t="s">
        <v>695</v>
      </c>
      <c r="H1875" s="10" t="str" cm="1">
        <f t="array" aca="1" ref="H1875" ca="1">IF(INDEX(I1875:Z1875,$H$1)=0,"",INDEX(I1875:Z1875,$H$1))</f>
        <v>Separator: Horizontal (Phases: 3)</v>
      </c>
      <c r="I1875" s="17" t="s">
        <v>2406</v>
      </c>
      <c r="J1875" s="17" t="s">
        <v>2406</v>
      </c>
      <c r="K1875" s="17" t="s">
        <v>2406</v>
      </c>
    </row>
    <row r="1876" spans="1:11" x14ac:dyDescent="0.35">
      <c r="A1876" s="10" t="s">
        <v>1185</v>
      </c>
      <c r="B1876" s="255">
        <v>10</v>
      </c>
      <c r="C1876" s="10" t="s">
        <v>204</v>
      </c>
      <c r="D1876" s="10">
        <v>1</v>
      </c>
      <c r="E1876" s="10">
        <v>139</v>
      </c>
      <c r="F1876" s="10" t="s">
        <v>690</v>
      </c>
      <c r="G1876" s="10" t="s">
        <v>695</v>
      </c>
      <c r="H1876" s="10" t="str" cm="1">
        <f t="array" aca="1" ref="H1876" ca="1">IF(INDEX(I1876:Z1876,$H$1)=0,"",INDEX(I1876:Z1876,$H$1))</f>
        <v>Separator: Vertical (Phases: 2)</v>
      </c>
      <c r="I1876" s="17" t="s">
        <v>2407</v>
      </c>
      <c r="J1876" s="17" t="s">
        <v>2407</v>
      </c>
      <c r="K1876" s="17" t="s">
        <v>2407</v>
      </c>
    </row>
    <row r="1877" spans="1:11" x14ac:dyDescent="0.35">
      <c r="A1877" s="10" t="s">
        <v>1185</v>
      </c>
      <c r="B1877" s="255">
        <v>10</v>
      </c>
      <c r="C1877" s="10" t="s">
        <v>204</v>
      </c>
      <c r="D1877" s="10">
        <v>1</v>
      </c>
      <c r="E1877" s="10">
        <v>140</v>
      </c>
      <c r="F1877" s="10" t="s">
        <v>690</v>
      </c>
      <c r="G1877" s="10" t="s">
        <v>695</v>
      </c>
      <c r="H1877" s="10" t="str" cm="1">
        <f t="array" aca="1" ref="H1877" ca="1">IF(INDEX(I1877:Z1877,$H$1)=0,"",INDEX(I1877:Z1877,$H$1))</f>
        <v>Separator: Vertical (Phases: 3)</v>
      </c>
      <c r="I1877" s="17" t="s">
        <v>2408</v>
      </c>
      <c r="J1877" s="17" t="s">
        <v>2408</v>
      </c>
      <c r="K1877" s="17" t="s">
        <v>2408</v>
      </c>
    </row>
    <row r="1878" spans="1:11" x14ac:dyDescent="0.35">
      <c r="A1878" s="10" t="s">
        <v>1185</v>
      </c>
      <c r="B1878" s="255">
        <v>10</v>
      </c>
      <c r="C1878" s="10" t="s">
        <v>204</v>
      </c>
      <c r="D1878" s="10">
        <v>1</v>
      </c>
      <c r="E1878" s="10">
        <v>141</v>
      </c>
      <c r="F1878" s="10" t="s">
        <v>690</v>
      </c>
      <c r="G1878" s="10" t="s">
        <v>695</v>
      </c>
      <c r="H1878" s="10" t="str" cm="1">
        <f t="array" aca="1" ref="H1878" ca="1">IF(INDEX(I1878:Z1878,$H$1)=0,"",INDEX(I1878:Z1878,$H$1))</f>
        <v>Stabilizer: with Reflux Loop</v>
      </c>
      <c r="I1878" s="17" t="s">
        <v>2409</v>
      </c>
      <c r="J1878" s="17" t="s">
        <v>2409</v>
      </c>
      <c r="K1878" s="17" t="s">
        <v>2409</v>
      </c>
    </row>
    <row r="1879" spans="1:11" x14ac:dyDescent="0.35">
      <c r="A1879" s="10" t="s">
        <v>1185</v>
      </c>
      <c r="B1879" s="255">
        <v>10</v>
      </c>
      <c r="C1879" s="10" t="s">
        <v>204</v>
      </c>
      <c r="D1879" s="10">
        <v>1</v>
      </c>
      <c r="E1879" s="10">
        <v>142</v>
      </c>
      <c r="F1879" s="10" t="s">
        <v>690</v>
      </c>
      <c r="G1879" s="10" t="s">
        <v>695</v>
      </c>
      <c r="H1879" s="10" t="str" cm="1">
        <f t="array" aca="1" ref="H1879" ca="1">IF(INDEX(I1879:Z1879,$H$1)=0,"",INDEX(I1879:Z1879,$H$1))</f>
        <v>Stabilizer: without Reflux Loop</v>
      </c>
      <c r="I1879" s="17" t="s">
        <v>2410</v>
      </c>
      <c r="J1879" s="17" t="s">
        <v>2410</v>
      </c>
      <c r="K1879" s="17" t="s">
        <v>2410</v>
      </c>
    </row>
    <row r="1880" spans="1:11" x14ac:dyDescent="0.35">
      <c r="A1880" s="10" t="s">
        <v>1185</v>
      </c>
      <c r="B1880" s="255">
        <v>10</v>
      </c>
      <c r="C1880" s="10" t="s">
        <v>204</v>
      </c>
      <c r="D1880" s="10">
        <v>1</v>
      </c>
      <c r="E1880" s="10">
        <v>142</v>
      </c>
      <c r="F1880" s="10" t="s">
        <v>690</v>
      </c>
      <c r="G1880" s="10" t="s">
        <v>695</v>
      </c>
      <c r="H1880" s="10" t="str" cm="1">
        <f t="array" aca="1" ref="H1880" ca="1">IF(INDEX(I1880:Z1880,$H$1)=0,"",INDEX(I1880:Z1880,$H$1))</f>
        <v>Storage Tank (Produced Oil, with Vapor Control)</v>
      </c>
      <c r="I1880" s="17" t="s">
        <v>365</v>
      </c>
      <c r="J1880" s="17" t="s">
        <v>365</v>
      </c>
      <c r="K1880" s="17" t="s">
        <v>365</v>
      </c>
    </row>
    <row r="1881" spans="1:11" x14ac:dyDescent="0.35">
      <c r="A1881" s="10" t="s">
        <v>1185</v>
      </c>
      <c r="B1881" s="255">
        <v>10</v>
      </c>
      <c r="C1881" s="10" t="s">
        <v>204</v>
      </c>
      <c r="D1881" s="10">
        <v>1</v>
      </c>
      <c r="E1881" s="10">
        <v>142</v>
      </c>
      <c r="F1881" s="10" t="s">
        <v>690</v>
      </c>
      <c r="G1881" s="10" t="s">
        <v>695</v>
      </c>
      <c r="H1881" s="10" t="str" cm="1">
        <f t="array" aca="1" ref="H1881" ca="1">IF(INDEX(I1881:Z1881,$H$1)=0,"",INDEX(I1881:Z1881,$H$1))</f>
        <v>Storage Tank (Produced Oil, without Vapor Control)</v>
      </c>
      <c r="I1881" s="17" t="s">
        <v>366</v>
      </c>
      <c r="J1881" s="17" t="s">
        <v>366</v>
      </c>
      <c r="K1881" s="17" t="s">
        <v>366</v>
      </c>
    </row>
    <row r="1882" spans="1:11" x14ac:dyDescent="0.35">
      <c r="A1882" s="10" t="s">
        <v>1185</v>
      </c>
      <c r="B1882" s="255">
        <v>10</v>
      </c>
      <c r="C1882" s="10" t="s">
        <v>204</v>
      </c>
      <c r="D1882" s="10">
        <v>1</v>
      </c>
      <c r="E1882" s="10">
        <v>143</v>
      </c>
      <c r="F1882" s="10" t="s">
        <v>690</v>
      </c>
      <c r="G1882" s="10" t="s">
        <v>695</v>
      </c>
      <c r="H1882" s="10" t="str" cm="1">
        <f t="array" aca="1" ref="H1882" ca="1">IF(INDEX(I1882:Z1882,$H$1)=0,"",INDEX(I1882:Z1882,$H$1))</f>
        <v>Storage Tank (Produced Water, with Vapor Control)</v>
      </c>
      <c r="I1882" s="17" t="s">
        <v>364</v>
      </c>
      <c r="J1882" s="17" t="s">
        <v>364</v>
      </c>
      <c r="K1882" s="17" t="s">
        <v>364</v>
      </c>
    </row>
    <row r="1883" spans="1:11" x14ac:dyDescent="0.35">
      <c r="A1883" s="10" t="s">
        <v>1185</v>
      </c>
      <c r="B1883" s="255">
        <v>10</v>
      </c>
      <c r="C1883" s="10" t="s">
        <v>204</v>
      </c>
      <c r="D1883" s="10">
        <v>1</v>
      </c>
      <c r="E1883" s="10">
        <v>144</v>
      </c>
      <c r="F1883" s="10" t="s">
        <v>690</v>
      </c>
      <c r="G1883" s="10" t="s">
        <v>695</v>
      </c>
      <c r="H1883" s="10" t="str" cm="1">
        <f t="array" aca="1" ref="H1883" ca="1">IF(INDEX(I1883:Z1883,$H$1)=0,"",INDEX(I1883:Z1883,$H$1))</f>
        <v>Storage Tank (Produced Water, without Vapor Control)</v>
      </c>
      <c r="I1883" s="17" t="s">
        <v>363</v>
      </c>
      <c r="J1883" s="17" t="s">
        <v>363</v>
      </c>
      <c r="K1883" s="17" t="s">
        <v>363</v>
      </c>
    </row>
    <row r="1884" spans="1:11" x14ac:dyDescent="0.35">
      <c r="A1884" s="10" t="s">
        <v>1185</v>
      </c>
      <c r="B1884" s="255">
        <v>10</v>
      </c>
      <c r="C1884" s="10" t="s">
        <v>204</v>
      </c>
      <c r="D1884" s="10">
        <v>1</v>
      </c>
      <c r="E1884" s="10">
        <v>145</v>
      </c>
      <c r="F1884" s="10" t="s">
        <v>690</v>
      </c>
      <c r="G1884" s="10" t="s">
        <v>695</v>
      </c>
      <c r="H1884" s="10" t="str" cm="1">
        <f t="array" aca="1" ref="H1884" ca="1">IF(INDEX(I1884:Z1884,$H$1)=0,"",INDEX(I1884:Z1884,$H$1))</f>
        <v>Storage Tank: Chemicals with Natural Gas Blanketing)</v>
      </c>
      <c r="I1884" s="17" t="s">
        <v>3412</v>
      </c>
      <c r="J1884" s="17" t="s">
        <v>3412</v>
      </c>
      <c r="K1884" s="17" t="s">
        <v>3412</v>
      </c>
    </row>
    <row r="1885" spans="1:11" x14ac:dyDescent="0.35">
      <c r="A1885" s="10" t="s">
        <v>1185</v>
      </c>
      <c r="B1885" s="255">
        <v>10</v>
      </c>
      <c r="C1885" s="10" t="s">
        <v>204</v>
      </c>
      <c r="D1885" s="10">
        <v>1</v>
      </c>
      <c r="E1885" s="10">
        <v>146</v>
      </c>
      <c r="F1885" s="10" t="s">
        <v>690</v>
      </c>
      <c r="G1885" s="10" t="s">
        <v>695</v>
      </c>
      <c r="H1885" s="10" t="str" cm="1">
        <f t="array" aca="1" ref="H1885" ca="1">IF(INDEX(I1885:Z1885,$H$1)=0,"",INDEX(I1885:Z1885,$H$1))</f>
        <v>Sulphur Recovery: Claus</v>
      </c>
      <c r="I1885" s="17" t="s">
        <v>2411</v>
      </c>
      <c r="J1885" s="17" t="s">
        <v>2411</v>
      </c>
      <c r="K1885" s="17" t="s">
        <v>2411</v>
      </c>
    </row>
    <row r="1886" spans="1:11" x14ac:dyDescent="0.35">
      <c r="A1886" s="10" t="s">
        <v>1185</v>
      </c>
      <c r="B1886" s="255">
        <v>10</v>
      </c>
      <c r="C1886" s="10" t="s">
        <v>204</v>
      </c>
      <c r="D1886" s="10">
        <v>1</v>
      </c>
      <c r="E1886" s="10">
        <v>147</v>
      </c>
      <c r="F1886" s="10" t="s">
        <v>690</v>
      </c>
      <c r="G1886" s="10" t="s">
        <v>695</v>
      </c>
      <c r="H1886" s="10" t="str" cm="1">
        <f t="array" aca="1" ref="H1886" ca="1">IF(INDEX(I1886:Z1886,$H$1)=0,"",INDEX(I1886:Z1886,$H$1))</f>
        <v>Sulphur Recovery: MCRC (Sub-dewpoint)</v>
      </c>
      <c r="I1886" s="17" t="s">
        <v>2412</v>
      </c>
      <c r="J1886" s="17" t="s">
        <v>2412</v>
      </c>
      <c r="K1886" s="17" t="s">
        <v>2412</v>
      </c>
    </row>
    <row r="1887" spans="1:11" x14ac:dyDescent="0.35">
      <c r="A1887" s="10" t="s">
        <v>1185</v>
      </c>
      <c r="B1887" s="255">
        <v>10</v>
      </c>
      <c r="C1887" s="10" t="s">
        <v>204</v>
      </c>
      <c r="D1887" s="10">
        <v>1</v>
      </c>
      <c r="E1887" s="10">
        <v>148</v>
      </c>
      <c r="F1887" s="10" t="s">
        <v>690</v>
      </c>
      <c r="G1887" s="10" t="s">
        <v>695</v>
      </c>
      <c r="H1887" s="10" t="str" cm="1">
        <f t="array" aca="1" ref="H1887" ca="1">IF(INDEX(I1887:Z1887,$H$1)=0,"",INDEX(I1887:Z1887,$H$1))</f>
        <v>Sweetening: (Physical Solvent)</v>
      </c>
      <c r="I1887" s="17" t="s">
        <v>2413</v>
      </c>
      <c r="J1887" s="17" t="s">
        <v>2413</v>
      </c>
      <c r="K1887" s="17" t="s">
        <v>2413</v>
      </c>
    </row>
    <row r="1888" spans="1:11" x14ac:dyDescent="0.35">
      <c r="A1888" s="10" t="s">
        <v>1185</v>
      </c>
      <c r="B1888" s="255">
        <v>10</v>
      </c>
      <c r="C1888" s="10" t="s">
        <v>204</v>
      </c>
      <c r="D1888" s="10">
        <v>1</v>
      </c>
      <c r="E1888" s="10">
        <v>149</v>
      </c>
      <c r="F1888" s="10" t="s">
        <v>690</v>
      </c>
      <c r="G1888" s="10" t="s">
        <v>695</v>
      </c>
      <c r="H1888" s="10" t="str" cm="1">
        <f t="array" aca="1" ref="H1888" ca="1">IF(INDEX(I1888:Z1888,$H$1)=0,"",INDEX(I1888:Z1888,$H$1))</f>
        <v>Sweetening: Chemsweet</v>
      </c>
      <c r="I1888" s="17" t="s">
        <v>2414</v>
      </c>
      <c r="J1888" s="17" t="s">
        <v>2414</v>
      </c>
      <c r="K1888" s="17" t="s">
        <v>2414</v>
      </c>
    </row>
    <row r="1889" spans="1:11" x14ac:dyDescent="0.35">
      <c r="A1889" s="10" t="s">
        <v>1185</v>
      </c>
      <c r="B1889" s="255">
        <v>10</v>
      </c>
      <c r="C1889" s="10" t="s">
        <v>204</v>
      </c>
      <c r="D1889" s="10">
        <v>1</v>
      </c>
      <c r="E1889" s="10">
        <v>150</v>
      </c>
      <c r="F1889" s="10" t="s">
        <v>690</v>
      </c>
      <c r="G1889" s="10" t="s">
        <v>695</v>
      </c>
      <c r="H1889" s="10" t="str" cm="1">
        <f t="array" aca="1" ref="H1889" ca="1">IF(INDEX(I1889:Z1889,$H$1)=0,"",INDEX(I1889:Z1889,$H$1))</f>
        <v>Sweetening: DEA (Diethanolamine)</v>
      </c>
      <c r="I1889" s="17" t="s">
        <v>2415</v>
      </c>
      <c r="J1889" s="17" t="s">
        <v>2415</v>
      </c>
      <c r="K1889" s="17" t="s">
        <v>2415</v>
      </c>
    </row>
    <row r="1890" spans="1:11" x14ac:dyDescent="0.35">
      <c r="A1890" s="10" t="s">
        <v>1185</v>
      </c>
      <c r="B1890" s="255">
        <v>10</v>
      </c>
      <c r="C1890" s="10" t="s">
        <v>204</v>
      </c>
      <c r="D1890" s="10">
        <v>1</v>
      </c>
      <c r="E1890" s="10">
        <v>151</v>
      </c>
      <c r="F1890" s="10" t="s">
        <v>690</v>
      </c>
      <c r="G1890" s="10" t="s">
        <v>695</v>
      </c>
      <c r="H1890" s="10" t="str" cm="1">
        <f t="array" aca="1" ref="H1890" ca="1">IF(INDEX(I1890:Z1890,$H$1)=0,"",INDEX(I1890:Z1890,$H$1))</f>
        <v>Sweetening: DGA (Diglycolamine)</v>
      </c>
      <c r="I1890" s="17" t="s">
        <v>2416</v>
      </c>
      <c r="J1890" s="17" t="s">
        <v>2416</v>
      </c>
      <c r="K1890" s="17" t="s">
        <v>2416</v>
      </c>
    </row>
    <row r="1891" spans="1:11" x14ac:dyDescent="0.35">
      <c r="A1891" s="10" t="s">
        <v>1185</v>
      </c>
      <c r="B1891" s="255">
        <v>10</v>
      </c>
      <c r="C1891" s="10" t="s">
        <v>204</v>
      </c>
      <c r="D1891" s="10">
        <v>1</v>
      </c>
      <c r="E1891" s="10">
        <v>152</v>
      </c>
      <c r="F1891" s="10" t="s">
        <v>690</v>
      </c>
      <c r="G1891" s="10" t="s">
        <v>695</v>
      </c>
      <c r="H1891" s="10" t="str" cm="1">
        <f t="array" aca="1" ref="H1891" ca="1">IF(INDEX(I1891:Z1891,$H$1)=0,"",INDEX(I1891:Z1891,$H$1))</f>
        <v>Sweetening: Generic</v>
      </c>
      <c r="I1891" s="17" t="s">
        <v>2417</v>
      </c>
      <c r="J1891" s="17" t="s">
        <v>2417</v>
      </c>
      <c r="K1891" s="17" t="s">
        <v>2417</v>
      </c>
    </row>
    <row r="1892" spans="1:11" x14ac:dyDescent="0.35">
      <c r="A1892" s="10" t="s">
        <v>1185</v>
      </c>
      <c r="B1892" s="255">
        <v>10</v>
      </c>
      <c r="C1892" s="10" t="s">
        <v>204</v>
      </c>
      <c r="D1892" s="10">
        <v>1</v>
      </c>
      <c r="E1892" s="10">
        <v>153</v>
      </c>
      <c r="F1892" s="10" t="s">
        <v>690</v>
      </c>
      <c r="G1892" s="10" t="s">
        <v>695</v>
      </c>
      <c r="H1892" s="10" t="str" cm="1">
        <f t="array" aca="1" ref="H1892" ca="1">IF(INDEX(I1892:Z1892,$H$1)=0,"",INDEX(I1892:Z1892,$H$1))</f>
        <v>Sweetening: Iron Sponge</v>
      </c>
      <c r="I1892" s="17" t="s">
        <v>2418</v>
      </c>
      <c r="J1892" s="17" t="s">
        <v>2418</v>
      </c>
      <c r="K1892" s="17" t="s">
        <v>2418</v>
      </c>
    </row>
    <row r="1893" spans="1:11" x14ac:dyDescent="0.35">
      <c r="A1893" s="10" t="s">
        <v>1185</v>
      </c>
      <c r="B1893" s="255">
        <v>10</v>
      </c>
      <c r="C1893" s="10" t="s">
        <v>204</v>
      </c>
      <c r="D1893" s="10">
        <v>1</v>
      </c>
      <c r="E1893" s="10">
        <v>154</v>
      </c>
      <c r="F1893" s="10" t="s">
        <v>690</v>
      </c>
      <c r="G1893" s="10" t="s">
        <v>695</v>
      </c>
      <c r="H1893" s="10" t="str" cm="1">
        <f t="array" aca="1" ref="H1893" ca="1">IF(INDEX(I1893:Z1893,$H$1)=0,"",INDEX(I1893:Z1893,$H$1))</f>
        <v>Sweetening: LoCat</v>
      </c>
      <c r="I1893" s="17" t="s">
        <v>2419</v>
      </c>
      <c r="J1893" s="17" t="s">
        <v>2419</v>
      </c>
      <c r="K1893" s="17" t="s">
        <v>2419</v>
      </c>
    </row>
    <row r="1894" spans="1:11" x14ac:dyDescent="0.35">
      <c r="A1894" s="10" t="s">
        <v>1185</v>
      </c>
      <c r="B1894" s="255">
        <v>10</v>
      </c>
      <c r="C1894" s="10" t="s">
        <v>204</v>
      </c>
      <c r="D1894" s="10">
        <v>1</v>
      </c>
      <c r="E1894" s="10">
        <v>155</v>
      </c>
      <c r="F1894" s="10" t="s">
        <v>690</v>
      </c>
      <c r="G1894" s="10" t="s">
        <v>695</v>
      </c>
      <c r="H1894" s="10" t="str" cm="1">
        <f t="array" aca="1" ref="H1894" ca="1">IF(INDEX(I1894:Z1894,$H$1)=0,"",INDEX(I1894:Z1894,$H$1))</f>
        <v>Sweetening: MDEA (Monodiethanolamine)</v>
      </c>
      <c r="I1894" s="17" t="s">
        <v>2420</v>
      </c>
      <c r="J1894" s="17" t="s">
        <v>2420</v>
      </c>
      <c r="K1894" s="17" t="s">
        <v>2420</v>
      </c>
    </row>
    <row r="1895" spans="1:11" x14ac:dyDescent="0.35">
      <c r="A1895" s="10" t="s">
        <v>1185</v>
      </c>
      <c r="B1895" s="255">
        <v>11</v>
      </c>
      <c r="C1895" s="10" t="s">
        <v>204</v>
      </c>
      <c r="D1895" s="10">
        <v>1</v>
      </c>
      <c r="E1895" s="10">
        <v>156</v>
      </c>
      <c r="F1895" s="10" t="s">
        <v>690</v>
      </c>
      <c r="G1895" s="10" t="s">
        <v>695</v>
      </c>
      <c r="H1895" s="10" t="str" cm="1">
        <f t="array" aca="1" ref="H1895" ca="1">IF(INDEX(I1895:Z1895,$H$1)=0,"",INDEX(I1895:Z1895,$H$1))</f>
        <v>Sweetening: MEA (Monoethanolamine)</v>
      </c>
      <c r="I1895" s="17" t="s">
        <v>2421</v>
      </c>
      <c r="J1895" s="17" t="s">
        <v>2421</v>
      </c>
      <c r="K1895" s="17" t="s">
        <v>2421</v>
      </c>
    </row>
    <row r="1896" spans="1:11" x14ac:dyDescent="0.35">
      <c r="A1896" s="10" t="s">
        <v>1185</v>
      </c>
      <c r="B1896" s="255">
        <v>12</v>
      </c>
      <c r="C1896" s="10" t="s">
        <v>204</v>
      </c>
      <c r="D1896" s="10">
        <v>1</v>
      </c>
      <c r="E1896" s="10">
        <v>157</v>
      </c>
      <c r="F1896" s="10" t="s">
        <v>690</v>
      </c>
      <c r="G1896" s="10" t="s">
        <v>695</v>
      </c>
      <c r="H1896" s="10" t="str" cm="1">
        <f t="array" aca="1" ref="H1896" ca="1">IF(INDEX(I1896:Z1896,$H$1)=0,"",INDEX(I1896:Z1896,$H$1))</f>
        <v>Sweetening: Selexol</v>
      </c>
      <c r="I1896" s="17" t="s">
        <v>2422</v>
      </c>
      <c r="J1896" s="17" t="s">
        <v>2422</v>
      </c>
      <c r="K1896" s="17" t="s">
        <v>2422</v>
      </c>
    </row>
    <row r="1897" spans="1:11" x14ac:dyDescent="0.35">
      <c r="A1897" s="10" t="s">
        <v>1185</v>
      </c>
      <c r="B1897" s="255">
        <v>13</v>
      </c>
      <c r="C1897" s="10" t="s">
        <v>204</v>
      </c>
      <c r="D1897" s="10">
        <v>1</v>
      </c>
      <c r="E1897" s="10">
        <v>158</v>
      </c>
      <c r="F1897" s="10" t="s">
        <v>690</v>
      </c>
      <c r="G1897" s="10" t="s">
        <v>695</v>
      </c>
      <c r="H1897" s="10" t="str" cm="1">
        <f t="array" aca="1" ref="H1897" ca="1">IF(INDEX(I1897:Z1897,$H$1)=0,"",INDEX(I1897:Z1897,$H$1))</f>
        <v>Sweetening: Sulfacheck</v>
      </c>
      <c r="I1897" s="17" t="s">
        <v>2423</v>
      </c>
      <c r="J1897" s="17" t="s">
        <v>2423</v>
      </c>
      <c r="K1897" s="17" t="s">
        <v>2423</v>
      </c>
    </row>
    <row r="1898" spans="1:11" x14ac:dyDescent="0.35">
      <c r="A1898" s="10" t="s">
        <v>1185</v>
      </c>
      <c r="B1898" s="255">
        <v>14</v>
      </c>
      <c r="C1898" s="10" t="s">
        <v>204</v>
      </c>
      <c r="D1898" s="10">
        <v>1</v>
      </c>
      <c r="E1898" s="10">
        <v>159</v>
      </c>
      <c r="F1898" s="10" t="s">
        <v>690</v>
      </c>
      <c r="G1898" s="10" t="s">
        <v>695</v>
      </c>
      <c r="H1898" s="10" t="str" cm="1">
        <f t="array" aca="1" ref="H1898" ca="1">IF(INDEX(I1898:Z1898,$H$1)=0,"",INDEX(I1898:Z1898,$H$1))</f>
        <v>Sweetening: Sulfinol</v>
      </c>
      <c r="I1898" s="17" t="s">
        <v>2424</v>
      </c>
      <c r="J1898" s="17" t="s">
        <v>2424</v>
      </c>
      <c r="K1898" s="17" t="s">
        <v>2424</v>
      </c>
    </row>
    <row r="1899" spans="1:11" x14ac:dyDescent="0.35">
      <c r="A1899" s="10" t="s">
        <v>1185</v>
      </c>
      <c r="B1899" s="255">
        <v>15</v>
      </c>
      <c r="C1899" s="10" t="s">
        <v>204</v>
      </c>
      <c r="D1899" s="10">
        <v>1</v>
      </c>
      <c r="E1899" s="10">
        <v>160</v>
      </c>
      <c r="F1899" s="10" t="s">
        <v>690</v>
      </c>
      <c r="G1899" s="10" t="s">
        <v>695</v>
      </c>
      <c r="H1899" s="10" t="str" cm="1">
        <f t="array" aca="1" ref="H1899" ca="1">IF(INDEX(I1899:Z1899,$H$1)=0,"",INDEX(I1899:Z1899,$H$1))</f>
        <v>Vapor Recovery Unit: Offshore</v>
      </c>
      <c r="I1899" s="17" t="s">
        <v>2425</v>
      </c>
      <c r="J1899" s="17" t="s">
        <v>2425</v>
      </c>
      <c r="K1899" s="17" t="s">
        <v>2425</v>
      </c>
    </row>
    <row r="1900" spans="1:11" x14ac:dyDescent="0.35">
      <c r="A1900" s="10" t="s">
        <v>1185</v>
      </c>
      <c r="B1900" s="255">
        <v>16</v>
      </c>
      <c r="C1900" s="10" t="s">
        <v>204</v>
      </c>
      <c r="D1900" s="10">
        <v>1</v>
      </c>
      <c r="E1900" s="10">
        <v>161</v>
      </c>
      <c r="F1900" s="10" t="s">
        <v>690</v>
      </c>
      <c r="G1900" s="10" t="s">
        <v>695</v>
      </c>
      <c r="H1900" s="10" t="str" cm="1">
        <f t="array" aca="1" ref="H1900" ca="1">IF(INDEX(I1900:Z1900,$H$1)=0,"",INDEX(I1900:Z1900,$H$1))</f>
        <v>Vapor Recovery Unit: Onshore</v>
      </c>
      <c r="I1900" s="17" t="s">
        <v>2426</v>
      </c>
      <c r="J1900" s="17" t="s">
        <v>2426</v>
      </c>
      <c r="K1900" s="17" t="s">
        <v>2426</v>
      </c>
    </row>
    <row r="1901" spans="1:11" x14ac:dyDescent="0.35">
      <c r="A1901" s="10" t="s">
        <v>1185</v>
      </c>
      <c r="B1901" s="255">
        <v>17</v>
      </c>
      <c r="C1901" s="10" t="s">
        <v>204</v>
      </c>
      <c r="D1901" s="10">
        <v>1</v>
      </c>
      <c r="E1901" s="10">
        <v>162</v>
      </c>
      <c r="F1901" s="10" t="s">
        <v>690</v>
      </c>
      <c r="G1901" s="10" t="s">
        <v>695</v>
      </c>
      <c r="H1901" s="10" t="str" cm="1">
        <f t="array" aca="1" ref="H1901" ca="1">IF(INDEX(I1901:Z1901,$H$1)=0,"",INDEX(I1901:Z1901,$H$1))</f>
        <v>Well: Offshore</v>
      </c>
      <c r="I1901" s="17" t="s">
        <v>2430</v>
      </c>
      <c r="J1901" s="17" t="s">
        <v>2430</v>
      </c>
      <c r="K1901" s="17" t="s">
        <v>2430</v>
      </c>
    </row>
    <row r="1902" spans="1:11" x14ac:dyDescent="0.35">
      <c r="A1902" s="10" t="s">
        <v>1185</v>
      </c>
      <c r="B1902" s="255">
        <v>18</v>
      </c>
      <c r="C1902" s="10" t="s">
        <v>204</v>
      </c>
      <c r="D1902" s="10">
        <v>1</v>
      </c>
      <c r="E1902" s="10">
        <v>163</v>
      </c>
      <c r="F1902" s="10" t="s">
        <v>690</v>
      </c>
      <c r="G1902" s="10" t="s">
        <v>695</v>
      </c>
      <c r="H1902" s="10" t="str" cm="1">
        <f t="array" aca="1" ref="H1902" ca="1">IF(INDEX(I1902:Z1902,$H$1)=0,"",INDEX(I1902:Z1902,$H$1))</f>
        <v>Blowdown System: Generic (Pit or Vent)</v>
      </c>
      <c r="I1902" s="17" t="s">
        <v>2374</v>
      </c>
      <c r="J1902" s="17" t="s">
        <v>2374</v>
      </c>
      <c r="K1902" s="17" t="s">
        <v>2374</v>
      </c>
    </row>
    <row r="1903" spans="1:11" x14ac:dyDescent="0.35">
      <c r="A1903" s="10" t="s">
        <v>1185</v>
      </c>
      <c r="B1903" s="255">
        <v>19</v>
      </c>
      <c r="C1903" s="10" t="s">
        <v>204</v>
      </c>
      <c r="D1903" s="10">
        <v>1</v>
      </c>
      <c r="E1903" s="10">
        <v>164</v>
      </c>
      <c r="F1903" s="10" t="s">
        <v>690</v>
      </c>
      <c r="G1903" s="10" t="s">
        <v>695</v>
      </c>
      <c r="H1903" s="10" t="str" cm="1">
        <f t="array" aca="1" ref="H1903" ca="1">IF(INDEX(I1903:Z1903,$H$1)=0,"",INDEX(I1903:Z1903,$H$1))</f>
        <v>Aerial Cooler: Natural Gas Service</v>
      </c>
      <c r="I1903" s="17" t="s">
        <v>3396</v>
      </c>
      <c r="J1903" s="17" t="s">
        <v>3396</v>
      </c>
      <c r="K1903" s="17" t="s">
        <v>3396</v>
      </c>
    </row>
    <row r="1904" spans="1:11" x14ac:dyDescent="0.35">
      <c r="A1904" s="10" t="s">
        <v>1185</v>
      </c>
      <c r="B1904" s="255">
        <v>20</v>
      </c>
      <c r="C1904" s="10" t="s">
        <v>204</v>
      </c>
      <c r="D1904" s="10">
        <v>1</v>
      </c>
      <c r="E1904" s="10">
        <v>165</v>
      </c>
      <c r="F1904" s="10" t="s">
        <v>690</v>
      </c>
      <c r="G1904" s="10" t="s">
        <v>695</v>
      </c>
      <c r="H1904" s="10" t="str" cm="1">
        <f t="array" aca="1" ref="H1904" ca="1">IF(INDEX(I1904:Z1904,$H$1)=0,"",INDEX(I1904:Z1904,$H$1))</f>
        <v>Aerial Cooler: Hydrocarbon Liquid Service</v>
      </c>
      <c r="I1904" s="17" t="s">
        <v>3403</v>
      </c>
      <c r="J1904" s="17" t="s">
        <v>3403</v>
      </c>
      <c r="K1904" s="17" t="s">
        <v>3403</v>
      </c>
    </row>
    <row r="1905" spans="1:11" x14ac:dyDescent="0.35">
      <c r="A1905" s="10" t="s">
        <v>1185</v>
      </c>
      <c r="B1905" s="255">
        <v>21</v>
      </c>
      <c r="C1905" s="10" t="s">
        <v>204</v>
      </c>
      <c r="D1905" s="10">
        <v>1</v>
      </c>
      <c r="E1905" s="10">
        <v>166</v>
      </c>
      <c r="F1905" s="10" t="s">
        <v>690</v>
      </c>
      <c r="G1905" s="10" t="s">
        <v>695</v>
      </c>
      <c r="H1905" s="10" t="str" cm="1">
        <f t="array" aca="1" ref="H1905" ca="1">IF(INDEX(I1905:Z1905,$H$1)=0,"",INDEX(I1905:Z1905,$H$1))</f>
        <v>Chemical Injection Pump: Pneumatic (Diaphragm Type)</v>
      </c>
      <c r="I1905" s="17" t="s">
        <v>2375</v>
      </c>
      <c r="J1905" s="17" t="s">
        <v>2375</v>
      </c>
      <c r="K1905" s="17" t="s">
        <v>2375</v>
      </c>
    </row>
    <row r="1906" spans="1:11" x14ac:dyDescent="0.35">
      <c r="A1906" s="10" t="s">
        <v>1185</v>
      </c>
      <c r="B1906" s="255">
        <v>22</v>
      </c>
      <c r="C1906" s="10" t="s">
        <v>204</v>
      </c>
      <c r="D1906" s="10">
        <v>1</v>
      </c>
      <c r="E1906" s="10">
        <v>167</v>
      </c>
      <c r="F1906" s="10" t="s">
        <v>690</v>
      </c>
      <c r="G1906" s="10" t="s">
        <v>695</v>
      </c>
      <c r="H1906" s="10" t="str" cm="1">
        <f t="array" aca="1" ref="H1906" ca="1">IF(INDEX(I1906:Z1906,$H$1)=0,"",INDEX(I1906:Z1906,$H$1))</f>
        <v>Chemical Injection Pump: Pneumatic (Piston Type)</v>
      </c>
      <c r="I1906" s="17" t="s">
        <v>2376</v>
      </c>
      <c r="J1906" s="17" t="s">
        <v>2376</v>
      </c>
      <c r="K1906" s="17" t="s">
        <v>2376</v>
      </c>
    </row>
    <row r="1907" spans="1:11" x14ac:dyDescent="0.35">
      <c r="A1907" s="10" t="s">
        <v>1185</v>
      </c>
      <c r="B1907" s="255">
        <v>23</v>
      </c>
      <c r="C1907" s="10" t="s">
        <v>204</v>
      </c>
      <c r="D1907" s="10">
        <v>1</v>
      </c>
      <c r="E1907" s="10">
        <v>168</v>
      </c>
      <c r="F1907" s="10" t="s">
        <v>690</v>
      </c>
      <c r="G1907" s="10" t="s">
        <v>695</v>
      </c>
      <c r="H1907" s="10" t="str" cm="1">
        <f t="array" aca="1" ref="H1907" ca="1">IF(INDEX(I1907:Z1907,$H$1)=0,"",INDEX(I1907:Z1907,$H$1))</f>
        <v>Chemical Injection Pump: Pneumatic (Unknown Type)</v>
      </c>
      <c r="I1907" s="17" t="s">
        <v>2377</v>
      </c>
      <c r="J1907" s="17" t="s">
        <v>2377</v>
      </c>
      <c r="K1907" s="17" t="s">
        <v>2377</v>
      </c>
    </row>
    <row r="1908" spans="1:11" x14ac:dyDescent="0.35">
      <c r="A1908" s="10" t="s">
        <v>1185</v>
      </c>
      <c r="B1908" s="255">
        <v>24</v>
      </c>
      <c r="C1908" s="10" t="s">
        <v>204</v>
      </c>
      <c r="D1908" s="10">
        <v>1</v>
      </c>
      <c r="E1908" s="10">
        <v>169</v>
      </c>
      <c r="F1908" s="10" t="s">
        <v>690</v>
      </c>
      <c r="G1908" s="10" t="s">
        <v>695</v>
      </c>
      <c r="H1908" s="10" t="str" cm="1">
        <f t="array" aca="1" ref="H1908" ca="1">IF(INDEX(I1908:Z1908,$H$1)=0,"",INDEX(I1908:Z1908,$H$1))</f>
        <v>Compressor: Centrifugal: (Stages: 1) (Seals: Wet) (Driver: Electric Motor)</v>
      </c>
      <c r="I1908" s="17" t="s">
        <v>3219</v>
      </c>
      <c r="J1908" s="17" t="s">
        <v>3219</v>
      </c>
      <c r="K1908" s="17" t="s">
        <v>3219</v>
      </c>
    </row>
    <row r="1909" spans="1:11" x14ac:dyDescent="0.35">
      <c r="A1909" s="10" t="s">
        <v>1185</v>
      </c>
      <c r="B1909" s="255">
        <v>25</v>
      </c>
      <c r="C1909" s="10" t="s">
        <v>204</v>
      </c>
      <c r="D1909" s="10">
        <v>1</v>
      </c>
      <c r="E1909" s="10">
        <v>170</v>
      </c>
      <c r="F1909" s="10" t="s">
        <v>690</v>
      </c>
      <c r="G1909" s="10" t="s">
        <v>695</v>
      </c>
      <c r="H1909" s="10" t="str" cm="1">
        <f t="array" aca="1" ref="H1909" ca="1">IF(INDEX(I1909:Z1909,$H$1)=0,"",INDEX(I1909:Z1909,$H$1))</f>
        <v>Compressor: Centrifugal: (Stages: 1) (Seals: Wet) (Driver: Gas Turbine)</v>
      </c>
      <c r="I1909" s="17" t="s">
        <v>3220</v>
      </c>
      <c r="J1909" s="17" t="s">
        <v>3220</v>
      </c>
      <c r="K1909" s="17" t="s">
        <v>3220</v>
      </c>
    </row>
    <row r="1910" spans="1:11" x14ac:dyDescent="0.35">
      <c r="A1910" s="10" t="s">
        <v>1185</v>
      </c>
      <c r="B1910" s="255">
        <v>26</v>
      </c>
      <c r="C1910" s="10" t="s">
        <v>204</v>
      </c>
      <c r="D1910" s="10">
        <v>1</v>
      </c>
      <c r="E1910" s="10">
        <v>171</v>
      </c>
      <c r="F1910" s="10" t="s">
        <v>690</v>
      </c>
      <c r="G1910" s="10" t="s">
        <v>695</v>
      </c>
      <c r="H1910" s="10" t="str" cm="1">
        <f t="array" aca="1" ref="H1910" ca="1">IF(INDEX(I1910:Z1910,$H$1)=0,"",INDEX(I1910:Z1910,$H$1))</f>
        <v>Compressor: Centrifugal: (Stages: 2) (Seals: Wet) (Driver: Electric Motor)</v>
      </c>
      <c r="I1910" s="17" t="s">
        <v>3221</v>
      </c>
      <c r="J1910" s="17" t="s">
        <v>3221</v>
      </c>
      <c r="K1910" s="17" t="s">
        <v>3221</v>
      </c>
    </row>
    <row r="1911" spans="1:11" x14ac:dyDescent="0.35">
      <c r="A1911" s="10" t="s">
        <v>1185</v>
      </c>
      <c r="B1911" s="255">
        <v>27</v>
      </c>
      <c r="C1911" s="10" t="s">
        <v>204</v>
      </c>
      <c r="D1911" s="10">
        <v>1</v>
      </c>
      <c r="E1911" s="10">
        <v>172</v>
      </c>
      <c r="F1911" s="10" t="s">
        <v>690</v>
      </c>
      <c r="G1911" s="10" t="s">
        <v>695</v>
      </c>
      <c r="H1911" s="10" t="str" cm="1">
        <f t="array" aca="1" ref="H1911" ca="1">IF(INDEX(I1911:Z1911,$H$1)=0,"",INDEX(I1911:Z1911,$H$1))</f>
        <v>Compressor: Centrifugal: (Stages: 2) (Seals: Wet) (Driver: Gas Turbine)</v>
      </c>
      <c r="I1911" s="17" t="s">
        <v>3222</v>
      </c>
      <c r="J1911" s="17" t="s">
        <v>3222</v>
      </c>
      <c r="K1911" s="17" t="s">
        <v>3222</v>
      </c>
    </row>
    <row r="1912" spans="1:11" x14ac:dyDescent="0.35">
      <c r="A1912" s="10" t="s">
        <v>1185</v>
      </c>
      <c r="B1912" s="255">
        <v>28</v>
      </c>
      <c r="C1912" s="10" t="s">
        <v>204</v>
      </c>
      <c r="D1912" s="10">
        <v>1</v>
      </c>
      <c r="E1912" s="10">
        <v>173</v>
      </c>
      <c r="F1912" s="10" t="s">
        <v>690</v>
      </c>
      <c r="G1912" s="10" t="s">
        <v>695</v>
      </c>
      <c r="H1912" s="10" t="str" cm="1">
        <f t="array" aca="1" ref="H1912" ca="1">IF(INDEX(I1912:Z1912,$H$1)=0,"",INDEX(I1912:Z1912,$H$1))</f>
        <v>Compressor: Centrifugal: (Stages: 1) (Seals: Dry) (Driver: Electric Motor)</v>
      </c>
      <c r="I1912" s="17" t="s">
        <v>3223</v>
      </c>
      <c r="J1912" s="17" t="s">
        <v>3223</v>
      </c>
      <c r="K1912" s="17" t="s">
        <v>3223</v>
      </c>
    </row>
    <row r="1913" spans="1:11" x14ac:dyDescent="0.35">
      <c r="A1913" s="10" t="s">
        <v>1185</v>
      </c>
      <c r="B1913" s="255">
        <v>29</v>
      </c>
      <c r="C1913" s="10" t="s">
        <v>204</v>
      </c>
      <c r="D1913" s="10">
        <v>1</v>
      </c>
      <c r="E1913" s="10">
        <v>174</v>
      </c>
      <c r="F1913" s="10" t="s">
        <v>690</v>
      </c>
      <c r="G1913" s="10" t="s">
        <v>695</v>
      </c>
      <c r="H1913" s="10" t="str" cm="1">
        <f t="array" aca="1" ref="H1913" ca="1">IF(INDEX(I1913:Z1913,$H$1)=0,"",INDEX(I1913:Z1913,$H$1))</f>
        <v>Compressor: Centrifugal: (Stages: 1) (Seals: Dry) (Driver: Gas Turbine)</v>
      </c>
      <c r="I1913" s="17" t="s">
        <v>3224</v>
      </c>
      <c r="J1913" s="17" t="s">
        <v>3224</v>
      </c>
      <c r="K1913" s="17" t="s">
        <v>3224</v>
      </c>
    </row>
    <row r="1914" spans="1:11" x14ac:dyDescent="0.35">
      <c r="A1914" s="10" t="s">
        <v>1185</v>
      </c>
      <c r="B1914" s="255">
        <v>30</v>
      </c>
      <c r="C1914" s="10" t="s">
        <v>204</v>
      </c>
      <c r="D1914" s="10">
        <v>1</v>
      </c>
      <c r="E1914" s="10">
        <v>175</v>
      </c>
      <c r="F1914" s="10" t="s">
        <v>690</v>
      </c>
      <c r="G1914" s="10" t="s">
        <v>695</v>
      </c>
      <c r="H1914" s="10" t="str" cm="1">
        <f t="array" aca="1" ref="H1914" ca="1">IF(INDEX(I1914:Z1914,$H$1)=0,"",INDEX(I1914:Z1914,$H$1))</f>
        <v>Compressor: Centrifugal: (Stages: 2) (Seals: Dry) (Driver: Electric Motor)</v>
      </c>
      <c r="I1914" s="17" t="s">
        <v>3225</v>
      </c>
      <c r="J1914" s="17" t="s">
        <v>3225</v>
      </c>
      <c r="K1914" s="17" t="s">
        <v>3225</v>
      </c>
    </row>
    <row r="1915" spans="1:11" x14ac:dyDescent="0.35">
      <c r="A1915" s="10" t="s">
        <v>1185</v>
      </c>
      <c r="B1915" s="255">
        <v>31</v>
      </c>
      <c r="C1915" s="10" t="s">
        <v>204</v>
      </c>
      <c r="D1915" s="10">
        <v>1</v>
      </c>
      <c r="E1915" s="10">
        <v>176</v>
      </c>
      <c r="F1915" s="10" t="s">
        <v>690</v>
      </c>
      <c r="G1915" s="10" t="s">
        <v>695</v>
      </c>
      <c r="H1915" s="10" t="str" cm="1">
        <f t="array" aca="1" ref="H1915" ca="1">IF(INDEX(I1915:Z1915,$H$1)=0,"",INDEX(I1915:Z1915,$H$1))</f>
        <v>Compressor: Centrifugal: (Stages: 2) (Seals: Dry) (Driver: Gas Turbine)</v>
      </c>
      <c r="I1915" s="17" t="s">
        <v>3226</v>
      </c>
      <c r="J1915" s="17" t="s">
        <v>3226</v>
      </c>
      <c r="K1915" s="17" t="s">
        <v>3226</v>
      </c>
    </row>
    <row r="1916" spans="1:11" x14ac:dyDescent="0.35">
      <c r="A1916" s="10" t="s">
        <v>1185</v>
      </c>
      <c r="B1916" s="255">
        <v>32</v>
      </c>
      <c r="C1916" s="10" t="s">
        <v>204</v>
      </c>
      <c r="D1916" s="10">
        <v>1</v>
      </c>
      <c r="E1916" s="10">
        <v>177</v>
      </c>
      <c r="F1916" s="10" t="s">
        <v>690</v>
      </c>
      <c r="G1916" s="10" t="s">
        <v>695</v>
      </c>
      <c r="H1916" s="10" t="str" cm="1">
        <f t="array" aca="1" ref="H1916" ca="1">IF(INDEX(I1916:Z1916,$H$1)=0,"",INDEX(I1916:Z1916,$H$1))</f>
        <v>Compressor: Reciprocating: (Stages: 1) (Driver: Electric Motor)</v>
      </c>
      <c r="I1916" s="17" t="s">
        <v>2378</v>
      </c>
      <c r="J1916" s="17" t="s">
        <v>2378</v>
      </c>
      <c r="K1916" s="17" t="s">
        <v>2378</v>
      </c>
    </row>
    <row r="1917" spans="1:11" x14ac:dyDescent="0.35">
      <c r="A1917" s="10" t="s">
        <v>1185</v>
      </c>
      <c r="B1917" s="255">
        <v>33</v>
      </c>
      <c r="C1917" s="10" t="s">
        <v>204</v>
      </c>
      <c r="D1917" s="10">
        <v>1</v>
      </c>
      <c r="E1917" s="10">
        <v>178</v>
      </c>
      <c r="F1917" s="10" t="s">
        <v>690</v>
      </c>
      <c r="G1917" s="10" t="s">
        <v>695</v>
      </c>
      <c r="H1917" s="10" t="str" cm="1">
        <f t="array" aca="1" ref="H1917" ca="1">IF(INDEX(I1917:Z1917,$H$1)=0,"",INDEX(I1917:Z1917,$H$1))</f>
        <v>Compressor: Reciprocating: (Stages: 1) (Driver: Recip Engine)</v>
      </c>
      <c r="I1917" s="17" t="s">
        <v>2379</v>
      </c>
      <c r="J1917" s="17" t="s">
        <v>2379</v>
      </c>
      <c r="K1917" s="17" t="s">
        <v>2379</v>
      </c>
    </row>
    <row r="1918" spans="1:11" x14ac:dyDescent="0.35">
      <c r="A1918" s="10" t="s">
        <v>1185</v>
      </c>
      <c r="B1918" s="255">
        <v>34</v>
      </c>
      <c r="C1918" s="10" t="s">
        <v>204</v>
      </c>
      <c r="D1918" s="10">
        <v>1</v>
      </c>
      <c r="E1918" s="10">
        <v>179</v>
      </c>
      <c r="F1918" s="10" t="s">
        <v>690</v>
      </c>
      <c r="G1918" s="10" t="s">
        <v>695</v>
      </c>
      <c r="H1918" s="10" t="str" cm="1">
        <f t="array" aca="1" ref="H1918" ca="1">IF(INDEX(I1918:Z1918,$H$1)=0,"",INDEX(I1918:Z1918,$H$1))</f>
        <v>Compressor: Reciprocating: (Stages: 2) (Driver: Electric Motor)</v>
      </c>
      <c r="I1918" s="17" t="s">
        <v>2380</v>
      </c>
      <c r="J1918" s="17" t="s">
        <v>2380</v>
      </c>
      <c r="K1918" s="17" t="s">
        <v>2380</v>
      </c>
    </row>
    <row r="1919" spans="1:11" x14ac:dyDescent="0.35">
      <c r="A1919" s="10" t="s">
        <v>1185</v>
      </c>
      <c r="B1919" s="255">
        <v>35</v>
      </c>
      <c r="C1919" s="10" t="s">
        <v>204</v>
      </c>
      <c r="D1919" s="10">
        <v>1</v>
      </c>
      <c r="E1919" s="10">
        <v>180</v>
      </c>
      <c r="F1919" s="10" t="s">
        <v>690</v>
      </c>
      <c r="G1919" s="10" t="s">
        <v>695</v>
      </c>
      <c r="H1919" s="10" t="str" cm="1">
        <f t="array" aca="1" ref="H1919" ca="1">IF(INDEX(I1919:Z1919,$H$1)=0,"",INDEX(I1919:Z1919,$H$1))</f>
        <v>Compressor: Reciprocating: (Stages: 2) (Driver: Recip Engine)</v>
      </c>
      <c r="I1919" s="17" t="s">
        <v>2381</v>
      </c>
      <c r="J1919" s="17" t="s">
        <v>2381</v>
      </c>
      <c r="K1919" s="17" t="s">
        <v>2381</v>
      </c>
    </row>
    <row r="1920" spans="1:11" x14ac:dyDescent="0.35">
      <c r="A1920" s="10" t="s">
        <v>1185</v>
      </c>
      <c r="B1920" s="255">
        <v>36</v>
      </c>
      <c r="C1920" s="10" t="s">
        <v>204</v>
      </c>
      <c r="D1920" s="10">
        <v>1</v>
      </c>
      <c r="E1920" s="10">
        <v>181</v>
      </c>
      <c r="F1920" s="10" t="s">
        <v>690</v>
      </c>
      <c r="G1920" s="10" t="s">
        <v>695</v>
      </c>
      <c r="H1920" s="10" t="str" cm="1">
        <f t="array" aca="1" ref="H1920" ca="1">IF(INDEX(I1920:Z1920,$H$1)=0,"",INDEX(I1920:Z1920,$H$1))</f>
        <v>Compressor: Reciprocating: (Stages: 3) (Driver: Electric Motor)</v>
      </c>
      <c r="I1920" s="17" t="s">
        <v>2382</v>
      </c>
      <c r="J1920" s="17" t="s">
        <v>2382</v>
      </c>
      <c r="K1920" s="17" t="s">
        <v>2382</v>
      </c>
    </row>
    <row r="1921" spans="1:11" x14ac:dyDescent="0.35">
      <c r="A1921" s="10" t="s">
        <v>1185</v>
      </c>
      <c r="B1921" s="255">
        <v>37</v>
      </c>
      <c r="C1921" s="10" t="s">
        <v>204</v>
      </c>
      <c r="D1921" s="10">
        <v>1</v>
      </c>
      <c r="E1921" s="10">
        <v>182</v>
      </c>
      <c r="F1921" s="10" t="s">
        <v>690</v>
      </c>
      <c r="G1921" s="10" t="s">
        <v>695</v>
      </c>
      <c r="H1921" s="10" t="str" cm="1">
        <f t="array" aca="1" ref="H1921" ca="1">IF(INDEX(I1921:Z1921,$H$1)=0,"",INDEX(I1921:Z1921,$H$1))</f>
        <v>Compressor: Reciprocating: (Stages: 3) (Driver: Recip Engine)</v>
      </c>
      <c r="I1921" s="17" t="s">
        <v>2383</v>
      </c>
      <c r="J1921" s="17" t="s">
        <v>2383</v>
      </c>
      <c r="K1921" s="17" t="s">
        <v>2383</v>
      </c>
    </row>
    <row r="1922" spans="1:11" x14ac:dyDescent="0.35">
      <c r="A1922" s="10" t="s">
        <v>1185</v>
      </c>
      <c r="B1922" s="255">
        <v>38</v>
      </c>
      <c r="C1922" s="10" t="s">
        <v>204</v>
      </c>
      <c r="D1922" s="10">
        <v>1</v>
      </c>
      <c r="E1922" s="10">
        <v>183</v>
      </c>
      <c r="F1922" s="10" t="s">
        <v>690</v>
      </c>
      <c r="G1922" s="10" t="s">
        <v>695</v>
      </c>
      <c r="H1922" s="10" t="str" cm="1">
        <f t="array" aca="1" ref="H1922" ca="1">IF(INDEX(I1922:Z1922,$H$1)=0,"",INDEX(I1922:Z1922,$H$1))</f>
        <v>Compressor: Reciprocating: (Stages 4) (Driver: Electric Motor)</v>
      </c>
      <c r="I1922" s="17" t="s">
        <v>3308</v>
      </c>
      <c r="J1922" s="17" t="s">
        <v>3308</v>
      </c>
      <c r="K1922" s="17" t="s">
        <v>3308</v>
      </c>
    </row>
    <row r="1923" spans="1:11" x14ac:dyDescent="0.35">
      <c r="A1923" s="10" t="s">
        <v>1185</v>
      </c>
      <c r="B1923" s="255">
        <v>39</v>
      </c>
      <c r="C1923" s="10" t="s">
        <v>204</v>
      </c>
      <c r="D1923" s="10">
        <v>1</v>
      </c>
      <c r="E1923" s="10">
        <v>184</v>
      </c>
      <c r="F1923" s="10" t="s">
        <v>690</v>
      </c>
      <c r="G1923" s="10" t="s">
        <v>695</v>
      </c>
      <c r="H1923" s="10" t="str" cm="1">
        <f t="array" aca="1" ref="H1923" ca="1">IF(INDEX(I1923:Z1923,$H$1)=0,"",INDEX(I1923:Z1923,$H$1))</f>
        <v>Compressor: Reciprocating: (Stages 4) (Driver: Recip Engine)</v>
      </c>
      <c r="I1923" s="17" t="s">
        <v>3307</v>
      </c>
      <c r="J1923" s="17" t="s">
        <v>3307</v>
      </c>
      <c r="K1923" s="17" t="s">
        <v>3307</v>
      </c>
    </row>
    <row r="1924" spans="1:11" x14ac:dyDescent="0.35">
      <c r="A1924" s="10" t="s">
        <v>1185</v>
      </c>
      <c r="B1924" s="255">
        <v>40</v>
      </c>
      <c r="C1924" s="10" t="s">
        <v>204</v>
      </c>
      <c r="D1924" s="10">
        <v>1</v>
      </c>
      <c r="E1924" s="10">
        <v>185</v>
      </c>
      <c r="F1924" s="10" t="s">
        <v>690</v>
      </c>
      <c r="G1924" s="10" t="s">
        <v>695</v>
      </c>
      <c r="H1924" s="10" t="str" cm="1">
        <f t="array" aca="1" ref="H1924" ca="1">IF(INDEX(I1924:Z1924,$H$1)=0,"",INDEX(I1924:Z1924,$H$1))</f>
        <v>Compressor: Screw (Driver: Electric Motor)</v>
      </c>
      <c r="I1924" s="17" t="s">
        <v>2384</v>
      </c>
      <c r="J1924" s="17" t="s">
        <v>2384</v>
      </c>
      <c r="K1924" s="17" t="s">
        <v>2384</v>
      </c>
    </row>
    <row r="1925" spans="1:11" x14ac:dyDescent="0.35">
      <c r="A1925" s="10" t="s">
        <v>1185</v>
      </c>
      <c r="B1925" s="255">
        <v>41</v>
      </c>
      <c r="C1925" s="10" t="s">
        <v>204</v>
      </c>
      <c r="D1925" s="10">
        <v>1</v>
      </c>
      <c r="E1925" s="10">
        <v>186</v>
      </c>
      <c r="F1925" s="10" t="s">
        <v>690</v>
      </c>
      <c r="G1925" s="10" t="s">
        <v>695</v>
      </c>
      <c r="H1925" s="10" t="str" cm="1">
        <f t="array" aca="1" ref="H1925" ca="1">IF(INDEX(I1925:Z1925,$H$1)=0,"",INDEX(I1925:Z1925,$H$1))</f>
        <v>Compressor: Screw (Driver: Recip Engine)</v>
      </c>
      <c r="I1925" s="17" t="s">
        <v>2385</v>
      </c>
      <c r="J1925" s="17" t="s">
        <v>2385</v>
      </c>
      <c r="K1925" s="17" t="s">
        <v>2385</v>
      </c>
    </row>
    <row r="1926" spans="1:11" x14ac:dyDescent="0.35">
      <c r="A1926" s="10" t="s">
        <v>1185</v>
      </c>
      <c r="B1926" s="255">
        <v>42</v>
      </c>
      <c r="C1926" s="10" t="s">
        <v>204</v>
      </c>
      <c r="D1926" s="10">
        <v>1</v>
      </c>
      <c r="E1926" s="10">
        <v>187</v>
      </c>
      <c r="F1926" s="10" t="s">
        <v>690</v>
      </c>
      <c r="G1926" s="10" t="s">
        <v>695</v>
      </c>
      <c r="H1926" s="10" t="str" cm="1">
        <f t="array" aca="1" ref="H1926" ca="1">IF(INDEX(I1926:Z1926,$H$1)=0,"",INDEX(I1926:Z1926,$H$1))</f>
        <v>Dehydration: Desiccant (Adsorber Columns: 2)</v>
      </c>
      <c r="I1926" s="17" t="s">
        <v>2386</v>
      </c>
      <c r="J1926" s="17" t="s">
        <v>2386</v>
      </c>
      <c r="K1926" s="17" t="s">
        <v>2386</v>
      </c>
    </row>
    <row r="1927" spans="1:11" x14ac:dyDescent="0.35">
      <c r="A1927" s="10" t="s">
        <v>1185</v>
      </c>
      <c r="B1927" s="255">
        <v>43</v>
      </c>
      <c r="C1927" s="10" t="s">
        <v>204</v>
      </c>
      <c r="D1927" s="10">
        <v>1</v>
      </c>
      <c r="E1927" s="10">
        <v>188</v>
      </c>
      <c r="F1927" s="10" t="s">
        <v>690</v>
      </c>
      <c r="G1927" s="10" t="s">
        <v>695</v>
      </c>
      <c r="H1927" s="10" t="str" cm="1">
        <f t="array" aca="1" ref="H1927" ca="1">IF(INDEX(I1927:Z1927,$H$1)=0,"",INDEX(I1927:Z1927,$H$1))</f>
        <v>Dehydration: Desiccant (Adsorber Columns: 3)</v>
      </c>
      <c r="I1927" s="17" t="s">
        <v>2387</v>
      </c>
      <c r="J1927" s="17" t="s">
        <v>2387</v>
      </c>
      <c r="K1927" s="17" t="s">
        <v>2387</v>
      </c>
    </row>
    <row r="1928" spans="1:11" x14ac:dyDescent="0.35">
      <c r="A1928" s="10" t="s">
        <v>1185</v>
      </c>
      <c r="B1928" s="255">
        <v>44</v>
      </c>
      <c r="C1928" s="10" t="s">
        <v>204</v>
      </c>
      <c r="D1928" s="10">
        <v>1</v>
      </c>
      <c r="E1928" s="10">
        <v>189</v>
      </c>
      <c r="F1928" s="10" t="s">
        <v>690</v>
      </c>
      <c r="G1928" s="10" t="s">
        <v>695</v>
      </c>
      <c r="H1928" s="10" t="str" cm="1">
        <f t="array" aca="1" ref="H1928" ca="1">IF(INDEX(I1928:Z1928,$H$1)=0,"",INDEX(I1928:Z1928,$H$1))</f>
        <v>Dehydration: Glycol (with Gas-assisted Pump)</v>
      </c>
      <c r="I1928" s="17" t="s">
        <v>2388</v>
      </c>
      <c r="J1928" s="17" t="s">
        <v>2388</v>
      </c>
      <c r="K1928" s="17" t="s">
        <v>2388</v>
      </c>
    </row>
    <row r="1929" spans="1:11" x14ac:dyDescent="0.35">
      <c r="A1929" s="10" t="s">
        <v>1185</v>
      </c>
      <c r="B1929" s="255">
        <v>45</v>
      </c>
      <c r="C1929" s="10" t="s">
        <v>204</v>
      </c>
      <c r="D1929" s="10">
        <v>1</v>
      </c>
      <c r="E1929" s="10">
        <v>190</v>
      </c>
      <c r="F1929" s="10" t="s">
        <v>690</v>
      </c>
      <c r="G1929" s="10" t="s">
        <v>695</v>
      </c>
      <c r="H1929" s="10" t="str" cm="1">
        <f t="array" aca="1" ref="H1929" ca="1">IF(INDEX(I1929:Z1929,$H$1)=0,"",INDEX(I1929:Z1929,$H$1))</f>
        <v>Dehydration: Glycol (without Gas-assisted Pump)</v>
      </c>
      <c r="I1929" s="17" t="s">
        <v>2389</v>
      </c>
      <c r="J1929" s="17" t="s">
        <v>2389</v>
      </c>
      <c r="K1929" s="17" t="s">
        <v>2389</v>
      </c>
    </row>
    <row r="1930" spans="1:11" x14ac:dyDescent="0.35">
      <c r="A1930" s="10" t="s">
        <v>1185</v>
      </c>
      <c r="B1930" s="255">
        <v>46</v>
      </c>
      <c r="C1930" s="10" t="s">
        <v>204</v>
      </c>
      <c r="D1930" s="10">
        <v>1</v>
      </c>
      <c r="E1930" s="10">
        <v>191</v>
      </c>
      <c r="F1930" s="10" t="s">
        <v>690</v>
      </c>
      <c r="G1930" s="10" t="s">
        <v>695</v>
      </c>
      <c r="H1930" s="10" t="str" cm="1">
        <f t="array" aca="1" ref="H1930" ca="1">IF(INDEX(I1930:Z1930,$H$1)=0,"",INDEX(I1930:Z1930,$H$1))</f>
        <v>Flare System: Generic (Including Knock-out Drum)</v>
      </c>
      <c r="I1930" s="17" t="s">
        <v>2390</v>
      </c>
      <c r="J1930" s="17" t="s">
        <v>2390</v>
      </c>
      <c r="K1930" s="17" t="s">
        <v>2390</v>
      </c>
    </row>
    <row r="1931" spans="1:11" x14ac:dyDescent="0.35">
      <c r="A1931" s="10" t="s">
        <v>1185</v>
      </c>
      <c r="B1931" s="255">
        <v>46</v>
      </c>
      <c r="C1931" s="10" t="s">
        <v>204</v>
      </c>
      <c r="D1931" s="10">
        <v>1</v>
      </c>
      <c r="E1931" s="10">
        <v>191</v>
      </c>
      <c r="F1931" s="10" t="s">
        <v>690</v>
      </c>
      <c r="G1931" s="10" t="s">
        <v>695</v>
      </c>
      <c r="H1931" s="10" t="str" cm="1">
        <f t="array" aca="1" ref="H1931" ca="1">IF(INDEX(I1931:Z1931,$H$1)=0,"",INDEX(I1931:Z1931,$H$1))</f>
        <v>Gas-Lift Supply Header (Fittings Per Well or Line)</v>
      </c>
      <c r="I1931" s="17" t="s">
        <v>3428</v>
      </c>
      <c r="J1931" s="17" t="s">
        <v>3428</v>
      </c>
      <c r="K1931" s="17" t="s">
        <v>3428</v>
      </c>
    </row>
    <row r="1932" spans="1:11" x14ac:dyDescent="0.35">
      <c r="A1932" s="10" t="s">
        <v>1185</v>
      </c>
      <c r="B1932" s="255">
        <v>47</v>
      </c>
      <c r="C1932" s="10" t="s">
        <v>204</v>
      </c>
      <c r="D1932" s="10">
        <v>1</v>
      </c>
      <c r="E1932" s="10">
        <v>192</v>
      </c>
      <c r="F1932" s="10" t="s">
        <v>690</v>
      </c>
      <c r="G1932" s="10" t="s">
        <v>695</v>
      </c>
      <c r="H1932" s="10" t="str" cm="1">
        <f t="array" aca="1" ref="H1932" ca="1">IF(INDEX(I1932:Z1932,$H$1)=0,"",INDEX(I1932:Z1932,$H$1))</f>
        <v>Heat Exchanger: Natural Gas/Steam</v>
      </c>
      <c r="I1932" s="17" t="s">
        <v>3399</v>
      </c>
      <c r="J1932" s="17" t="s">
        <v>3399</v>
      </c>
      <c r="K1932" s="17" t="s">
        <v>3399</v>
      </c>
    </row>
    <row r="1933" spans="1:11" x14ac:dyDescent="0.35">
      <c r="A1933" s="10" t="s">
        <v>1185</v>
      </c>
      <c r="B1933" s="255">
        <v>48</v>
      </c>
      <c r="C1933" s="10" t="s">
        <v>204</v>
      </c>
      <c r="D1933" s="10">
        <v>1</v>
      </c>
      <c r="E1933" s="10">
        <v>193</v>
      </c>
      <c r="F1933" s="10" t="s">
        <v>690</v>
      </c>
      <c r="G1933" s="10" t="s">
        <v>695</v>
      </c>
      <c r="H1933" s="10" t="str" cm="1">
        <f t="array" aca="1" ref="H1933" ca="1">IF(INDEX(I1933:Z1933,$H$1)=0,"",INDEX(I1933:Z1933,$H$1))</f>
        <v>Heat Exchanger: Natural Gas/Natural Gas</v>
      </c>
      <c r="I1933" s="17" t="s">
        <v>3398</v>
      </c>
      <c r="J1933" s="17" t="s">
        <v>3398</v>
      </c>
      <c r="K1933" s="17" t="s">
        <v>3398</v>
      </c>
    </row>
    <row r="1934" spans="1:11" x14ac:dyDescent="0.35">
      <c r="A1934" s="10" t="s">
        <v>1185</v>
      </c>
      <c r="B1934" s="255">
        <v>49</v>
      </c>
      <c r="C1934" s="10" t="s">
        <v>204</v>
      </c>
      <c r="D1934" s="10">
        <v>1</v>
      </c>
      <c r="E1934" s="10">
        <v>194</v>
      </c>
      <c r="F1934" s="10" t="s">
        <v>690</v>
      </c>
      <c r="G1934" s="10" t="s">
        <v>695</v>
      </c>
      <c r="H1934" s="10" t="str" cm="1">
        <f t="array" aca="1" ref="H1934" ca="1">IF(INDEX(I1934:Z1934,$H$1)=0,"",INDEX(I1934:Z1934,$H$1))</f>
        <v>Heat Exchanger: Natural Gas/Non-Hydrocarbon Liquid</v>
      </c>
      <c r="I1934" s="17" t="s">
        <v>3400</v>
      </c>
      <c r="J1934" s="17" t="s">
        <v>3400</v>
      </c>
      <c r="K1934" s="17" t="s">
        <v>3400</v>
      </c>
    </row>
    <row r="1935" spans="1:11" x14ac:dyDescent="0.35">
      <c r="A1935" s="10" t="s">
        <v>1185</v>
      </c>
      <c r="B1935" s="255">
        <v>50</v>
      </c>
      <c r="C1935" s="10" t="s">
        <v>204</v>
      </c>
      <c r="D1935" s="10">
        <v>1</v>
      </c>
      <c r="E1935" s="10">
        <v>195</v>
      </c>
      <c r="F1935" s="10" t="s">
        <v>690</v>
      </c>
      <c r="G1935" s="10" t="s">
        <v>695</v>
      </c>
      <c r="H1935" s="10" t="str" cm="1">
        <f t="array" aca="1" ref="H1935" ca="1">IF(INDEX(I1935:Z1935,$H$1)=0,"",INDEX(I1935:Z1935,$H$1))</f>
        <v>Heat Exchanger: Natural Gas/Hydrocarbon Liquid</v>
      </c>
      <c r="I1935" s="17" t="s">
        <v>3401</v>
      </c>
      <c r="J1935" s="17" t="s">
        <v>3401</v>
      </c>
      <c r="K1935" s="17" t="s">
        <v>3401</v>
      </c>
    </row>
    <row r="1936" spans="1:11" x14ac:dyDescent="0.35">
      <c r="A1936" s="10" t="s">
        <v>1185</v>
      </c>
      <c r="B1936" s="255">
        <v>51</v>
      </c>
      <c r="C1936" s="10" t="s">
        <v>204</v>
      </c>
      <c r="D1936" s="10">
        <v>1</v>
      </c>
      <c r="E1936" s="10">
        <v>196</v>
      </c>
      <c r="F1936" s="10" t="s">
        <v>690</v>
      </c>
      <c r="G1936" s="10" t="s">
        <v>695</v>
      </c>
      <c r="H1936" s="10" t="str" cm="1">
        <f t="array" aca="1" ref="H1936" ca="1">IF(INDEX(I1936:Z1936,$H$1)=0,"",INDEX(I1936:Z1936,$H$1))</f>
        <v>Heat Exchanger: Steam/Hydrocarbon Liquid</v>
      </c>
      <c r="I1936" s="17" t="s">
        <v>3402</v>
      </c>
      <c r="J1936" s="17" t="s">
        <v>3402</v>
      </c>
      <c r="K1936" s="17" t="s">
        <v>3402</v>
      </c>
    </row>
    <row r="1937" spans="1:11" x14ac:dyDescent="0.35">
      <c r="A1937" s="10" t="s">
        <v>1185</v>
      </c>
      <c r="B1937" s="255">
        <v>52</v>
      </c>
      <c r="C1937" s="10" t="s">
        <v>204</v>
      </c>
      <c r="D1937" s="10">
        <v>1</v>
      </c>
      <c r="E1937" s="10">
        <v>197</v>
      </c>
      <c r="F1937" s="10" t="s">
        <v>690</v>
      </c>
      <c r="G1937" s="10" t="s">
        <v>695</v>
      </c>
      <c r="H1937" s="10" t="str" cm="1">
        <f t="array" aca="1" ref="H1937" ca="1">IF(INDEX(I1937:Z1937,$H$1)=0,"",INDEX(I1937:Z1937,$H$1))</f>
        <v>Heat Exchanger: Hydrocarbon Liquid/Hydrocarbon Liquid</v>
      </c>
      <c r="I1937" s="17" t="s">
        <v>3397</v>
      </c>
      <c r="J1937" s="17" t="s">
        <v>3397</v>
      </c>
      <c r="K1937" s="17" t="s">
        <v>3397</v>
      </c>
    </row>
    <row r="1938" spans="1:11" x14ac:dyDescent="0.35">
      <c r="A1938" s="10" t="s">
        <v>1185</v>
      </c>
      <c r="B1938" s="255">
        <v>53</v>
      </c>
      <c r="C1938" s="10" t="s">
        <v>204</v>
      </c>
      <c r="D1938" s="10">
        <v>1</v>
      </c>
      <c r="E1938" s="10">
        <v>198</v>
      </c>
      <c r="F1938" s="10" t="s">
        <v>690</v>
      </c>
      <c r="G1938" s="10" t="s">
        <v>695</v>
      </c>
      <c r="H1938" s="10" t="str" cm="1">
        <f t="array" aca="1" ref="H1938" ca="1">IF(INDEX(I1938:Z1938,$H$1)=0,"",INDEX(I1938:Z1938,$H$1))</f>
        <v>Heater/Boiler/Reboiler: Generic (Burner Assemblies: 1)</v>
      </c>
      <c r="I1938" s="17" t="s">
        <v>2391</v>
      </c>
      <c r="J1938" s="17" t="s">
        <v>2391</v>
      </c>
      <c r="K1938" s="17" t="s">
        <v>2391</v>
      </c>
    </row>
    <row r="1939" spans="1:11" x14ac:dyDescent="0.35">
      <c r="A1939" s="10" t="s">
        <v>1185</v>
      </c>
      <c r="B1939" s="255">
        <v>54</v>
      </c>
      <c r="C1939" s="10" t="s">
        <v>204</v>
      </c>
      <c r="D1939" s="10">
        <v>1</v>
      </c>
      <c r="E1939" s="10">
        <v>199</v>
      </c>
      <c r="F1939" s="10" t="s">
        <v>690</v>
      </c>
      <c r="G1939" s="10" t="s">
        <v>695</v>
      </c>
      <c r="H1939" s="10" t="str" cm="1">
        <f t="array" aca="1" ref="H1939" ca="1">IF(INDEX(I1939:Z1939,$H$1)=0,"",INDEX(I1939:Z1939,$H$1))</f>
        <v>Heater/Boiler/Reboiler: Generic (Burner Assemblies: 2)</v>
      </c>
      <c r="I1939" s="17" t="s">
        <v>2392</v>
      </c>
      <c r="J1939" s="17" t="s">
        <v>2392</v>
      </c>
      <c r="K1939" s="17" t="s">
        <v>2392</v>
      </c>
    </row>
    <row r="1940" spans="1:11" x14ac:dyDescent="0.35">
      <c r="A1940" s="10" t="s">
        <v>1185</v>
      </c>
      <c r="B1940" s="255">
        <v>55</v>
      </c>
      <c r="C1940" s="10" t="s">
        <v>204</v>
      </c>
      <c r="D1940" s="10">
        <v>1</v>
      </c>
      <c r="E1940" s="10">
        <v>200</v>
      </c>
      <c r="F1940" s="10" t="s">
        <v>690</v>
      </c>
      <c r="G1940" s="10" t="s">
        <v>695</v>
      </c>
      <c r="H1940" s="10" t="str" cm="1">
        <f t="array" aca="1" ref="H1940" ca="1">IF(INDEX(I1940:Z1940,$H$1)=0,"",INDEX(I1940:Z1940,$H$1))</f>
        <v>Heater/Boiler/Reboiler: Generic (Burner Assemblies: 3)</v>
      </c>
      <c r="I1940" s="17" t="s">
        <v>2393</v>
      </c>
      <c r="J1940" s="17" t="s">
        <v>2393</v>
      </c>
      <c r="K1940" s="17" t="s">
        <v>2393</v>
      </c>
    </row>
    <row r="1941" spans="1:11" x14ac:dyDescent="0.35">
      <c r="A1941" s="10" t="s">
        <v>1185</v>
      </c>
      <c r="B1941" s="255">
        <v>56</v>
      </c>
      <c r="C1941" s="10" t="s">
        <v>204</v>
      </c>
      <c r="D1941" s="10">
        <v>1</v>
      </c>
      <c r="E1941" s="10">
        <v>201</v>
      </c>
      <c r="F1941" s="10" t="s">
        <v>690</v>
      </c>
      <c r="G1941" s="10" t="s">
        <v>695</v>
      </c>
      <c r="H1941" s="10" t="str" cm="1">
        <f t="array" aca="1" ref="H1941" ca="1">IF(INDEX(I1941:Z1941,$H$1)=0,"",INDEX(I1941:Z1941,$H$1))</f>
        <v>Heater/Boiler/Reboiler: Line (Burner Assemblies: 1)</v>
      </c>
      <c r="I1941" s="17" t="s">
        <v>2671</v>
      </c>
      <c r="J1941" s="17" t="s">
        <v>2671</v>
      </c>
      <c r="K1941" s="17" t="s">
        <v>2671</v>
      </c>
    </row>
    <row r="1942" spans="1:11" x14ac:dyDescent="0.35">
      <c r="A1942" s="10" t="s">
        <v>1185</v>
      </c>
      <c r="B1942" s="255">
        <v>57</v>
      </c>
      <c r="C1942" s="10" t="s">
        <v>204</v>
      </c>
      <c r="D1942" s="10">
        <v>1</v>
      </c>
      <c r="E1942" s="10">
        <v>202</v>
      </c>
      <c r="F1942" s="10" t="s">
        <v>690</v>
      </c>
      <c r="G1942" s="10" t="s">
        <v>695</v>
      </c>
      <c r="H1942" s="10" t="str" cm="1">
        <f t="array" aca="1" ref="H1942" ca="1">IF(INDEX(I1942:Z1942,$H$1)=0,"",INDEX(I1942:Z1942,$H$1))</f>
        <v>Heater/Boiler/Reboiler: Line (Burner Assemblies: 2)</v>
      </c>
      <c r="I1942" s="17" t="s">
        <v>2672</v>
      </c>
      <c r="J1942" s="17" t="s">
        <v>2672</v>
      </c>
      <c r="K1942" s="17" t="s">
        <v>2672</v>
      </c>
    </row>
    <row r="1943" spans="1:11" x14ac:dyDescent="0.35">
      <c r="A1943" s="10" t="s">
        <v>1185</v>
      </c>
      <c r="B1943" s="255">
        <v>58</v>
      </c>
      <c r="C1943" s="10" t="s">
        <v>204</v>
      </c>
      <c r="D1943" s="10">
        <v>1</v>
      </c>
      <c r="E1943" s="10">
        <v>203</v>
      </c>
      <c r="F1943" s="10" t="s">
        <v>690</v>
      </c>
      <c r="G1943" s="10" t="s">
        <v>695</v>
      </c>
      <c r="H1943" s="10" t="str" cm="1">
        <f t="array" aca="1" ref="H1943" ca="1">IF(INDEX(I1943:Z1943,$H$1)=0,"",INDEX(I1943:Z1943,$H$1))</f>
        <v>Heater/Boiler/Reboiler: Line (Burner Assemblies: 3)</v>
      </c>
      <c r="I1943" s="17" t="s">
        <v>2673</v>
      </c>
      <c r="J1943" s="17" t="s">
        <v>2673</v>
      </c>
      <c r="K1943" s="17" t="s">
        <v>2673</v>
      </c>
    </row>
    <row r="1944" spans="1:11" x14ac:dyDescent="0.35">
      <c r="A1944" s="10" t="s">
        <v>1185</v>
      </c>
      <c r="B1944" s="255">
        <v>59</v>
      </c>
      <c r="C1944" s="10" t="s">
        <v>204</v>
      </c>
      <c r="D1944" s="10">
        <v>1</v>
      </c>
      <c r="E1944" s="10">
        <v>204</v>
      </c>
      <c r="F1944" s="10" t="s">
        <v>690</v>
      </c>
      <c r="G1944" s="10" t="s">
        <v>695</v>
      </c>
      <c r="H1944" s="10" t="str" cm="1">
        <f t="array" aca="1" ref="H1944" ca="1">IF(INDEX(I1944:Z1944,$H$1)=0,"",INDEX(I1944:Z1944,$H$1))</f>
        <v>Heater/Boiler/Reboiler: Treater (Burner Assemblies: 1)</v>
      </c>
      <c r="I1944" s="17" t="s">
        <v>2394</v>
      </c>
      <c r="J1944" s="17" t="s">
        <v>2394</v>
      </c>
      <c r="K1944" s="17" t="s">
        <v>2394</v>
      </c>
    </row>
    <row r="1945" spans="1:11" x14ac:dyDescent="0.35">
      <c r="A1945" s="10" t="s">
        <v>1185</v>
      </c>
      <c r="B1945" s="255">
        <v>60</v>
      </c>
      <c r="C1945" s="10" t="s">
        <v>204</v>
      </c>
      <c r="D1945" s="10">
        <v>1</v>
      </c>
      <c r="E1945" s="10">
        <v>205</v>
      </c>
      <c r="F1945" s="10" t="s">
        <v>690</v>
      </c>
      <c r="G1945" s="10" t="s">
        <v>695</v>
      </c>
      <c r="H1945" s="10" t="str" cm="1">
        <f t="array" aca="1" ref="H1945" ca="1">IF(INDEX(I1945:Z1945,$H$1)=0,"",INDEX(I1945:Z1945,$H$1))</f>
        <v>Heater/Boiler/Reboiler: Treater (Burner Assemblies: 2)</v>
      </c>
      <c r="I1945" s="17" t="s">
        <v>2395</v>
      </c>
      <c r="J1945" s="17" t="s">
        <v>2395</v>
      </c>
      <c r="K1945" s="17" t="s">
        <v>2395</v>
      </c>
    </row>
    <row r="1946" spans="1:11" x14ac:dyDescent="0.35">
      <c r="A1946" s="10" t="s">
        <v>1185</v>
      </c>
      <c r="B1946" s="255">
        <v>61</v>
      </c>
      <c r="C1946" s="10" t="s">
        <v>204</v>
      </c>
      <c r="D1946" s="10">
        <v>1</v>
      </c>
      <c r="E1946" s="10">
        <v>206</v>
      </c>
      <c r="F1946" s="10" t="s">
        <v>690</v>
      </c>
      <c r="G1946" s="10" t="s">
        <v>695</v>
      </c>
      <c r="H1946" s="10" t="str" cm="1">
        <f t="array" aca="1" ref="H1946" ca="1">IF(INDEX(I1946:Z1946,$H$1)=0,"",INDEX(I1946:Z1946,$H$1))</f>
        <v>Heater/Boiler/Reboiler: Treater (Burner Assemblies: 3)</v>
      </c>
      <c r="I1946" s="17" t="s">
        <v>2396</v>
      </c>
      <c r="J1946" s="17" t="s">
        <v>2396</v>
      </c>
      <c r="K1946" s="17" t="s">
        <v>2396</v>
      </c>
    </row>
    <row r="1947" spans="1:11" x14ac:dyDescent="0.35">
      <c r="A1947" s="10" t="s">
        <v>1185</v>
      </c>
      <c r="B1947" s="255">
        <v>62</v>
      </c>
      <c r="C1947" s="10" t="s">
        <v>204</v>
      </c>
      <c r="D1947" s="10">
        <v>1</v>
      </c>
      <c r="E1947" s="10">
        <v>207</v>
      </c>
      <c r="F1947" s="10" t="s">
        <v>690</v>
      </c>
      <c r="G1947" s="10" t="s">
        <v>695</v>
      </c>
      <c r="H1947" s="10" t="str" cm="1">
        <f t="array" aca="1" ref="H1947" ca="1">IF(INDEX(I1947:Z1947,$H$1)=0,"",INDEX(I1947:Z1947,$H$1))</f>
        <v>Hydrocarbon Dewpoint Control: Joule-Thomson Unit (Excluding Compressor)</v>
      </c>
      <c r="I1947" s="17" t="s">
        <v>2397</v>
      </c>
      <c r="J1947" s="17" t="s">
        <v>2397</v>
      </c>
      <c r="K1947" s="17" t="s">
        <v>2397</v>
      </c>
    </row>
    <row r="1948" spans="1:11" x14ac:dyDescent="0.35">
      <c r="A1948" s="10" t="s">
        <v>1185</v>
      </c>
      <c r="B1948" s="255">
        <v>63</v>
      </c>
      <c r="C1948" s="10" t="s">
        <v>204</v>
      </c>
      <c r="D1948" s="10">
        <v>1</v>
      </c>
      <c r="E1948" s="10">
        <v>208</v>
      </c>
      <c r="F1948" s="10" t="s">
        <v>690</v>
      </c>
      <c r="G1948" s="10" t="s">
        <v>695</v>
      </c>
      <c r="H1948" s="10" t="str" cm="1">
        <f t="array" aca="1" ref="H1948" ca="1">IF(INDEX(I1948:Z1948,$H$1)=0,"",INDEX(I1948:Z1948,$H$1))</f>
        <v>Hydrocarbon Dewpoint Control: Propane Refrigeration</v>
      </c>
      <c r="I1948" s="17" t="s">
        <v>2398</v>
      </c>
      <c r="J1948" s="17" t="s">
        <v>2398</v>
      </c>
      <c r="K1948" s="17" t="s">
        <v>2398</v>
      </c>
    </row>
    <row r="1949" spans="1:11" x14ac:dyDescent="0.35">
      <c r="A1949" s="10" t="s">
        <v>1185</v>
      </c>
      <c r="B1949" s="255">
        <v>64</v>
      </c>
      <c r="C1949" s="10" t="s">
        <v>204</v>
      </c>
      <c r="D1949" s="10">
        <v>1</v>
      </c>
      <c r="E1949" s="10">
        <v>209</v>
      </c>
      <c r="F1949" s="10" t="s">
        <v>690</v>
      </c>
      <c r="G1949" s="10" t="s">
        <v>695</v>
      </c>
      <c r="H1949" s="10" t="str" cm="1">
        <f t="array" aca="1" ref="H1949" ca="1">IF(INDEX(I1949:Z1949,$H$1)=0,"",INDEX(I1949:Z1949,$H$1))</f>
        <v>Inlet/Outlet Header: Gas Facilities (Fittings Per Pipeline)</v>
      </c>
      <c r="I1949" s="17" t="s">
        <v>2729</v>
      </c>
      <c r="J1949" s="17" t="s">
        <v>2729</v>
      </c>
      <c r="K1949" s="17" t="s">
        <v>2729</v>
      </c>
    </row>
    <row r="1950" spans="1:11" x14ac:dyDescent="0.35">
      <c r="A1950" s="10" t="s">
        <v>1185</v>
      </c>
      <c r="B1950" s="255">
        <v>65</v>
      </c>
      <c r="C1950" s="10" t="s">
        <v>204</v>
      </c>
      <c r="D1950" s="10">
        <v>1</v>
      </c>
      <c r="E1950" s="10">
        <v>210</v>
      </c>
      <c r="F1950" s="10" t="s">
        <v>690</v>
      </c>
      <c r="G1950" s="10" t="s">
        <v>695</v>
      </c>
      <c r="H1950" s="10" t="str" cm="1">
        <f t="array" aca="1" ref="H1950" ca="1">IF(INDEX(I1950:Z1950,$H$1)=0,"",INDEX(I1950:Z1950,$H$1))</f>
        <v>Inlet/Outlet Header: Oil Facilities (Fittings Per Pipeline)</v>
      </c>
      <c r="I1950" s="17" t="s">
        <v>2728</v>
      </c>
      <c r="J1950" s="17" t="s">
        <v>2728</v>
      </c>
      <c r="K1950" s="17" t="s">
        <v>2728</v>
      </c>
    </row>
    <row r="1951" spans="1:11" x14ac:dyDescent="0.35">
      <c r="A1951" s="10" t="s">
        <v>1185</v>
      </c>
      <c r="B1951" s="255">
        <v>66</v>
      </c>
      <c r="C1951" s="10" t="s">
        <v>204</v>
      </c>
      <c r="D1951" s="10">
        <v>1</v>
      </c>
      <c r="E1951" s="10">
        <v>211</v>
      </c>
      <c r="F1951" s="10" t="s">
        <v>690</v>
      </c>
      <c r="G1951" s="10" t="s">
        <v>695</v>
      </c>
      <c r="H1951" s="10" t="str" cm="1">
        <f t="array" aca="1" ref="H1951" ca="1">IF(INDEX(I1951:Z1951,$H$1)=0,"",INDEX(I1951:Z1951,$H$1))</f>
        <v>LPG Extraction: Deepcut (C2 to C4)</v>
      </c>
      <c r="I1951" s="17" t="s">
        <v>2401</v>
      </c>
      <c r="J1951" s="17" t="s">
        <v>2401</v>
      </c>
      <c r="K1951" s="17" t="s">
        <v>2401</v>
      </c>
    </row>
    <row r="1952" spans="1:11" x14ac:dyDescent="0.35">
      <c r="A1952" s="10" t="s">
        <v>1185</v>
      </c>
      <c r="B1952" s="255">
        <v>67</v>
      </c>
      <c r="C1952" s="10" t="s">
        <v>204</v>
      </c>
      <c r="D1952" s="10">
        <v>1</v>
      </c>
      <c r="E1952" s="10">
        <v>212</v>
      </c>
      <c r="F1952" s="10" t="s">
        <v>690</v>
      </c>
      <c r="G1952" s="10" t="s">
        <v>695</v>
      </c>
      <c r="H1952" s="10" t="str" cm="1">
        <f t="array" aca="1" ref="H1952" ca="1">IF(INDEX(I1952:Z1952,$H$1)=0,"",INDEX(I1952:Z1952,$H$1))</f>
        <v>LPG Extraction: Shallow Cut (C3 to C4)</v>
      </c>
      <c r="I1952" s="17" t="s">
        <v>2402</v>
      </c>
      <c r="J1952" s="17" t="s">
        <v>2402</v>
      </c>
      <c r="K1952" s="17" t="s">
        <v>2402</v>
      </c>
    </row>
    <row r="1953" spans="1:11" x14ac:dyDescent="0.35">
      <c r="A1953" s="10" t="s">
        <v>1185</v>
      </c>
      <c r="B1953" s="255">
        <v>68</v>
      </c>
      <c r="C1953" s="10" t="s">
        <v>204</v>
      </c>
      <c r="D1953" s="10">
        <v>1</v>
      </c>
      <c r="E1953" s="10">
        <v>213</v>
      </c>
      <c r="F1953" s="10" t="s">
        <v>690</v>
      </c>
      <c r="G1953" s="10" t="s">
        <v>695</v>
      </c>
      <c r="H1953" s="10" t="str" cm="1">
        <f t="array" aca="1" ref="H1953" ca="1">IF(INDEX(I1953:Z1953,$H$1)=0,"",INDEX(I1953:Z1953,$H$1))</f>
        <v>NGL – Natural Gas Liquefaction</v>
      </c>
      <c r="I1953" s="17" t="s">
        <v>199</v>
      </c>
      <c r="J1953" s="17" t="s">
        <v>199</v>
      </c>
      <c r="K1953" s="17" t="s">
        <v>199</v>
      </c>
    </row>
    <row r="1954" spans="1:11" x14ac:dyDescent="0.35">
      <c r="A1954" s="10" t="s">
        <v>1185</v>
      </c>
      <c r="B1954" s="255">
        <v>69</v>
      </c>
      <c r="C1954" s="10" t="s">
        <v>204</v>
      </c>
      <c r="D1954" s="10">
        <v>1</v>
      </c>
      <c r="E1954" s="10">
        <v>214</v>
      </c>
      <c r="F1954" s="10" t="s">
        <v>690</v>
      </c>
      <c r="G1954" s="10" t="s">
        <v>695</v>
      </c>
      <c r="H1954" s="10" t="str" cm="1">
        <f t="array" aca="1" ref="H1954" ca="1">IF(INDEX(I1954:Z1954,$H$1)=0,"",INDEX(I1954:Z1954,$H$1))</f>
        <v>PIG Receiver or Sender</v>
      </c>
      <c r="I1954" s="17" t="s">
        <v>230</v>
      </c>
      <c r="J1954" s="17" t="s">
        <v>230</v>
      </c>
      <c r="K1954" s="17" t="s">
        <v>230</v>
      </c>
    </row>
    <row r="1955" spans="1:11" x14ac:dyDescent="0.35">
      <c r="A1955" s="10" t="s">
        <v>1185</v>
      </c>
      <c r="B1955" s="255">
        <v>70</v>
      </c>
      <c r="C1955" s="10" t="s">
        <v>204</v>
      </c>
      <c r="D1955" s="10">
        <v>1</v>
      </c>
      <c r="E1955" s="10">
        <v>215</v>
      </c>
      <c r="F1955" s="10" t="s">
        <v>690</v>
      </c>
      <c r="G1955" s="10" t="s">
        <v>695</v>
      </c>
      <c r="H1955" s="10" t="str" cm="1">
        <f t="array" aca="1" ref="H1955" ca="1">IF(INDEX(I1955:Z1955,$H$1)=0,"",INDEX(I1955:Z1955,$H$1))</f>
        <v>Power Generator: Natural Gas Fuelled (Driver: Gas Turbine)</v>
      </c>
      <c r="I1955" s="17" t="s">
        <v>2674</v>
      </c>
      <c r="J1955" s="17" t="s">
        <v>2674</v>
      </c>
      <c r="K1955" s="17" t="s">
        <v>2674</v>
      </c>
    </row>
    <row r="1956" spans="1:11" x14ac:dyDescent="0.35">
      <c r="A1956" s="10" t="s">
        <v>1185</v>
      </c>
      <c r="B1956" s="255">
        <v>71</v>
      </c>
      <c r="C1956" s="10" t="s">
        <v>204</v>
      </c>
      <c r="D1956" s="10">
        <v>1</v>
      </c>
      <c r="E1956" s="10">
        <v>216</v>
      </c>
      <c r="F1956" s="10" t="s">
        <v>690</v>
      </c>
      <c r="G1956" s="10" t="s">
        <v>695</v>
      </c>
      <c r="H1956" s="10" t="str" cm="1">
        <f t="array" aca="1" ref="H1956" ca="1">IF(INDEX(I1956:Z1956,$H$1)=0,"",INDEX(I1956:Z1956,$H$1))</f>
        <v>Power Generator: Natural Gas Fuelled (Driver: Recip. Engine)</v>
      </c>
      <c r="I1956" s="17" t="s">
        <v>2403</v>
      </c>
      <c r="J1956" s="17" t="s">
        <v>2403</v>
      </c>
      <c r="K1956" s="17" t="s">
        <v>2403</v>
      </c>
    </row>
    <row r="1957" spans="1:11" x14ac:dyDescent="0.35">
      <c r="A1957" s="10" t="s">
        <v>1185</v>
      </c>
      <c r="B1957" s="255">
        <v>72</v>
      </c>
      <c r="C1957" s="10" t="s">
        <v>204</v>
      </c>
      <c r="D1957" s="10">
        <v>1</v>
      </c>
      <c r="E1957" s="10">
        <v>217</v>
      </c>
      <c r="F1957" s="10" t="s">
        <v>690</v>
      </c>
      <c r="G1957" s="10" t="s">
        <v>695</v>
      </c>
      <c r="H1957" s="10" t="str" cm="1">
        <f t="array" aca="1" ref="H1957" ca="1">IF(INDEX(I1957:Z1957,$H$1)=0,"",INDEX(I1957:Z1957,$H$1))</f>
        <v>Pump: Hydrocarbon Service (Driver: Motor)</v>
      </c>
      <c r="I1957" s="17" t="s">
        <v>3409</v>
      </c>
      <c r="J1957" s="17" t="s">
        <v>3409</v>
      </c>
      <c r="K1957" s="17" t="s">
        <v>3409</v>
      </c>
    </row>
    <row r="1958" spans="1:11" x14ac:dyDescent="0.35">
      <c r="A1958" s="10" t="s">
        <v>1185</v>
      </c>
      <c r="B1958" s="255">
        <v>73</v>
      </c>
      <c r="C1958" s="10" t="s">
        <v>204</v>
      </c>
      <c r="D1958" s="10">
        <v>1</v>
      </c>
      <c r="E1958" s="10">
        <v>218</v>
      </c>
      <c r="F1958" s="10" t="s">
        <v>690</v>
      </c>
      <c r="G1958" s="10" t="s">
        <v>695</v>
      </c>
      <c r="H1958" s="10" t="str" cm="1">
        <f t="array" aca="1" ref="H1958" ca="1">IF(INDEX(I1958:Z1958,$H$1)=0,"",INDEX(I1958:Z1958,$H$1))</f>
        <v>Pump: Hydrocarbon Service (Driver: Recip Engine) (Fuel: Gaseous)</v>
      </c>
      <c r="I1958" s="17" t="s">
        <v>3410</v>
      </c>
      <c r="J1958" s="17" t="s">
        <v>3410</v>
      </c>
      <c r="K1958" s="17" t="s">
        <v>3410</v>
      </c>
    </row>
    <row r="1959" spans="1:11" x14ac:dyDescent="0.35">
      <c r="A1959" s="10" t="s">
        <v>1185</v>
      </c>
      <c r="B1959" s="255">
        <v>74</v>
      </c>
      <c r="C1959" s="10" t="s">
        <v>204</v>
      </c>
      <c r="D1959" s="10">
        <v>1</v>
      </c>
      <c r="E1959" s="10">
        <v>219</v>
      </c>
      <c r="F1959" s="10" t="s">
        <v>690</v>
      </c>
      <c r="G1959" s="10" t="s">
        <v>695</v>
      </c>
      <c r="H1959" s="10" t="str" cm="1">
        <f t="array" aca="1" ref="H1959" ca="1">IF(INDEX(I1959:Z1959,$H$1)=0,"",INDEX(I1959:Z1959,$H$1))</f>
        <v>Pump: Hydrocarbon Service (Driver: Recip Engine) (Fuel: Liquid)</v>
      </c>
      <c r="I1959" s="17" t="s">
        <v>3411</v>
      </c>
      <c r="J1959" s="17" t="s">
        <v>3411</v>
      </c>
      <c r="K1959" s="17" t="s">
        <v>3411</v>
      </c>
    </row>
    <row r="1960" spans="1:11" x14ac:dyDescent="0.35">
      <c r="A1960" s="10" t="s">
        <v>1185</v>
      </c>
      <c r="B1960" s="255">
        <v>75</v>
      </c>
      <c r="C1960" s="10" t="s">
        <v>204</v>
      </c>
      <c r="D1960" s="10">
        <v>1</v>
      </c>
      <c r="E1960" s="10">
        <v>220</v>
      </c>
      <c r="F1960" s="10" t="s">
        <v>690</v>
      </c>
      <c r="G1960" s="10" t="s">
        <v>695</v>
      </c>
      <c r="H1960" s="10" t="str" cm="1">
        <f t="array" aca="1" ref="H1960" ca="1">IF(INDEX(I1960:Z1960,$H$1)=0,"",INDEX(I1960:Z1960,$H$1))</f>
        <v>Pump: Non-Hydrocarbon Service (Driver: Recip Engine) (Fuel: Gaseous)</v>
      </c>
      <c r="I1960" s="17" t="s">
        <v>3408</v>
      </c>
      <c r="J1960" s="17" t="s">
        <v>3408</v>
      </c>
      <c r="K1960" s="17" t="s">
        <v>3408</v>
      </c>
    </row>
    <row r="1961" spans="1:11" x14ac:dyDescent="0.35">
      <c r="A1961" s="10" t="s">
        <v>1185</v>
      </c>
      <c r="B1961" s="255">
        <v>76</v>
      </c>
      <c r="C1961" s="10" t="s">
        <v>204</v>
      </c>
      <c r="D1961" s="10">
        <v>1</v>
      </c>
      <c r="E1961" s="10">
        <v>221</v>
      </c>
      <c r="F1961" s="10" t="s">
        <v>690</v>
      </c>
      <c r="G1961" s="10" t="s">
        <v>695</v>
      </c>
      <c r="H1961" s="10" t="str" cm="1">
        <f t="array" aca="1" ref="H1961" ca="1">IF(INDEX(I1961:Z1961,$H$1)=0,"",INDEX(I1961:Z1961,$H$1))</f>
        <v>Pump: Non-Hydrocarbon Service (Driver: Recip Engine) (Fuel: Gaseous)</v>
      </c>
      <c r="I1961" s="17" t="s">
        <v>3408</v>
      </c>
      <c r="J1961" s="17" t="s">
        <v>3408</v>
      </c>
      <c r="K1961" s="17" t="s">
        <v>3408</v>
      </c>
    </row>
    <row r="1962" spans="1:11" x14ac:dyDescent="0.35">
      <c r="A1962" s="10" t="s">
        <v>1185</v>
      </c>
      <c r="B1962" s="255">
        <v>77</v>
      </c>
      <c r="C1962" s="10" t="s">
        <v>204</v>
      </c>
      <c r="D1962" s="10">
        <v>1</v>
      </c>
      <c r="E1962" s="10">
        <v>222</v>
      </c>
      <c r="F1962" s="10" t="s">
        <v>690</v>
      </c>
      <c r="G1962" s="10" t="s">
        <v>695</v>
      </c>
      <c r="H1962" s="10" t="str" cm="1">
        <f t="array" aca="1" ref="H1962" ca="1">IF(INDEX(I1962:Z1962,$H$1)=0,"",INDEX(I1962:Z1962,$H$1))</f>
        <v>Refrigeration (Propane)</v>
      </c>
      <c r="I1962" s="17" t="s">
        <v>245</v>
      </c>
      <c r="J1962" s="17" t="s">
        <v>245</v>
      </c>
      <c r="K1962" s="17" t="s">
        <v>245</v>
      </c>
    </row>
    <row r="1963" spans="1:11" x14ac:dyDescent="0.35">
      <c r="A1963" s="10" t="s">
        <v>1185</v>
      </c>
      <c r="B1963" s="255">
        <v>78</v>
      </c>
      <c r="C1963" s="10" t="s">
        <v>204</v>
      </c>
      <c r="D1963" s="10">
        <v>1</v>
      </c>
      <c r="E1963" s="10">
        <v>223</v>
      </c>
      <c r="F1963" s="10" t="s">
        <v>690</v>
      </c>
      <c r="G1963" s="10" t="s">
        <v>695</v>
      </c>
      <c r="H1963" s="10" t="str" cm="1">
        <f t="array" aca="1" ref="H1963" ca="1">IF(INDEX(I1963:Z1963,$H$1)=0,"",INDEX(I1963:Z1963,$H$1))</f>
        <v>Separator: Filter Separator</v>
      </c>
      <c r="I1963" s="17" t="s">
        <v>2404</v>
      </c>
      <c r="J1963" s="17" t="s">
        <v>2404</v>
      </c>
      <c r="K1963" s="17" t="s">
        <v>2404</v>
      </c>
    </row>
    <row r="1964" spans="1:11" x14ac:dyDescent="0.35">
      <c r="A1964" s="10" t="s">
        <v>1185</v>
      </c>
      <c r="B1964" s="255">
        <v>79</v>
      </c>
      <c r="C1964" s="10" t="s">
        <v>204</v>
      </c>
      <c r="D1964" s="10">
        <v>1</v>
      </c>
      <c r="E1964" s="10">
        <v>224</v>
      </c>
      <c r="F1964" s="10" t="s">
        <v>690</v>
      </c>
      <c r="G1964" s="10" t="s">
        <v>695</v>
      </c>
      <c r="H1964" s="10" t="str" cm="1">
        <f t="array" aca="1" ref="H1964" ca="1">IF(INDEX(I1964:Z1964,$H$1)=0,"",INDEX(I1964:Z1964,$H$1))</f>
        <v>Separator: Horizontal (Phases: 2)</v>
      </c>
      <c r="I1964" s="17" t="s">
        <v>2405</v>
      </c>
      <c r="J1964" s="17" t="s">
        <v>2405</v>
      </c>
      <c r="K1964" s="17" t="s">
        <v>2405</v>
      </c>
    </row>
    <row r="1965" spans="1:11" x14ac:dyDescent="0.35">
      <c r="A1965" s="10" t="s">
        <v>1185</v>
      </c>
      <c r="B1965" s="255">
        <v>80</v>
      </c>
      <c r="C1965" s="10" t="s">
        <v>204</v>
      </c>
      <c r="D1965" s="10">
        <v>1</v>
      </c>
      <c r="E1965" s="10">
        <v>225</v>
      </c>
      <c r="F1965" s="10" t="s">
        <v>690</v>
      </c>
      <c r="G1965" s="10" t="s">
        <v>695</v>
      </c>
      <c r="H1965" s="10" t="str" cm="1">
        <f t="array" aca="1" ref="H1965" ca="1">IF(INDEX(I1965:Z1965,$H$1)=0,"",INDEX(I1965:Z1965,$H$1))</f>
        <v>Separator: Horizontal (Phases: 3)</v>
      </c>
      <c r="I1965" s="17" t="s">
        <v>2406</v>
      </c>
      <c r="J1965" s="17" t="s">
        <v>2406</v>
      </c>
      <c r="K1965" s="17" t="s">
        <v>2406</v>
      </c>
    </row>
    <row r="1966" spans="1:11" x14ac:dyDescent="0.35">
      <c r="A1966" s="10" t="s">
        <v>1185</v>
      </c>
      <c r="B1966" s="255">
        <v>81</v>
      </c>
      <c r="C1966" s="10" t="s">
        <v>204</v>
      </c>
      <c r="D1966" s="10">
        <v>1</v>
      </c>
      <c r="E1966" s="10">
        <v>226</v>
      </c>
      <c r="F1966" s="10" t="s">
        <v>690</v>
      </c>
      <c r="G1966" s="10" t="s">
        <v>695</v>
      </c>
      <c r="H1966" s="10" t="str" cm="1">
        <f t="array" aca="1" ref="H1966" ca="1">IF(INDEX(I1966:Z1966,$H$1)=0,"",INDEX(I1966:Z1966,$H$1))</f>
        <v>Separator: Vertical (Phases: 2)</v>
      </c>
      <c r="I1966" s="17" t="s">
        <v>2407</v>
      </c>
      <c r="J1966" s="17" t="s">
        <v>2407</v>
      </c>
      <c r="K1966" s="17" t="s">
        <v>2407</v>
      </c>
    </row>
    <row r="1967" spans="1:11" x14ac:dyDescent="0.35">
      <c r="A1967" s="10" t="s">
        <v>1185</v>
      </c>
      <c r="B1967" s="255">
        <v>82</v>
      </c>
      <c r="C1967" s="10" t="s">
        <v>204</v>
      </c>
      <c r="D1967" s="10">
        <v>1</v>
      </c>
      <c r="E1967" s="10">
        <v>227</v>
      </c>
      <c r="F1967" s="10" t="s">
        <v>690</v>
      </c>
      <c r="G1967" s="10" t="s">
        <v>695</v>
      </c>
      <c r="H1967" s="10" t="str" cm="1">
        <f t="array" aca="1" ref="H1967" ca="1">IF(INDEX(I1967:Z1967,$H$1)=0,"",INDEX(I1967:Z1967,$H$1))</f>
        <v>Separator: Vertical (Phases: 3)</v>
      </c>
      <c r="I1967" s="17" t="s">
        <v>2408</v>
      </c>
      <c r="J1967" s="17" t="s">
        <v>2408</v>
      </c>
      <c r="K1967" s="17" t="s">
        <v>2408</v>
      </c>
    </row>
    <row r="1968" spans="1:11" x14ac:dyDescent="0.35">
      <c r="A1968" s="10" t="s">
        <v>1185</v>
      </c>
      <c r="B1968" s="255">
        <v>83</v>
      </c>
      <c r="C1968" s="10" t="s">
        <v>204</v>
      </c>
      <c r="D1968" s="10">
        <v>1</v>
      </c>
      <c r="E1968" s="10">
        <v>228</v>
      </c>
      <c r="F1968" s="10" t="s">
        <v>690</v>
      </c>
      <c r="G1968" s="10" t="s">
        <v>695</v>
      </c>
      <c r="H1968" s="10" t="str" cm="1">
        <f t="array" aca="1" ref="H1968" ca="1">IF(INDEX(I1968:Z1968,$H$1)=0,"",INDEX(I1968:Z1968,$H$1))</f>
        <v>Stabilizer: with Reflux Loop</v>
      </c>
      <c r="I1968" s="17" t="s">
        <v>2409</v>
      </c>
      <c r="J1968" s="17" t="s">
        <v>2409</v>
      </c>
      <c r="K1968" s="17" t="s">
        <v>2409</v>
      </c>
    </row>
    <row r="1969" spans="1:11" x14ac:dyDescent="0.35">
      <c r="A1969" s="10" t="s">
        <v>1185</v>
      </c>
      <c r="B1969" s="255">
        <v>84</v>
      </c>
      <c r="C1969" s="10" t="s">
        <v>204</v>
      </c>
      <c r="D1969" s="10">
        <v>1</v>
      </c>
      <c r="E1969" s="10">
        <v>229</v>
      </c>
      <c r="F1969" s="10" t="s">
        <v>690</v>
      </c>
      <c r="G1969" s="10" t="s">
        <v>695</v>
      </c>
      <c r="H1969" s="10" t="str" cm="1">
        <f t="array" aca="1" ref="H1969" ca="1">IF(INDEX(I1969:Z1969,$H$1)=0,"",INDEX(I1969:Z1969,$H$1))</f>
        <v>Stabilizer: without Reflux Loop</v>
      </c>
      <c r="I1969" s="17" t="s">
        <v>2410</v>
      </c>
      <c r="J1969" s="17" t="s">
        <v>2410</v>
      </c>
      <c r="K1969" s="17" t="s">
        <v>2410</v>
      </c>
    </row>
    <row r="1970" spans="1:11" x14ac:dyDescent="0.35">
      <c r="A1970" s="10" t="s">
        <v>1185</v>
      </c>
      <c r="B1970" s="255">
        <v>85</v>
      </c>
      <c r="C1970" s="10" t="s">
        <v>204</v>
      </c>
      <c r="D1970" s="10">
        <v>1</v>
      </c>
      <c r="E1970" s="10">
        <v>230</v>
      </c>
      <c r="F1970" s="10" t="s">
        <v>690</v>
      </c>
      <c r="G1970" s="10" t="s">
        <v>695</v>
      </c>
      <c r="H1970" s="10" t="str" cm="1">
        <f t="array" aca="1" ref="H1970" ca="1">IF(INDEX(I1970:Z1970,$H$1)=0,"",INDEX(I1970:Z1970,$H$1))</f>
        <v>Storage Tank (Produced Oil, with Vapor Control)</v>
      </c>
      <c r="I1970" s="17" t="s">
        <v>365</v>
      </c>
      <c r="J1970" s="17" t="s">
        <v>365</v>
      </c>
      <c r="K1970" s="17" t="s">
        <v>365</v>
      </c>
    </row>
    <row r="1971" spans="1:11" x14ac:dyDescent="0.35">
      <c r="A1971" s="10" t="s">
        <v>1185</v>
      </c>
      <c r="B1971" s="255">
        <v>86</v>
      </c>
      <c r="C1971" s="10" t="s">
        <v>204</v>
      </c>
      <c r="D1971" s="10">
        <v>1</v>
      </c>
      <c r="E1971" s="10">
        <v>231</v>
      </c>
      <c r="F1971" s="10" t="s">
        <v>690</v>
      </c>
      <c r="G1971" s="10" t="s">
        <v>695</v>
      </c>
      <c r="H1971" s="10" t="str" cm="1">
        <f t="array" aca="1" ref="H1971" ca="1">IF(INDEX(I1971:Z1971,$H$1)=0,"",INDEX(I1971:Z1971,$H$1))</f>
        <v>Storage Tank (Produced Oil, without Vapor Control)</v>
      </c>
      <c r="I1971" s="17" t="s">
        <v>366</v>
      </c>
      <c r="J1971" s="17" t="s">
        <v>366</v>
      </c>
      <c r="K1971" s="17" t="s">
        <v>366</v>
      </c>
    </row>
    <row r="1972" spans="1:11" x14ac:dyDescent="0.35">
      <c r="A1972" s="10" t="s">
        <v>1185</v>
      </c>
      <c r="B1972" s="255">
        <v>87</v>
      </c>
      <c r="C1972" s="10" t="s">
        <v>204</v>
      </c>
      <c r="D1972" s="10">
        <v>1</v>
      </c>
      <c r="E1972" s="10">
        <v>232</v>
      </c>
      <c r="F1972" s="10" t="s">
        <v>690</v>
      </c>
      <c r="G1972" s="10" t="s">
        <v>695</v>
      </c>
      <c r="H1972" s="10" t="str" cm="1">
        <f t="array" aca="1" ref="H1972" ca="1">IF(INDEX(I1972:Z1972,$H$1)=0,"",INDEX(I1972:Z1972,$H$1))</f>
        <v>Storage Tank (Produced Water, with Vapor Control)</v>
      </c>
      <c r="I1972" s="17" t="s">
        <v>364</v>
      </c>
      <c r="J1972" s="17" t="s">
        <v>364</v>
      </c>
      <c r="K1972" s="17" t="s">
        <v>364</v>
      </c>
    </row>
    <row r="1973" spans="1:11" x14ac:dyDescent="0.35">
      <c r="A1973" s="10" t="s">
        <v>1185</v>
      </c>
      <c r="B1973" s="255">
        <v>88</v>
      </c>
      <c r="C1973" s="10" t="s">
        <v>204</v>
      </c>
      <c r="D1973" s="10">
        <v>1</v>
      </c>
      <c r="E1973" s="10">
        <v>233</v>
      </c>
      <c r="F1973" s="10" t="s">
        <v>690</v>
      </c>
      <c r="G1973" s="10" t="s">
        <v>695</v>
      </c>
      <c r="H1973" s="10" t="str" cm="1">
        <f t="array" aca="1" ref="H1973" ca="1">IF(INDEX(I1973:Z1973,$H$1)=0,"",INDEX(I1973:Z1973,$H$1))</f>
        <v>Storage Tank (Produced Water, without Vapor Control)</v>
      </c>
      <c r="I1973" s="17" t="s">
        <v>363</v>
      </c>
      <c r="J1973" s="17" t="s">
        <v>363</v>
      </c>
      <c r="K1973" s="17" t="s">
        <v>363</v>
      </c>
    </row>
    <row r="1974" spans="1:11" x14ac:dyDescent="0.35">
      <c r="A1974" s="10" t="s">
        <v>1185</v>
      </c>
      <c r="B1974" s="255">
        <v>89</v>
      </c>
      <c r="C1974" s="10" t="s">
        <v>204</v>
      </c>
      <c r="D1974" s="10">
        <v>1</v>
      </c>
      <c r="E1974" s="10">
        <v>234</v>
      </c>
      <c r="F1974" s="10" t="s">
        <v>690</v>
      </c>
      <c r="G1974" s="10" t="s">
        <v>695</v>
      </c>
      <c r="H1974" s="10" t="str" cm="1">
        <f t="array" aca="1" ref="H1974" ca="1">IF(INDEX(I1974:Z1974,$H$1)=0,"",INDEX(I1974:Z1974,$H$1))</f>
        <v>Storage Tank: Chemicals with Natural Gas Blanketing)</v>
      </c>
      <c r="I1974" s="17" t="s">
        <v>3412</v>
      </c>
      <c r="J1974" s="17" t="s">
        <v>3412</v>
      </c>
      <c r="K1974" s="17" t="s">
        <v>3412</v>
      </c>
    </row>
    <row r="1975" spans="1:11" x14ac:dyDescent="0.35">
      <c r="A1975" s="10" t="s">
        <v>1185</v>
      </c>
      <c r="B1975" s="255">
        <v>90</v>
      </c>
      <c r="C1975" s="10" t="s">
        <v>204</v>
      </c>
      <c r="D1975" s="10">
        <v>1</v>
      </c>
      <c r="E1975" s="10">
        <v>235</v>
      </c>
      <c r="F1975" s="10" t="s">
        <v>690</v>
      </c>
      <c r="G1975" s="10" t="s">
        <v>695</v>
      </c>
      <c r="H1975" s="10" t="str" cm="1">
        <f t="array" aca="1" ref="H1975" ca="1">IF(INDEX(I1975:Z1975,$H$1)=0,"",INDEX(I1975:Z1975,$H$1))</f>
        <v>Sulphur Recovery: Claus</v>
      </c>
      <c r="I1975" s="17" t="s">
        <v>2411</v>
      </c>
      <c r="J1975" s="17" t="s">
        <v>2411</v>
      </c>
      <c r="K1975" s="17" t="s">
        <v>2411</v>
      </c>
    </row>
    <row r="1976" spans="1:11" x14ac:dyDescent="0.35">
      <c r="A1976" s="10" t="s">
        <v>1185</v>
      </c>
      <c r="B1976" s="255">
        <v>91</v>
      </c>
      <c r="C1976" s="10" t="s">
        <v>204</v>
      </c>
      <c r="D1976" s="10">
        <v>1</v>
      </c>
      <c r="E1976" s="10">
        <v>236</v>
      </c>
      <c r="F1976" s="10" t="s">
        <v>690</v>
      </c>
      <c r="G1976" s="10" t="s">
        <v>695</v>
      </c>
      <c r="H1976" s="10" t="str" cm="1">
        <f t="array" aca="1" ref="H1976" ca="1">IF(INDEX(I1976:Z1976,$H$1)=0,"",INDEX(I1976:Z1976,$H$1))</f>
        <v>Sulphur Recovery: MCRC (Sub-dewpoint)</v>
      </c>
      <c r="I1976" s="17" t="s">
        <v>2412</v>
      </c>
      <c r="J1976" s="17" t="s">
        <v>2412</v>
      </c>
      <c r="K1976" s="17" t="s">
        <v>2412</v>
      </c>
    </row>
    <row r="1977" spans="1:11" x14ac:dyDescent="0.35">
      <c r="A1977" s="10" t="s">
        <v>1185</v>
      </c>
      <c r="B1977" s="255">
        <v>92</v>
      </c>
      <c r="C1977" s="10" t="s">
        <v>204</v>
      </c>
      <c r="D1977" s="10">
        <v>1</v>
      </c>
      <c r="E1977" s="10">
        <v>237</v>
      </c>
      <c r="F1977" s="10" t="s">
        <v>690</v>
      </c>
      <c r="G1977" s="10" t="s">
        <v>695</v>
      </c>
      <c r="H1977" s="10" t="str" cm="1">
        <f t="array" aca="1" ref="H1977" ca="1">IF(INDEX(I1977:Z1977,$H$1)=0,"",INDEX(I1977:Z1977,$H$1))</f>
        <v>Sweetening: (Physical Solvent)</v>
      </c>
      <c r="I1977" s="17" t="s">
        <v>2413</v>
      </c>
      <c r="J1977" s="17" t="s">
        <v>2413</v>
      </c>
      <c r="K1977" s="17" t="s">
        <v>2413</v>
      </c>
    </row>
    <row r="1978" spans="1:11" x14ac:dyDescent="0.35">
      <c r="A1978" s="10" t="s">
        <v>1185</v>
      </c>
      <c r="B1978" s="255">
        <v>93</v>
      </c>
      <c r="C1978" s="10" t="s">
        <v>204</v>
      </c>
      <c r="D1978" s="10">
        <v>1</v>
      </c>
      <c r="E1978" s="10">
        <v>238</v>
      </c>
      <c r="F1978" s="10" t="s">
        <v>690</v>
      </c>
      <c r="G1978" s="10" t="s">
        <v>695</v>
      </c>
      <c r="H1978" s="10" t="str" cm="1">
        <f t="array" aca="1" ref="H1978" ca="1">IF(INDEX(I1978:Z1978,$H$1)=0,"",INDEX(I1978:Z1978,$H$1))</f>
        <v>Sweetening: Chemsweet</v>
      </c>
      <c r="I1978" s="17" t="s">
        <v>2414</v>
      </c>
      <c r="J1978" s="17" t="s">
        <v>2414</v>
      </c>
      <c r="K1978" s="17" t="s">
        <v>2414</v>
      </c>
    </row>
    <row r="1979" spans="1:11" x14ac:dyDescent="0.35">
      <c r="A1979" s="10" t="s">
        <v>1185</v>
      </c>
      <c r="B1979" s="255">
        <v>94</v>
      </c>
      <c r="C1979" s="10" t="s">
        <v>204</v>
      </c>
      <c r="D1979" s="10">
        <v>1</v>
      </c>
      <c r="E1979" s="10">
        <v>239</v>
      </c>
      <c r="F1979" s="10" t="s">
        <v>690</v>
      </c>
      <c r="G1979" s="10" t="s">
        <v>695</v>
      </c>
      <c r="H1979" s="10" t="str" cm="1">
        <f t="array" aca="1" ref="H1979" ca="1">IF(INDEX(I1979:Z1979,$H$1)=0,"",INDEX(I1979:Z1979,$H$1))</f>
        <v>Sweetening: DEA (Diethanolamine)</v>
      </c>
      <c r="I1979" s="17" t="s">
        <v>2415</v>
      </c>
      <c r="J1979" s="17" t="s">
        <v>2415</v>
      </c>
      <c r="K1979" s="17" t="s">
        <v>2415</v>
      </c>
    </row>
    <row r="1980" spans="1:11" x14ac:dyDescent="0.35">
      <c r="A1980" s="10" t="s">
        <v>1185</v>
      </c>
      <c r="B1980" s="255">
        <v>95</v>
      </c>
      <c r="C1980" s="10" t="s">
        <v>204</v>
      </c>
      <c r="D1980" s="10">
        <v>1</v>
      </c>
      <c r="E1980" s="10">
        <v>240</v>
      </c>
      <c r="F1980" s="10" t="s">
        <v>690</v>
      </c>
      <c r="G1980" s="10" t="s">
        <v>695</v>
      </c>
      <c r="H1980" s="10" t="str" cm="1">
        <f t="array" aca="1" ref="H1980" ca="1">IF(INDEX(I1980:Z1980,$H$1)=0,"",INDEX(I1980:Z1980,$H$1))</f>
        <v>Sweetening: DGA (Diglycolamine)</v>
      </c>
      <c r="I1980" s="17" t="s">
        <v>2416</v>
      </c>
      <c r="J1980" s="17" t="s">
        <v>2416</v>
      </c>
      <c r="K1980" s="17" t="s">
        <v>2416</v>
      </c>
    </row>
    <row r="1981" spans="1:11" x14ac:dyDescent="0.35">
      <c r="A1981" s="10" t="s">
        <v>1185</v>
      </c>
      <c r="B1981" s="255">
        <v>96</v>
      </c>
      <c r="C1981" s="10" t="s">
        <v>204</v>
      </c>
      <c r="D1981" s="10">
        <v>1</v>
      </c>
      <c r="E1981" s="10">
        <v>241</v>
      </c>
      <c r="F1981" s="10" t="s">
        <v>690</v>
      </c>
      <c r="G1981" s="10" t="s">
        <v>695</v>
      </c>
      <c r="H1981" s="10" t="str" cm="1">
        <f t="array" aca="1" ref="H1981" ca="1">IF(INDEX(I1981:Z1981,$H$1)=0,"",INDEX(I1981:Z1981,$H$1))</f>
        <v>Sweetening: Generic</v>
      </c>
      <c r="I1981" s="17" t="s">
        <v>2417</v>
      </c>
      <c r="J1981" s="17" t="s">
        <v>2417</v>
      </c>
      <c r="K1981" s="17" t="s">
        <v>2417</v>
      </c>
    </row>
    <row r="1982" spans="1:11" x14ac:dyDescent="0.35">
      <c r="A1982" s="10" t="s">
        <v>1185</v>
      </c>
      <c r="B1982" s="255">
        <v>97</v>
      </c>
      <c r="C1982" s="10" t="s">
        <v>204</v>
      </c>
      <c r="D1982" s="10">
        <v>1</v>
      </c>
      <c r="E1982" s="10">
        <v>242</v>
      </c>
      <c r="F1982" s="10" t="s">
        <v>690</v>
      </c>
      <c r="G1982" s="10" t="s">
        <v>695</v>
      </c>
      <c r="H1982" s="10" t="str" cm="1">
        <f t="array" aca="1" ref="H1982" ca="1">IF(INDEX(I1982:Z1982,$H$1)=0,"",INDEX(I1982:Z1982,$H$1))</f>
        <v>Sweetening: Iron Sponge</v>
      </c>
      <c r="I1982" s="17" t="s">
        <v>2418</v>
      </c>
      <c r="J1982" s="17" t="s">
        <v>2418</v>
      </c>
      <c r="K1982" s="17" t="s">
        <v>2418</v>
      </c>
    </row>
    <row r="1983" spans="1:11" x14ac:dyDescent="0.35">
      <c r="A1983" s="10" t="s">
        <v>1185</v>
      </c>
      <c r="B1983" s="255">
        <v>98</v>
      </c>
      <c r="C1983" s="10" t="s">
        <v>204</v>
      </c>
      <c r="D1983" s="10">
        <v>1</v>
      </c>
      <c r="E1983" s="10">
        <v>243</v>
      </c>
      <c r="F1983" s="10" t="s">
        <v>690</v>
      </c>
      <c r="G1983" s="10" t="s">
        <v>695</v>
      </c>
      <c r="H1983" s="10" t="str" cm="1">
        <f t="array" aca="1" ref="H1983" ca="1">IF(INDEX(I1983:Z1983,$H$1)=0,"",INDEX(I1983:Z1983,$H$1))</f>
        <v>Sweetening: LoCat</v>
      </c>
      <c r="I1983" s="17" t="s">
        <v>2419</v>
      </c>
      <c r="J1983" s="17" t="s">
        <v>2419</v>
      </c>
      <c r="K1983" s="17" t="s">
        <v>2419</v>
      </c>
    </row>
    <row r="1984" spans="1:11" x14ac:dyDescent="0.35">
      <c r="A1984" s="10" t="s">
        <v>1185</v>
      </c>
      <c r="B1984" s="255">
        <v>99</v>
      </c>
      <c r="C1984" s="10" t="s">
        <v>204</v>
      </c>
      <c r="D1984" s="10">
        <v>1</v>
      </c>
      <c r="E1984" s="10">
        <v>244</v>
      </c>
      <c r="F1984" s="10" t="s">
        <v>690</v>
      </c>
      <c r="G1984" s="10" t="s">
        <v>695</v>
      </c>
      <c r="H1984" s="10" t="str" cm="1">
        <f t="array" aca="1" ref="H1984" ca="1">IF(INDEX(I1984:Z1984,$H$1)=0,"",INDEX(I1984:Z1984,$H$1))</f>
        <v>Sweetening: MDEA (Monodiethanolamine)</v>
      </c>
      <c r="I1984" s="17" t="s">
        <v>2420</v>
      </c>
      <c r="J1984" s="17" t="s">
        <v>2420</v>
      </c>
      <c r="K1984" s="17" t="s">
        <v>2420</v>
      </c>
    </row>
    <row r="1985" spans="1:11" x14ac:dyDescent="0.35">
      <c r="A1985" s="10" t="s">
        <v>1185</v>
      </c>
      <c r="B1985" s="255">
        <v>100</v>
      </c>
      <c r="C1985" s="10" t="s">
        <v>204</v>
      </c>
      <c r="D1985" s="10">
        <v>1</v>
      </c>
      <c r="E1985" s="10">
        <v>245</v>
      </c>
      <c r="F1985" s="10" t="s">
        <v>690</v>
      </c>
      <c r="G1985" s="10" t="s">
        <v>695</v>
      </c>
      <c r="H1985" s="10" t="str" cm="1">
        <f t="array" aca="1" ref="H1985" ca="1">IF(INDEX(I1985:Z1985,$H$1)=0,"",INDEX(I1985:Z1985,$H$1))</f>
        <v>Sweetening: MEA (Monoethanolamine)</v>
      </c>
      <c r="I1985" s="17" t="s">
        <v>2421</v>
      </c>
      <c r="J1985" s="17" t="s">
        <v>2421</v>
      </c>
      <c r="K1985" s="17" t="s">
        <v>2421</v>
      </c>
    </row>
    <row r="1986" spans="1:11" x14ac:dyDescent="0.35">
      <c r="A1986" s="10" t="s">
        <v>1185</v>
      </c>
      <c r="B1986" s="255">
        <v>101</v>
      </c>
      <c r="C1986" s="10" t="s">
        <v>204</v>
      </c>
      <c r="D1986" s="10">
        <v>1</v>
      </c>
      <c r="E1986" s="10">
        <v>246</v>
      </c>
      <c r="F1986" s="10" t="s">
        <v>690</v>
      </c>
      <c r="G1986" s="10" t="s">
        <v>695</v>
      </c>
      <c r="H1986" s="10" t="str" cm="1">
        <f t="array" aca="1" ref="H1986" ca="1">IF(INDEX(I1986:Z1986,$H$1)=0,"",INDEX(I1986:Z1986,$H$1))</f>
        <v>Sweetening: Selexol</v>
      </c>
      <c r="I1986" s="17" t="s">
        <v>2422</v>
      </c>
      <c r="J1986" s="17" t="s">
        <v>2422</v>
      </c>
      <c r="K1986" s="17" t="s">
        <v>2422</v>
      </c>
    </row>
    <row r="1987" spans="1:11" x14ac:dyDescent="0.35">
      <c r="A1987" s="10" t="s">
        <v>1185</v>
      </c>
      <c r="B1987" s="255">
        <v>102</v>
      </c>
      <c r="C1987" s="10" t="s">
        <v>204</v>
      </c>
      <c r="D1987" s="10">
        <v>1</v>
      </c>
      <c r="E1987" s="10">
        <v>247</v>
      </c>
      <c r="F1987" s="10" t="s">
        <v>690</v>
      </c>
      <c r="G1987" s="10" t="s">
        <v>695</v>
      </c>
      <c r="H1987" s="10" t="str" cm="1">
        <f t="array" aca="1" ref="H1987" ca="1">IF(INDEX(I1987:Z1987,$H$1)=0,"",INDEX(I1987:Z1987,$H$1))</f>
        <v>Sweetening: Sulfacheck</v>
      </c>
      <c r="I1987" s="17" t="s">
        <v>2423</v>
      </c>
      <c r="J1987" s="17" t="s">
        <v>2423</v>
      </c>
      <c r="K1987" s="17" t="s">
        <v>2423</v>
      </c>
    </row>
    <row r="1988" spans="1:11" x14ac:dyDescent="0.35">
      <c r="A1988" s="10" t="s">
        <v>1185</v>
      </c>
      <c r="B1988" s="255">
        <v>103</v>
      </c>
      <c r="C1988" s="10" t="s">
        <v>204</v>
      </c>
      <c r="D1988" s="10">
        <v>1</v>
      </c>
      <c r="E1988" s="10">
        <v>248</v>
      </c>
      <c r="F1988" s="10" t="s">
        <v>690</v>
      </c>
      <c r="G1988" s="10" t="s">
        <v>695</v>
      </c>
      <c r="H1988" s="10" t="str" cm="1">
        <f t="array" aca="1" ref="H1988" ca="1">IF(INDEX(I1988:Z1988,$H$1)=0,"",INDEX(I1988:Z1988,$H$1))</f>
        <v>Sweetening: Sulfinol</v>
      </c>
      <c r="I1988" s="17" t="s">
        <v>2424</v>
      </c>
      <c r="J1988" s="17" t="s">
        <v>2424</v>
      </c>
      <c r="K1988" s="17" t="s">
        <v>2424</v>
      </c>
    </row>
    <row r="1989" spans="1:11" x14ac:dyDescent="0.35">
      <c r="A1989" s="10" t="s">
        <v>1185</v>
      </c>
      <c r="B1989" s="255">
        <v>104</v>
      </c>
      <c r="C1989" s="10" t="s">
        <v>204</v>
      </c>
      <c r="D1989" s="10">
        <v>1</v>
      </c>
      <c r="E1989" s="10">
        <v>249</v>
      </c>
      <c r="F1989" s="10" t="s">
        <v>690</v>
      </c>
      <c r="G1989" s="10" t="s">
        <v>695</v>
      </c>
      <c r="H1989" s="10" t="str" cm="1">
        <f t="array" aca="1" ref="H1989" ca="1">IF(INDEX(I1989:Z1989,$H$1)=0,"",INDEX(I1989:Z1989,$H$1))</f>
        <v>Vapor Recovery Unit: Offshore</v>
      </c>
      <c r="I1989" s="17" t="s">
        <v>2425</v>
      </c>
      <c r="J1989" s="17" t="s">
        <v>2425</v>
      </c>
      <c r="K1989" s="17" t="s">
        <v>2425</v>
      </c>
    </row>
    <row r="1990" spans="1:11" x14ac:dyDescent="0.35">
      <c r="A1990" s="10" t="s">
        <v>1185</v>
      </c>
      <c r="B1990" s="255">
        <v>105</v>
      </c>
      <c r="C1990" s="10" t="s">
        <v>204</v>
      </c>
      <c r="D1990" s="10">
        <v>1</v>
      </c>
      <c r="E1990" s="10">
        <v>250</v>
      </c>
      <c r="F1990" s="10" t="s">
        <v>690</v>
      </c>
      <c r="G1990" s="10" t="s">
        <v>695</v>
      </c>
      <c r="H1990" s="10" t="str" cm="1">
        <f t="array" aca="1" ref="H1990" ca="1">IF(INDEX(I1990:Z1990,$H$1)=0,"",INDEX(I1990:Z1990,$H$1))</f>
        <v>Vapor Recovery Unit: Onshore</v>
      </c>
      <c r="I1990" s="17" t="s">
        <v>2426</v>
      </c>
      <c r="J1990" s="17" t="s">
        <v>2426</v>
      </c>
      <c r="K1990" s="17" t="s">
        <v>2426</v>
      </c>
    </row>
    <row r="1991" spans="1:11" x14ac:dyDescent="0.35">
      <c r="A1991" s="10" t="s">
        <v>1185</v>
      </c>
      <c r="B1991" s="255">
        <v>106</v>
      </c>
      <c r="C1991" s="10" t="s">
        <v>204</v>
      </c>
      <c r="D1991" s="10">
        <v>1</v>
      </c>
      <c r="E1991" s="10">
        <v>251</v>
      </c>
      <c r="F1991" s="10" t="s">
        <v>690</v>
      </c>
      <c r="G1991" s="10" t="s">
        <v>695</v>
      </c>
      <c r="H1991" s="10" t="str" cm="1">
        <f t="array" aca="1" ref="H1991" ca="1">IF(INDEX(I1991:Z1991,$H$1)=0,"",INDEX(I1991:Z1991,$H$1))</f>
        <v>Well: Conventional Oil</v>
      </c>
      <c r="I1991" s="17" t="s">
        <v>2427</v>
      </c>
      <c r="J1991" s="17" t="s">
        <v>2427</v>
      </c>
      <c r="K1991" s="17" t="s">
        <v>2427</v>
      </c>
    </row>
    <row r="1992" spans="1:11" x14ac:dyDescent="0.35">
      <c r="A1992" s="10" t="s">
        <v>1185</v>
      </c>
      <c r="B1992" s="255">
        <v>106</v>
      </c>
      <c r="C1992" s="10" t="s">
        <v>204</v>
      </c>
      <c r="D1992" s="10">
        <v>1</v>
      </c>
      <c r="E1992" s="10">
        <v>251</v>
      </c>
      <c r="F1992" s="10" t="s">
        <v>690</v>
      </c>
      <c r="G1992" s="10" t="s">
        <v>695</v>
      </c>
      <c r="H1992" s="10" t="str" cm="1">
        <f t="array" aca="1" ref="H1992" ca="1">IF(INDEX(I1992:Z1992,$H$1)=0,"",INDEX(I1992:Z1992,$H$1))</f>
        <v>Well: Conventional Oil (Gas Lift)</v>
      </c>
      <c r="I1992" s="17" t="s">
        <v>3427</v>
      </c>
      <c r="J1992" s="17" t="s">
        <v>3427</v>
      </c>
      <c r="K1992" s="17" t="s">
        <v>3427</v>
      </c>
    </row>
    <row r="1993" spans="1:11" x14ac:dyDescent="0.35">
      <c r="A1993" s="10" t="s">
        <v>1185</v>
      </c>
      <c r="B1993" s="255">
        <v>107</v>
      </c>
      <c r="C1993" s="10" t="s">
        <v>204</v>
      </c>
      <c r="D1993" s="10">
        <v>1</v>
      </c>
      <c r="E1993" s="10">
        <v>252</v>
      </c>
      <c r="F1993" s="10" t="s">
        <v>690</v>
      </c>
      <c r="G1993" s="10" t="s">
        <v>695</v>
      </c>
      <c r="H1993" s="10" t="str" cm="1">
        <f t="array" aca="1" ref="H1993" ca="1">IF(INDEX(I1993:Z1993,$H$1)=0,"",INDEX(I1993:Z1993,$H$1))</f>
        <v>Well: Heavy Oil</v>
      </c>
      <c r="I1993" s="17" t="s">
        <v>2429</v>
      </c>
      <c r="J1993" s="17" t="s">
        <v>2429</v>
      </c>
      <c r="K1993" s="17" t="s">
        <v>2429</v>
      </c>
    </row>
    <row r="1994" spans="1:11" x14ac:dyDescent="0.35">
      <c r="A1994" s="10" t="s">
        <v>1185</v>
      </c>
      <c r="B1994" s="255">
        <v>108</v>
      </c>
      <c r="C1994" s="10" t="s">
        <v>204</v>
      </c>
      <c r="D1994" s="10">
        <v>1</v>
      </c>
      <c r="E1994" s="10">
        <v>253</v>
      </c>
      <c r="F1994" s="10" t="s">
        <v>690</v>
      </c>
      <c r="G1994" s="10" t="s">
        <v>695</v>
      </c>
      <c r="H1994" s="10" t="str" cm="1">
        <f t="array" aca="1" ref="H1994" ca="1">IF(INDEX(I1994:Z1994,$H$1)=0,"",INDEX(I1994:Z1994,$H$1))</f>
        <v>Blowdown System: Generic (Pit or Vent)</v>
      </c>
      <c r="I1994" s="17" t="s">
        <v>2374</v>
      </c>
      <c r="J1994" s="17" t="s">
        <v>2374</v>
      </c>
      <c r="K1994" s="17" t="s">
        <v>2374</v>
      </c>
    </row>
    <row r="1995" spans="1:11" x14ac:dyDescent="0.35">
      <c r="A1995" s="10" t="s">
        <v>1185</v>
      </c>
      <c r="B1995" s="255">
        <v>109</v>
      </c>
      <c r="C1995" s="10" t="s">
        <v>204</v>
      </c>
      <c r="D1995" s="10">
        <v>1</v>
      </c>
      <c r="E1995" s="10">
        <v>254</v>
      </c>
      <c r="F1995" s="10" t="s">
        <v>690</v>
      </c>
      <c r="G1995" s="10" t="s">
        <v>695</v>
      </c>
      <c r="H1995" s="10" t="str" cm="1">
        <f t="array" aca="1" ref="H1995" ca="1">IF(INDEX(I1995:Z1995,$H$1)=0,"",INDEX(I1995:Z1995,$H$1))</f>
        <v>Aerial Cooler: Natural Gas Service</v>
      </c>
      <c r="I1995" s="17" t="s">
        <v>3396</v>
      </c>
      <c r="J1995" s="17" t="s">
        <v>3396</v>
      </c>
      <c r="K1995" s="17" t="s">
        <v>3396</v>
      </c>
    </row>
    <row r="1996" spans="1:11" x14ac:dyDescent="0.35">
      <c r="A1996" s="10" t="s">
        <v>1185</v>
      </c>
      <c r="B1996" s="255">
        <v>110</v>
      </c>
      <c r="C1996" s="10" t="s">
        <v>204</v>
      </c>
      <c r="D1996" s="10">
        <v>1</v>
      </c>
      <c r="E1996" s="10">
        <v>255</v>
      </c>
      <c r="F1996" s="10" t="s">
        <v>690</v>
      </c>
      <c r="G1996" s="10" t="s">
        <v>695</v>
      </c>
      <c r="H1996" s="10" t="str" cm="1">
        <f t="array" aca="1" ref="H1996" ca="1">IF(INDEX(I1996:Z1996,$H$1)=0,"",INDEX(I1996:Z1996,$H$1))</f>
        <v>Aerial Cooler: Hydrocarbon Liquid Service</v>
      </c>
      <c r="I1996" s="17" t="s">
        <v>3403</v>
      </c>
      <c r="J1996" s="17" t="s">
        <v>3403</v>
      </c>
      <c r="K1996" s="17" t="s">
        <v>3403</v>
      </c>
    </row>
    <row r="1997" spans="1:11" x14ac:dyDescent="0.35">
      <c r="A1997" s="10" t="s">
        <v>1185</v>
      </c>
      <c r="B1997" s="255">
        <v>111</v>
      </c>
      <c r="C1997" s="10" t="s">
        <v>204</v>
      </c>
      <c r="D1997" s="10">
        <v>1</v>
      </c>
      <c r="E1997" s="10">
        <v>256</v>
      </c>
      <c r="F1997" s="10" t="s">
        <v>690</v>
      </c>
      <c r="G1997" s="10" t="s">
        <v>695</v>
      </c>
      <c r="H1997" s="10" t="str" cm="1">
        <f t="array" aca="1" ref="H1997" ca="1">IF(INDEX(I1997:Z1997,$H$1)=0,"",INDEX(I1997:Z1997,$H$1))</f>
        <v>Chemical Injection Pump: Pneumatic (Diaphragm Type)</v>
      </c>
      <c r="I1997" s="17" t="s">
        <v>2375</v>
      </c>
      <c r="J1997" s="17" t="s">
        <v>2375</v>
      </c>
      <c r="K1997" s="17" t="s">
        <v>2375</v>
      </c>
    </row>
    <row r="1998" spans="1:11" x14ac:dyDescent="0.35">
      <c r="A1998" s="10" t="s">
        <v>1185</v>
      </c>
      <c r="B1998" s="255">
        <v>112</v>
      </c>
      <c r="C1998" s="10" t="s">
        <v>204</v>
      </c>
      <c r="D1998" s="10">
        <v>1</v>
      </c>
      <c r="E1998" s="10">
        <v>257</v>
      </c>
      <c r="F1998" s="10" t="s">
        <v>690</v>
      </c>
      <c r="G1998" s="10" t="s">
        <v>695</v>
      </c>
      <c r="H1998" s="10" t="str" cm="1">
        <f t="array" aca="1" ref="H1998" ca="1">IF(INDEX(I1998:Z1998,$H$1)=0,"",INDEX(I1998:Z1998,$H$1))</f>
        <v>Chemical Injection Pump: Pneumatic (Piston Type)</v>
      </c>
      <c r="I1998" s="17" t="s">
        <v>2376</v>
      </c>
      <c r="J1998" s="17" t="s">
        <v>2376</v>
      </c>
      <c r="K1998" s="17" t="s">
        <v>2376</v>
      </c>
    </row>
    <row r="1999" spans="1:11" x14ac:dyDescent="0.35">
      <c r="A1999" s="10" t="s">
        <v>1185</v>
      </c>
      <c r="B1999" s="255">
        <v>113</v>
      </c>
      <c r="C1999" s="10" t="s">
        <v>204</v>
      </c>
      <c r="D1999" s="10">
        <v>1</v>
      </c>
      <c r="E1999" s="10">
        <v>258</v>
      </c>
      <c r="F1999" s="10" t="s">
        <v>690</v>
      </c>
      <c r="G1999" s="10" t="s">
        <v>695</v>
      </c>
      <c r="H1999" s="10" t="str" cm="1">
        <f t="array" aca="1" ref="H1999" ca="1">IF(INDEX(I1999:Z1999,$H$1)=0,"",INDEX(I1999:Z1999,$H$1))</f>
        <v>Chemical Injection Pump: Pneumatic (Unknown Type)</v>
      </c>
      <c r="I1999" s="17" t="s">
        <v>2377</v>
      </c>
      <c r="J1999" s="17" t="s">
        <v>2377</v>
      </c>
      <c r="K1999" s="17" t="s">
        <v>2377</v>
      </c>
    </row>
    <row r="2000" spans="1:11" x14ac:dyDescent="0.35">
      <c r="A2000" s="10" t="s">
        <v>1185</v>
      </c>
      <c r="B2000" s="255">
        <v>114</v>
      </c>
      <c r="C2000" s="10" t="s">
        <v>204</v>
      </c>
      <c r="D2000" s="10">
        <v>1</v>
      </c>
      <c r="E2000" s="10">
        <v>259</v>
      </c>
      <c r="F2000" s="10" t="s">
        <v>690</v>
      </c>
      <c r="G2000" s="10" t="s">
        <v>695</v>
      </c>
      <c r="H2000" s="10" t="str" cm="1">
        <f t="array" aca="1" ref="H2000" ca="1">IF(INDEX(I2000:Z2000,$H$1)=0,"",INDEX(I2000:Z2000,$H$1))</f>
        <v>Compressor: Centrifugal: (Stages: 1) (Seals: Wet) (Driver: Electric Motor)</v>
      </c>
      <c r="I2000" s="17" t="s">
        <v>3219</v>
      </c>
      <c r="J2000" s="17" t="s">
        <v>3219</v>
      </c>
      <c r="K2000" s="17" t="s">
        <v>3219</v>
      </c>
    </row>
    <row r="2001" spans="1:11" x14ac:dyDescent="0.35">
      <c r="A2001" s="10" t="s">
        <v>1185</v>
      </c>
      <c r="B2001" s="255">
        <v>115</v>
      </c>
      <c r="C2001" s="10" t="s">
        <v>204</v>
      </c>
      <c r="D2001" s="10">
        <v>1</v>
      </c>
      <c r="E2001" s="10">
        <v>260</v>
      </c>
      <c r="F2001" s="10" t="s">
        <v>690</v>
      </c>
      <c r="G2001" s="10" t="s">
        <v>695</v>
      </c>
      <c r="H2001" s="10" t="str" cm="1">
        <f t="array" aca="1" ref="H2001" ca="1">IF(INDEX(I2001:Z2001,$H$1)=0,"",INDEX(I2001:Z2001,$H$1))</f>
        <v>Compressor: Centrifugal: (Stages: 1) (Seals: Wet) (Driver: Gas Turbine)</v>
      </c>
      <c r="I2001" s="17" t="s">
        <v>3220</v>
      </c>
      <c r="J2001" s="17" t="s">
        <v>3220</v>
      </c>
      <c r="K2001" s="17" t="s">
        <v>3220</v>
      </c>
    </row>
    <row r="2002" spans="1:11" x14ac:dyDescent="0.35">
      <c r="A2002" s="10" t="s">
        <v>1185</v>
      </c>
      <c r="B2002" s="255">
        <v>116</v>
      </c>
      <c r="C2002" s="10" t="s">
        <v>204</v>
      </c>
      <c r="D2002" s="10">
        <v>1</v>
      </c>
      <c r="E2002" s="10">
        <v>261</v>
      </c>
      <c r="F2002" s="10" t="s">
        <v>690</v>
      </c>
      <c r="G2002" s="10" t="s">
        <v>695</v>
      </c>
      <c r="H2002" s="10" t="str" cm="1">
        <f t="array" aca="1" ref="H2002" ca="1">IF(INDEX(I2002:Z2002,$H$1)=0,"",INDEX(I2002:Z2002,$H$1))</f>
        <v>Compressor: Centrifugal: (Stages: 2) (Seals: Wet) (Driver: Electric Motor)</v>
      </c>
      <c r="I2002" s="17" t="s">
        <v>3221</v>
      </c>
      <c r="J2002" s="17" t="s">
        <v>3221</v>
      </c>
      <c r="K2002" s="17" t="s">
        <v>3221</v>
      </c>
    </row>
    <row r="2003" spans="1:11" x14ac:dyDescent="0.35">
      <c r="A2003" s="10" t="s">
        <v>1185</v>
      </c>
      <c r="B2003" s="255">
        <v>117</v>
      </c>
      <c r="C2003" s="10" t="s">
        <v>204</v>
      </c>
      <c r="D2003" s="10">
        <v>1</v>
      </c>
      <c r="E2003" s="10">
        <v>262</v>
      </c>
      <c r="F2003" s="10" t="s">
        <v>690</v>
      </c>
      <c r="G2003" s="10" t="s">
        <v>695</v>
      </c>
      <c r="H2003" s="10" t="str" cm="1">
        <f t="array" aca="1" ref="H2003" ca="1">IF(INDEX(I2003:Z2003,$H$1)=0,"",INDEX(I2003:Z2003,$H$1))</f>
        <v>Compressor: Centrifugal: (Stages: 2) (Seals: Wet) (Driver: Gas Turbine)</v>
      </c>
      <c r="I2003" s="17" t="s">
        <v>3222</v>
      </c>
      <c r="J2003" s="17" t="s">
        <v>3222</v>
      </c>
      <c r="K2003" s="17" t="s">
        <v>3222</v>
      </c>
    </row>
    <row r="2004" spans="1:11" x14ac:dyDescent="0.35">
      <c r="A2004" s="10" t="s">
        <v>1185</v>
      </c>
      <c r="B2004" s="255">
        <v>118</v>
      </c>
      <c r="C2004" s="10" t="s">
        <v>204</v>
      </c>
      <c r="D2004" s="10">
        <v>1</v>
      </c>
      <c r="E2004" s="10">
        <v>263</v>
      </c>
      <c r="F2004" s="10" t="s">
        <v>690</v>
      </c>
      <c r="G2004" s="10" t="s">
        <v>695</v>
      </c>
      <c r="H2004" s="10" t="str" cm="1">
        <f t="array" aca="1" ref="H2004" ca="1">IF(INDEX(I2004:Z2004,$H$1)=0,"",INDEX(I2004:Z2004,$H$1))</f>
        <v>Compressor: Centrifugal: (Stages: 1) (Seals: Dry) (Driver: Electric Motor)</v>
      </c>
      <c r="I2004" s="17" t="s">
        <v>3223</v>
      </c>
      <c r="J2004" s="17" t="s">
        <v>3223</v>
      </c>
      <c r="K2004" s="17" t="s">
        <v>3223</v>
      </c>
    </row>
    <row r="2005" spans="1:11" x14ac:dyDescent="0.35">
      <c r="A2005" s="10" t="s">
        <v>1185</v>
      </c>
      <c r="B2005" s="255">
        <v>119</v>
      </c>
      <c r="C2005" s="10" t="s">
        <v>204</v>
      </c>
      <c r="D2005" s="10">
        <v>1</v>
      </c>
      <c r="E2005" s="10">
        <v>264</v>
      </c>
      <c r="F2005" s="10" t="s">
        <v>690</v>
      </c>
      <c r="G2005" s="10" t="s">
        <v>695</v>
      </c>
      <c r="H2005" s="10" t="str" cm="1">
        <f t="array" aca="1" ref="H2005" ca="1">IF(INDEX(I2005:Z2005,$H$1)=0,"",INDEX(I2005:Z2005,$H$1))</f>
        <v>Compressor: Centrifugal: (Stages: 1) (Seals: Dry) (Driver: Gas Turbine)</v>
      </c>
      <c r="I2005" s="17" t="s">
        <v>3224</v>
      </c>
      <c r="J2005" s="17" t="s">
        <v>3224</v>
      </c>
      <c r="K2005" s="17" t="s">
        <v>3224</v>
      </c>
    </row>
    <row r="2006" spans="1:11" x14ac:dyDescent="0.35">
      <c r="A2006" s="10" t="s">
        <v>1185</v>
      </c>
      <c r="B2006" s="255">
        <v>120</v>
      </c>
      <c r="C2006" s="10" t="s">
        <v>204</v>
      </c>
      <c r="D2006" s="10">
        <v>1</v>
      </c>
      <c r="E2006" s="10">
        <v>265</v>
      </c>
      <c r="F2006" s="10" t="s">
        <v>690</v>
      </c>
      <c r="G2006" s="10" t="s">
        <v>695</v>
      </c>
      <c r="H2006" s="10" t="str" cm="1">
        <f t="array" aca="1" ref="H2006" ca="1">IF(INDEX(I2006:Z2006,$H$1)=0,"",INDEX(I2006:Z2006,$H$1))</f>
        <v>Compressor: Centrifugal: (Stages: 2) (Seals: Dry) (Driver: Electric Motor)</v>
      </c>
      <c r="I2006" s="17" t="s">
        <v>3225</v>
      </c>
      <c r="J2006" s="17" t="s">
        <v>3225</v>
      </c>
      <c r="K2006" s="17" t="s">
        <v>3225</v>
      </c>
    </row>
    <row r="2007" spans="1:11" x14ac:dyDescent="0.35">
      <c r="A2007" s="10" t="s">
        <v>1185</v>
      </c>
      <c r="B2007" s="255">
        <v>121</v>
      </c>
      <c r="C2007" s="10" t="s">
        <v>204</v>
      </c>
      <c r="D2007" s="10">
        <v>1</v>
      </c>
      <c r="E2007" s="10">
        <v>266</v>
      </c>
      <c r="F2007" s="10" t="s">
        <v>690</v>
      </c>
      <c r="G2007" s="10" t="s">
        <v>695</v>
      </c>
      <c r="H2007" s="10" t="str" cm="1">
        <f t="array" aca="1" ref="H2007" ca="1">IF(INDEX(I2007:Z2007,$H$1)=0,"",INDEX(I2007:Z2007,$H$1))</f>
        <v>Compressor: Centrifugal: (Stages: 2) (Seals: Dry) (Driver: Gas Turbine)</v>
      </c>
      <c r="I2007" s="17" t="s">
        <v>3226</v>
      </c>
      <c r="J2007" s="17" t="s">
        <v>3226</v>
      </c>
      <c r="K2007" s="17" t="s">
        <v>3226</v>
      </c>
    </row>
    <row r="2008" spans="1:11" x14ac:dyDescent="0.35">
      <c r="A2008" s="10" t="s">
        <v>1185</v>
      </c>
      <c r="B2008" s="255">
        <v>122</v>
      </c>
      <c r="C2008" s="10" t="s">
        <v>204</v>
      </c>
      <c r="D2008" s="10">
        <v>1</v>
      </c>
      <c r="E2008" s="10">
        <v>267</v>
      </c>
      <c r="F2008" s="10" t="s">
        <v>690</v>
      </c>
      <c r="G2008" s="10" t="s">
        <v>695</v>
      </c>
      <c r="H2008" s="10" t="str" cm="1">
        <f t="array" aca="1" ref="H2008" ca="1">IF(INDEX(I2008:Z2008,$H$1)=0,"",INDEX(I2008:Z2008,$H$1))</f>
        <v>Compressor: Reciprocating: (Stages: 1) (Driver: Electric Motor)</v>
      </c>
      <c r="I2008" s="17" t="s">
        <v>2378</v>
      </c>
      <c r="J2008" s="17" t="s">
        <v>2378</v>
      </c>
      <c r="K2008" s="17" t="s">
        <v>2378</v>
      </c>
    </row>
    <row r="2009" spans="1:11" x14ac:dyDescent="0.35">
      <c r="A2009" s="10" t="s">
        <v>1185</v>
      </c>
      <c r="B2009" s="255">
        <v>123</v>
      </c>
      <c r="C2009" s="10" t="s">
        <v>204</v>
      </c>
      <c r="D2009" s="10">
        <v>1</v>
      </c>
      <c r="E2009" s="10">
        <v>268</v>
      </c>
      <c r="F2009" s="10" t="s">
        <v>690</v>
      </c>
      <c r="G2009" s="10" t="s">
        <v>695</v>
      </c>
      <c r="H2009" s="10" t="str" cm="1">
        <f t="array" aca="1" ref="H2009" ca="1">IF(INDEX(I2009:Z2009,$H$1)=0,"",INDEX(I2009:Z2009,$H$1))</f>
        <v>Compressor: Reciprocating: (Stages: 1) (Driver: Recip Engine)</v>
      </c>
      <c r="I2009" s="17" t="s">
        <v>2379</v>
      </c>
      <c r="J2009" s="17" t="s">
        <v>2379</v>
      </c>
      <c r="K2009" s="17" t="s">
        <v>2379</v>
      </c>
    </row>
    <row r="2010" spans="1:11" x14ac:dyDescent="0.35">
      <c r="A2010" s="10" t="s">
        <v>1185</v>
      </c>
      <c r="B2010" s="255">
        <v>124</v>
      </c>
      <c r="C2010" s="10" t="s">
        <v>204</v>
      </c>
      <c r="D2010" s="10">
        <v>1</v>
      </c>
      <c r="E2010" s="10">
        <v>269</v>
      </c>
      <c r="F2010" s="10" t="s">
        <v>690</v>
      </c>
      <c r="G2010" s="10" t="s">
        <v>695</v>
      </c>
      <c r="H2010" s="10" t="str" cm="1">
        <f t="array" aca="1" ref="H2010" ca="1">IF(INDEX(I2010:Z2010,$H$1)=0,"",INDEX(I2010:Z2010,$H$1))</f>
        <v>Compressor: Reciprocating: (Stages: 2) (Driver: Electric Motor)</v>
      </c>
      <c r="I2010" s="17" t="s">
        <v>2380</v>
      </c>
      <c r="J2010" s="17" t="s">
        <v>2380</v>
      </c>
      <c r="K2010" s="17" t="s">
        <v>2380</v>
      </c>
    </row>
    <row r="2011" spans="1:11" x14ac:dyDescent="0.35">
      <c r="A2011" s="10" t="s">
        <v>1185</v>
      </c>
      <c r="B2011" s="255">
        <v>125</v>
      </c>
      <c r="C2011" s="10" t="s">
        <v>204</v>
      </c>
      <c r="D2011" s="10">
        <v>1</v>
      </c>
      <c r="E2011" s="10">
        <v>270</v>
      </c>
      <c r="F2011" s="10" t="s">
        <v>690</v>
      </c>
      <c r="G2011" s="10" t="s">
        <v>695</v>
      </c>
      <c r="H2011" s="10" t="str" cm="1">
        <f t="array" aca="1" ref="H2011" ca="1">IF(INDEX(I2011:Z2011,$H$1)=0,"",INDEX(I2011:Z2011,$H$1))</f>
        <v>Compressor: Reciprocating: (Stages: 2) (Driver: Recip Engine)</v>
      </c>
      <c r="I2011" s="17" t="s">
        <v>2381</v>
      </c>
      <c r="J2011" s="17" t="s">
        <v>2381</v>
      </c>
      <c r="K2011" s="17" t="s">
        <v>2381</v>
      </c>
    </row>
    <row r="2012" spans="1:11" x14ac:dyDescent="0.35">
      <c r="A2012" s="10" t="s">
        <v>1185</v>
      </c>
      <c r="B2012" s="255">
        <v>126</v>
      </c>
      <c r="C2012" s="10" t="s">
        <v>204</v>
      </c>
      <c r="D2012" s="10">
        <v>1</v>
      </c>
      <c r="E2012" s="10">
        <v>271</v>
      </c>
      <c r="F2012" s="10" t="s">
        <v>690</v>
      </c>
      <c r="G2012" s="10" t="s">
        <v>695</v>
      </c>
      <c r="H2012" s="10" t="str" cm="1">
        <f t="array" aca="1" ref="H2012" ca="1">IF(INDEX(I2012:Z2012,$H$1)=0,"",INDEX(I2012:Z2012,$H$1))</f>
        <v>Compressor: Reciprocating: (Stages: 3) (Driver: Electric Motor)</v>
      </c>
      <c r="I2012" s="17" t="s">
        <v>2382</v>
      </c>
      <c r="J2012" s="17" t="s">
        <v>2382</v>
      </c>
      <c r="K2012" s="17" t="s">
        <v>2382</v>
      </c>
    </row>
    <row r="2013" spans="1:11" x14ac:dyDescent="0.35">
      <c r="A2013" s="10" t="s">
        <v>1185</v>
      </c>
      <c r="B2013" s="255">
        <v>127</v>
      </c>
      <c r="C2013" s="10" t="s">
        <v>204</v>
      </c>
      <c r="D2013" s="10">
        <v>1</v>
      </c>
      <c r="E2013" s="10">
        <v>272</v>
      </c>
      <c r="F2013" s="10" t="s">
        <v>690</v>
      </c>
      <c r="G2013" s="10" t="s">
        <v>695</v>
      </c>
      <c r="H2013" s="10" t="str" cm="1">
        <f t="array" aca="1" ref="H2013" ca="1">IF(INDEX(I2013:Z2013,$H$1)=0,"",INDEX(I2013:Z2013,$H$1))</f>
        <v>Compressor: Reciprocating: (Stages: 3) (Driver: Recip Engine)</v>
      </c>
      <c r="I2013" s="17" t="s">
        <v>2383</v>
      </c>
      <c r="J2013" s="17" t="s">
        <v>2383</v>
      </c>
      <c r="K2013" s="17" t="s">
        <v>2383</v>
      </c>
    </row>
    <row r="2014" spans="1:11" x14ac:dyDescent="0.35">
      <c r="A2014" s="10" t="s">
        <v>1185</v>
      </c>
      <c r="B2014" s="255">
        <v>128</v>
      </c>
      <c r="C2014" s="10" t="s">
        <v>204</v>
      </c>
      <c r="D2014" s="10">
        <v>1</v>
      </c>
      <c r="E2014" s="10">
        <v>273</v>
      </c>
      <c r="F2014" s="10" t="s">
        <v>690</v>
      </c>
      <c r="G2014" s="10" t="s">
        <v>695</v>
      </c>
      <c r="H2014" s="10" t="str" cm="1">
        <f t="array" aca="1" ref="H2014" ca="1">IF(INDEX(I2014:Z2014,$H$1)=0,"",INDEX(I2014:Z2014,$H$1))</f>
        <v>Compressor: Reciprocating: (Stages 4) (Driver: Electric Motor)</v>
      </c>
      <c r="I2014" s="17" t="s">
        <v>3308</v>
      </c>
      <c r="J2014" s="17" t="s">
        <v>3308</v>
      </c>
      <c r="K2014" s="17" t="s">
        <v>3308</v>
      </c>
    </row>
    <row r="2015" spans="1:11" x14ac:dyDescent="0.35">
      <c r="A2015" s="10" t="s">
        <v>1185</v>
      </c>
      <c r="B2015" s="255">
        <v>129</v>
      </c>
      <c r="C2015" s="10" t="s">
        <v>204</v>
      </c>
      <c r="D2015" s="10">
        <v>1</v>
      </c>
      <c r="E2015" s="10">
        <v>274</v>
      </c>
      <c r="F2015" s="10" t="s">
        <v>690</v>
      </c>
      <c r="G2015" s="10" t="s">
        <v>695</v>
      </c>
      <c r="H2015" s="10" t="str" cm="1">
        <f t="array" aca="1" ref="H2015" ca="1">IF(INDEX(I2015:Z2015,$H$1)=0,"",INDEX(I2015:Z2015,$H$1))</f>
        <v>Compressor: Reciprocating: (Stages 4) (Driver: Recip Engine)</v>
      </c>
      <c r="I2015" s="17" t="s">
        <v>3307</v>
      </c>
      <c r="J2015" s="17" t="s">
        <v>3307</v>
      </c>
      <c r="K2015" s="17" t="s">
        <v>3307</v>
      </c>
    </row>
    <row r="2016" spans="1:11" x14ac:dyDescent="0.35">
      <c r="A2016" s="10" t="s">
        <v>1185</v>
      </c>
      <c r="B2016" s="255">
        <v>130</v>
      </c>
      <c r="C2016" s="10" t="s">
        <v>204</v>
      </c>
      <c r="D2016" s="10">
        <v>1</v>
      </c>
      <c r="E2016" s="10">
        <v>275</v>
      </c>
      <c r="F2016" s="10" t="s">
        <v>690</v>
      </c>
      <c r="G2016" s="10" t="s">
        <v>695</v>
      </c>
      <c r="H2016" s="10" t="str" cm="1">
        <f t="array" aca="1" ref="H2016" ca="1">IF(INDEX(I2016:Z2016,$H$1)=0,"",INDEX(I2016:Z2016,$H$1))</f>
        <v>Compressor: Screw (Driver: Electric Motor)</v>
      </c>
      <c r="I2016" s="17" t="s">
        <v>2384</v>
      </c>
      <c r="J2016" s="17" t="s">
        <v>2384</v>
      </c>
      <c r="K2016" s="17" t="s">
        <v>2384</v>
      </c>
    </row>
    <row r="2017" spans="1:11" x14ac:dyDescent="0.35">
      <c r="A2017" s="10" t="s">
        <v>1185</v>
      </c>
      <c r="B2017" s="255">
        <v>131</v>
      </c>
      <c r="C2017" s="10" t="s">
        <v>204</v>
      </c>
      <c r="D2017" s="10">
        <v>1</v>
      </c>
      <c r="E2017" s="10">
        <v>276</v>
      </c>
      <c r="F2017" s="10" t="s">
        <v>690</v>
      </c>
      <c r="G2017" s="10" t="s">
        <v>695</v>
      </c>
      <c r="H2017" s="10" t="str" cm="1">
        <f t="array" aca="1" ref="H2017" ca="1">IF(INDEX(I2017:Z2017,$H$1)=0,"",INDEX(I2017:Z2017,$H$1))</f>
        <v>Compressor: Screw (Driver: Recip Engine)</v>
      </c>
      <c r="I2017" s="17" t="s">
        <v>2385</v>
      </c>
      <c r="J2017" s="17" t="s">
        <v>2385</v>
      </c>
      <c r="K2017" s="17" t="s">
        <v>2385</v>
      </c>
    </row>
    <row r="2018" spans="1:11" x14ac:dyDescent="0.35">
      <c r="A2018" s="10" t="s">
        <v>1185</v>
      </c>
      <c r="B2018" s="255">
        <v>132</v>
      </c>
      <c r="C2018" s="10" t="s">
        <v>204</v>
      </c>
      <c r="D2018" s="10">
        <v>1</v>
      </c>
      <c r="E2018" s="10">
        <v>277</v>
      </c>
      <c r="F2018" s="10" t="s">
        <v>690</v>
      </c>
      <c r="G2018" s="10" t="s">
        <v>695</v>
      </c>
      <c r="H2018" s="10" t="str" cm="1">
        <f t="array" aca="1" ref="H2018" ca="1">IF(INDEX(I2018:Z2018,$H$1)=0,"",INDEX(I2018:Z2018,$H$1))</f>
        <v>Dehydration: Desiccant (Adsorber Columns: 2)</v>
      </c>
      <c r="I2018" s="17" t="s">
        <v>2386</v>
      </c>
      <c r="J2018" s="17" t="s">
        <v>2386</v>
      </c>
      <c r="K2018" s="17" t="s">
        <v>2386</v>
      </c>
    </row>
    <row r="2019" spans="1:11" x14ac:dyDescent="0.35">
      <c r="A2019" s="10" t="s">
        <v>1185</v>
      </c>
      <c r="B2019" s="255">
        <v>133</v>
      </c>
      <c r="C2019" s="10" t="s">
        <v>204</v>
      </c>
      <c r="D2019" s="10">
        <v>1</v>
      </c>
      <c r="E2019" s="10">
        <v>278</v>
      </c>
      <c r="F2019" s="10" t="s">
        <v>690</v>
      </c>
      <c r="G2019" s="10" t="s">
        <v>695</v>
      </c>
      <c r="H2019" s="10" t="str" cm="1">
        <f t="array" aca="1" ref="H2019" ca="1">IF(INDEX(I2019:Z2019,$H$1)=0,"",INDEX(I2019:Z2019,$H$1))</f>
        <v>Dehydration: Desiccant (Adsorber Columns: 3)</v>
      </c>
      <c r="I2019" s="17" t="s">
        <v>2387</v>
      </c>
      <c r="J2019" s="17" t="s">
        <v>2387</v>
      </c>
      <c r="K2019" s="17" t="s">
        <v>2387</v>
      </c>
    </row>
    <row r="2020" spans="1:11" x14ac:dyDescent="0.35">
      <c r="A2020" s="10" t="s">
        <v>1185</v>
      </c>
      <c r="B2020" s="255">
        <v>134</v>
      </c>
      <c r="C2020" s="10" t="s">
        <v>204</v>
      </c>
      <c r="D2020" s="10">
        <v>1</v>
      </c>
      <c r="E2020" s="10">
        <v>279</v>
      </c>
      <c r="F2020" s="10" t="s">
        <v>690</v>
      </c>
      <c r="G2020" s="10" t="s">
        <v>695</v>
      </c>
      <c r="H2020" s="10" t="str" cm="1">
        <f t="array" aca="1" ref="H2020" ca="1">IF(INDEX(I2020:Z2020,$H$1)=0,"",INDEX(I2020:Z2020,$H$1))</f>
        <v>Dehydration: Glycol (with Gas-assisted Pump)</v>
      </c>
      <c r="I2020" s="17" t="s">
        <v>2388</v>
      </c>
      <c r="J2020" s="17" t="s">
        <v>2388</v>
      </c>
      <c r="K2020" s="17" t="s">
        <v>2388</v>
      </c>
    </row>
    <row r="2021" spans="1:11" x14ac:dyDescent="0.35">
      <c r="A2021" s="10" t="s">
        <v>1185</v>
      </c>
      <c r="B2021" s="255">
        <v>135</v>
      </c>
      <c r="C2021" s="10" t="s">
        <v>204</v>
      </c>
      <c r="D2021" s="10">
        <v>1</v>
      </c>
      <c r="E2021" s="10">
        <v>280</v>
      </c>
      <c r="F2021" s="10" t="s">
        <v>690</v>
      </c>
      <c r="G2021" s="10" t="s">
        <v>695</v>
      </c>
      <c r="H2021" s="10" t="str" cm="1">
        <f t="array" aca="1" ref="H2021" ca="1">IF(INDEX(I2021:Z2021,$H$1)=0,"",INDEX(I2021:Z2021,$H$1))</f>
        <v>Dehydration: Glycol (without Gas-assisted Pump)</v>
      </c>
      <c r="I2021" s="17" t="s">
        <v>2389</v>
      </c>
      <c r="J2021" s="17" t="s">
        <v>2389</v>
      </c>
      <c r="K2021" s="17" t="s">
        <v>2389</v>
      </c>
    </row>
    <row r="2022" spans="1:11" x14ac:dyDescent="0.35">
      <c r="A2022" s="10" t="s">
        <v>1185</v>
      </c>
      <c r="B2022" s="255">
        <v>136</v>
      </c>
      <c r="C2022" s="10" t="s">
        <v>204</v>
      </c>
      <c r="D2022" s="10">
        <v>1</v>
      </c>
      <c r="E2022" s="10">
        <v>281</v>
      </c>
      <c r="F2022" s="10" t="s">
        <v>690</v>
      </c>
      <c r="G2022" s="10" t="s">
        <v>695</v>
      </c>
      <c r="H2022" s="10" t="str" cm="1">
        <f t="array" aca="1" ref="H2022" ca="1">IF(INDEX(I2022:Z2022,$H$1)=0,"",INDEX(I2022:Z2022,$H$1))</f>
        <v>Flare System: Generic (Including Knock-out Drum)</v>
      </c>
      <c r="I2022" s="17" t="s">
        <v>2390</v>
      </c>
      <c r="J2022" s="17" t="s">
        <v>2390</v>
      </c>
      <c r="K2022" s="17" t="s">
        <v>2390</v>
      </c>
    </row>
    <row r="2023" spans="1:11" x14ac:dyDescent="0.35">
      <c r="A2023" s="10" t="s">
        <v>1185</v>
      </c>
      <c r="B2023" s="255">
        <v>137</v>
      </c>
      <c r="C2023" s="10" t="s">
        <v>204</v>
      </c>
      <c r="D2023" s="10">
        <v>1</v>
      </c>
      <c r="E2023" s="10">
        <v>282</v>
      </c>
      <c r="F2023" s="10" t="s">
        <v>690</v>
      </c>
      <c r="G2023" s="10" t="s">
        <v>695</v>
      </c>
      <c r="H2023" s="10" t="str" cm="1">
        <f t="array" aca="1" ref="H2023" ca="1">IF(INDEX(I2023:Z2023,$H$1)=0,"",INDEX(I2023:Z2023,$H$1))</f>
        <v>Heat Exchanger: Natural Gas/Steam</v>
      </c>
      <c r="I2023" s="17" t="s">
        <v>3399</v>
      </c>
      <c r="J2023" s="17" t="s">
        <v>3399</v>
      </c>
      <c r="K2023" s="17" t="s">
        <v>3399</v>
      </c>
    </row>
    <row r="2024" spans="1:11" x14ac:dyDescent="0.35">
      <c r="A2024" s="10" t="s">
        <v>1185</v>
      </c>
      <c r="B2024" s="255">
        <v>138</v>
      </c>
      <c r="C2024" s="10" t="s">
        <v>204</v>
      </c>
      <c r="D2024" s="10">
        <v>1</v>
      </c>
      <c r="E2024" s="10">
        <v>283</v>
      </c>
      <c r="F2024" s="10" t="s">
        <v>690</v>
      </c>
      <c r="G2024" s="10" t="s">
        <v>695</v>
      </c>
      <c r="H2024" s="10" t="str" cm="1">
        <f t="array" aca="1" ref="H2024" ca="1">IF(INDEX(I2024:Z2024,$H$1)=0,"",INDEX(I2024:Z2024,$H$1))</f>
        <v>Heat Exchanger: Natural Gas/Natural Gas</v>
      </c>
      <c r="I2024" s="17" t="s">
        <v>3398</v>
      </c>
      <c r="J2024" s="17" t="s">
        <v>3398</v>
      </c>
      <c r="K2024" s="17" t="s">
        <v>3398</v>
      </c>
    </row>
    <row r="2025" spans="1:11" x14ac:dyDescent="0.35">
      <c r="A2025" s="10" t="s">
        <v>1185</v>
      </c>
      <c r="B2025" s="255">
        <v>139</v>
      </c>
      <c r="C2025" s="10" t="s">
        <v>204</v>
      </c>
      <c r="D2025" s="10">
        <v>1</v>
      </c>
      <c r="E2025" s="10">
        <v>284</v>
      </c>
      <c r="F2025" s="10" t="s">
        <v>690</v>
      </c>
      <c r="G2025" s="10" t="s">
        <v>695</v>
      </c>
      <c r="H2025" s="10" t="str" cm="1">
        <f t="array" aca="1" ref="H2025" ca="1">IF(INDEX(I2025:Z2025,$H$1)=0,"",INDEX(I2025:Z2025,$H$1))</f>
        <v>Heat Exchanger: Natural Gas/Non-Hydrocarbon Liquid</v>
      </c>
      <c r="I2025" s="17" t="s">
        <v>3400</v>
      </c>
      <c r="J2025" s="17" t="s">
        <v>3400</v>
      </c>
      <c r="K2025" s="17" t="s">
        <v>3400</v>
      </c>
    </row>
    <row r="2026" spans="1:11" x14ac:dyDescent="0.35">
      <c r="A2026" s="10" t="s">
        <v>1185</v>
      </c>
      <c r="B2026" s="255">
        <v>140</v>
      </c>
      <c r="C2026" s="10" t="s">
        <v>204</v>
      </c>
      <c r="D2026" s="10">
        <v>1</v>
      </c>
      <c r="E2026" s="10">
        <v>285</v>
      </c>
      <c r="F2026" s="10" t="s">
        <v>690</v>
      </c>
      <c r="G2026" s="10" t="s">
        <v>695</v>
      </c>
      <c r="H2026" s="10" t="str" cm="1">
        <f t="array" aca="1" ref="H2026" ca="1">IF(INDEX(I2026:Z2026,$H$1)=0,"",INDEX(I2026:Z2026,$H$1))</f>
        <v>Heat Exchanger: Natural Gas/Hydrocarbon Liquid</v>
      </c>
      <c r="I2026" s="17" t="s">
        <v>3401</v>
      </c>
      <c r="J2026" s="17" t="s">
        <v>3401</v>
      </c>
      <c r="K2026" s="17" t="s">
        <v>3401</v>
      </c>
    </row>
    <row r="2027" spans="1:11" x14ac:dyDescent="0.35">
      <c r="A2027" s="10" t="s">
        <v>1185</v>
      </c>
      <c r="B2027" s="255">
        <v>141</v>
      </c>
      <c r="C2027" s="10" t="s">
        <v>204</v>
      </c>
      <c r="D2027" s="10">
        <v>1</v>
      </c>
      <c r="E2027" s="10">
        <v>286</v>
      </c>
      <c r="F2027" s="10" t="s">
        <v>690</v>
      </c>
      <c r="G2027" s="10" t="s">
        <v>695</v>
      </c>
      <c r="H2027" s="10" t="str" cm="1">
        <f t="array" aca="1" ref="H2027" ca="1">IF(INDEX(I2027:Z2027,$H$1)=0,"",INDEX(I2027:Z2027,$H$1))</f>
        <v>Heat Exchanger: Steam/Hydrocarbon Liquid</v>
      </c>
      <c r="I2027" s="17" t="s">
        <v>3402</v>
      </c>
      <c r="J2027" s="17" t="s">
        <v>3402</v>
      </c>
      <c r="K2027" s="17" t="s">
        <v>3402</v>
      </c>
    </row>
    <row r="2028" spans="1:11" x14ac:dyDescent="0.35">
      <c r="A2028" s="10" t="s">
        <v>1185</v>
      </c>
      <c r="B2028" s="255">
        <v>142</v>
      </c>
      <c r="C2028" s="10" t="s">
        <v>204</v>
      </c>
      <c r="D2028" s="10">
        <v>1</v>
      </c>
      <c r="E2028" s="10">
        <v>287</v>
      </c>
      <c r="F2028" s="10" t="s">
        <v>690</v>
      </c>
      <c r="G2028" s="10" t="s">
        <v>695</v>
      </c>
      <c r="H2028" s="10" t="str" cm="1">
        <f t="array" aca="1" ref="H2028" ca="1">IF(INDEX(I2028:Z2028,$H$1)=0,"",INDEX(I2028:Z2028,$H$1))</f>
        <v>Heat Exchanger: Hydrocarbon Liquid/Hydrocarbon Liquid</v>
      </c>
      <c r="I2028" s="17" t="s">
        <v>3397</v>
      </c>
      <c r="J2028" s="17" t="s">
        <v>3397</v>
      </c>
      <c r="K2028" s="17" t="s">
        <v>3397</v>
      </c>
    </row>
    <row r="2029" spans="1:11" x14ac:dyDescent="0.35">
      <c r="A2029" s="10" t="s">
        <v>1185</v>
      </c>
      <c r="B2029" s="255">
        <v>143</v>
      </c>
      <c r="C2029" s="10" t="s">
        <v>204</v>
      </c>
      <c r="D2029" s="10">
        <v>1</v>
      </c>
      <c r="E2029" s="10">
        <v>288</v>
      </c>
      <c r="F2029" s="10" t="s">
        <v>690</v>
      </c>
      <c r="G2029" s="10" t="s">
        <v>695</v>
      </c>
      <c r="H2029" s="10" t="str" cm="1">
        <f t="array" aca="1" ref="H2029" ca="1">IF(INDEX(I2029:Z2029,$H$1)=0,"",INDEX(I2029:Z2029,$H$1))</f>
        <v>Heater/Boiler/Reboiler: Generic (Burner Assemblies: 1)</v>
      </c>
      <c r="I2029" s="17" t="s">
        <v>2391</v>
      </c>
      <c r="J2029" s="17" t="s">
        <v>2391</v>
      </c>
      <c r="K2029" s="17" t="s">
        <v>2391</v>
      </c>
    </row>
    <row r="2030" spans="1:11" x14ac:dyDescent="0.35">
      <c r="A2030" s="10" t="s">
        <v>1185</v>
      </c>
      <c r="B2030" s="255">
        <v>144</v>
      </c>
      <c r="C2030" s="10" t="s">
        <v>204</v>
      </c>
      <c r="D2030" s="10">
        <v>1</v>
      </c>
      <c r="E2030" s="10">
        <v>289</v>
      </c>
      <c r="F2030" s="10" t="s">
        <v>690</v>
      </c>
      <c r="G2030" s="10" t="s">
        <v>695</v>
      </c>
      <c r="H2030" s="10" t="str" cm="1">
        <f t="array" aca="1" ref="H2030" ca="1">IF(INDEX(I2030:Z2030,$H$1)=0,"",INDEX(I2030:Z2030,$H$1))</f>
        <v>Heater/Boiler/Reboiler: Generic (Burner Assemblies: 2)</v>
      </c>
      <c r="I2030" s="17" t="s">
        <v>2392</v>
      </c>
      <c r="J2030" s="17" t="s">
        <v>2392</v>
      </c>
      <c r="K2030" s="17" t="s">
        <v>2392</v>
      </c>
    </row>
    <row r="2031" spans="1:11" x14ac:dyDescent="0.35">
      <c r="A2031" s="10" t="s">
        <v>1185</v>
      </c>
      <c r="B2031" s="255">
        <v>145</v>
      </c>
      <c r="C2031" s="10" t="s">
        <v>204</v>
      </c>
      <c r="D2031" s="10">
        <v>1</v>
      </c>
      <c r="E2031" s="10">
        <v>290</v>
      </c>
      <c r="F2031" s="10" t="s">
        <v>690</v>
      </c>
      <c r="G2031" s="10" t="s">
        <v>695</v>
      </c>
      <c r="H2031" s="10" t="str" cm="1">
        <f t="array" aca="1" ref="H2031" ca="1">IF(INDEX(I2031:Z2031,$H$1)=0,"",INDEX(I2031:Z2031,$H$1))</f>
        <v>Heater/Boiler/Reboiler: Generic (Burner Assemblies: 3)</v>
      </c>
      <c r="I2031" s="17" t="s">
        <v>2393</v>
      </c>
      <c r="J2031" s="17" t="s">
        <v>2393</v>
      </c>
      <c r="K2031" s="17" t="s">
        <v>2393</v>
      </c>
    </row>
    <row r="2032" spans="1:11" x14ac:dyDescent="0.35">
      <c r="A2032" s="10" t="s">
        <v>1185</v>
      </c>
      <c r="B2032" s="255">
        <v>146</v>
      </c>
      <c r="C2032" s="10" t="s">
        <v>204</v>
      </c>
      <c r="D2032" s="10">
        <v>1</v>
      </c>
      <c r="E2032" s="10">
        <v>291</v>
      </c>
      <c r="F2032" s="10" t="s">
        <v>690</v>
      </c>
      <c r="G2032" s="10" t="s">
        <v>695</v>
      </c>
      <c r="H2032" s="10" t="str" cm="1">
        <f t="array" aca="1" ref="H2032" ca="1">IF(INDEX(I2032:Z2032,$H$1)=0,"",INDEX(I2032:Z2032,$H$1))</f>
        <v>Heater/Boiler/Reboiler: Line (Burner Assemblies: 1)</v>
      </c>
      <c r="I2032" s="17" t="s">
        <v>2671</v>
      </c>
      <c r="J2032" s="17" t="s">
        <v>2671</v>
      </c>
      <c r="K2032" s="17" t="s">
        <v>2671</v>
      </c>
    </row>
    <row r="2033" spans="1:11" x14ac:dyDescent="0.35">
      <c r="A2033" s="10" t="s">
        <v>1185</v>
      </c>
      <c r="B2033" s="255">
        <v>147</v>
      </c>
      <c r="C2033" s="10" t="s">
        <v>204</v>
      </c>
      <c r="D2033" s="10">
        <v>1</v>
      </c>
      <c r="E2033" s="10">
        <v>292</v>
      </c>
      <c r="F2033" s="10" t="s">
        <v>690</v>
      </c>
      <c r="G2033" s="10" t="s">
        <v>695</v>
      </c>
      <c r="H2033" s="10" t="str" cm="1">
        <f t="array" aca="1" ref="H2033" ca="1">IF(INDEX(I2033:Z2033,$H$1)=0,"",INDEX(I2033:Z2033,$H$1))</f>
        <v>Heater/Boiler/Reboiler: Line (Burner Assemblies: 2)</v>
      </c>
      <c r="I2033" s="17" t="s">
        <v>2672</v>
      </c>
      <c r="J2033" s="17" t="s">
        <v>2672</v>
      </c>
      <c r="K2033" s="17" t="s">
        <v>2672</v>
      </c>
    </row>
    <row r="2034" spans="1:11" x14ac:dyDescent="0.35">
      <c r="A2034" s="10" t="s">
        <v>1185</v>
      </c>
      <c r="B2034" s="255">
        <v>148</v>
      </c>
      <c r="C2034" s="10" t="s">
        <v>204</v>
      </c>
      <c r="D2034" s="10">
        <v>1</v>
      </c>
      <c r="E2034" s="10">
        <v>293</v>
      </c>
      <c r="F2034" s="10" t="s">
        <v>690</v>
      </c>
      <c r="G2034" s="10" t="s">
        <v>695</v>
      </c>
      <c r="H2034" s="10" t="str" cm="1">
        <f t="array" aca="1" ref="H2034" ca="1">IF(INDEX(I2034:Z2034,$H$1)=0,"",INDEX(I2034:Z2034,$H$1))</f>
        <v>Heater/Boiler/Reboiler: Line (Burner Assemblies: 3)</v>
      </c>
      <c r="I2034" s="17" t="s">
        <v>2673</v>
      </c>
      <c r="J2034" s="17" t="s">
        <v>2673</v>
      </c>
      <c r="K2034" s="17" t="s">
        <v>2673</v>
      </c>
    </row>
    <row r="2035" spans="1:11" x14ac:dyDescent="0.35">
      <c r="A2035" s="10" t="s">
        <v>1185</v>
      </c>
      <c r="B2035" s="255">
        <v>149</v>
      </c>
      <c r="C2035" s="10" t="s">
        <v>204</v>
      </c>
      <c r="D2035" s="10">
        <v>1</v>
      </c>
      <c r="E2035" s="10">
        <v>294</v>
      </c>
      <c r="F2035" s="10" t="s">
        <v>690</v>
      </c>
      <c r="G2035" s="10" t="s">
        <v>695</v>
      </c>
      <c r="H2035" s="10" t="str" cm="1">
        <f t="array" aca="1" ref="H2035" ca="1">IF(INDEX(I2035:Z2035,$H$1)=0,"",INDEX(I2035:Z2035,$H$1))</f>
        <v>Heater/Boiler/Reboiler: Treater (Burner Assemblies: 1)</v>
      </c>
      <c r="I2035" s="17" t="s">
        <v>2394</v>
      </c>
      <c r="J2035" s="17" t="s">
        <v>2394</v>
      </c>
      <c r="K2035" s="17" t="s">
        <v>2394</v>
      </c>
    </row>
    <row r="2036" spans="1:11" x14ac:dyDescent="0.35">
      <c r="A2036" s="10" t="s">
        <v>1185</v>
      </c>
      <c r="B2036" s="255">
        <v>150</v>
      </c>
      <c r="C2036" s="10" t="s">
        <v>204</v>
      </c>
      <c r="D2036" s="10">
        <v>1</v>
      </c>
      <c r="E2036" s="10">
        <v>295</v>
      </c>
      <c r="F2036" s="10" t="s">
        <v>690</v>
      </c>
      <c r="G2036" s="10" t="s">
        <v>695</v>
      </c>
      <c r="H2036" s="10" t="str" cm="1">
        <f t="array" aca="1" ref="H2036" ca="1">IF(INDEX(I2036:Z2036,$H$1)=0,"",INDEX(I2036:Z2036,$H$1))</f>
        <v>Heater/Boiler/Reboiler: Treater (Burner Assemblies: 2)</v>
      </c>
      <c r="I2036" s="17" t="s">
        <v>2395</v>
      </c>
      <c r="J2036" s="17" t="s">
        <v>2395</v>
      </c>
      <c r="K2036" s="17" t="s">
        <v>2395</v>
      </c>
    </row>
    <row r="2037" spans="1:11" x14ac:dyDescent="0.35">
      <c r="A2037" s="10" t="s">
        <v>1185</v>
      </c>
      <c r="B2037" s="255">
        <v>151</v>
      </c>
      <c r="C2037" s="10" t="s">
        <v>204</v>
      </c>
      <c r="D2037" s="10">
        <v>1</v>
      </c>
      <c r="E2037" s="10">
        <v>296</v>
      </c>
      <c r="F2037" s="10" t="s">
        <v>690</v>
      </c>
      <c r="G2037" s="10" t="s">
        <v>695</v>
      </c>
      <c r="H2037" s="10" t="str" cm="1">
        <f t="array" aca="1" ref="H2037" ca="1">IF(INDEX(I2037:Z2037,$H$1)=0,"",INDEX(I2037:Z2037,$H$1))</f>
        <v>Heater/Boiler/Reboiler: Treater (Burner Assemblies: 3)</v>
      </c>
      <c r="I2037" s="17" t="s">
        <v>2396</v>
      </c>
      <c r="J2037" s="17" t="s">
        <v>2396</v>
      </c>
      <c r="K2037" s="17" t="s">
        <v>2396</v>
      </c>
    </row>
    <row r="2038" spans="1:11" x14ac:dyDescent="0.35">
      <c r="A2038" s="10" t="s">
        <v>1185</v>
      </c>
      <c r="B2038" s="255">
        <v>152</v>
      </c>
      <c r="C2038" s="10" t="s">
        <v>204</v>
      </c>
      <c r="D2038" s="10">
        <v>1</v>
      </c>
      <c r="E2038" s="10">
        <v>297</v>
      </c>
      <c r="F2038" s="10" t="s">
        <v>690</v>
      </c>
      <c r="G2038" s="10" t="s">
        <v>695</v>
      </c>
      <c r="H2038" s="10" t="str" cm="1">
        <f t="array" aca="1" ref="H2038" ca="1">IF(INDEX(I2038:Z2038,$H$1)=0,"",INDEX(I2038:Z2038,$H$1))</f>
        <v>Hydrocarbon Dewpoint Control: Joule-Thomson Unit (Excluding Compressor)</v>
      </c>
      <c r="I2038" s="17" t="s">
        <v>2397</v>
      </c>
      <c r="J2038" s="17" t="s">
        <v>2397</v>
      </c>
      <c r="K2038" s="17" t="s">
        <v>2397</v>
      </c>
    </row>
    <row r="2039" spans="1:11" x14ac:dyDescent="0.35">
      <c r="A2039" s="10" t="s">
        <v>1185</v>
      </c>
      <c r="B2039" s="255">
        <v>153</v>
      </c>
      <c r="C2039" s="10" t="s">
        <v>204</v>
      </c>
      <c r="D2039" s="10">
        <v>1</v>
      </c>
      <c r="E2039" s="10">
        <v>298</v>
      </c>
      <c r="F2039" s="10" t="s">
        <v>690</v>
      </c>
      <c r="G2039" s="10" t="s">
        <v>695</v>
      </c>
      <c r="H2039" s="10" t="str" cm="1">
        <f t="array" aca="1" ref="H2039" ca="1">IF(INDEX(I2039:Z2039,$H$1)=0,"",INDEX(I2039:Z2039,$H$1))</f>
        <v>Hydrocarbon Dewpoint Control: Propane Refrigeration</v>
      </c>
      <c r="I2039" s="17" t="s">
        <v>2398</v>
      </c>
      <c r="J2039" s="17" t="s">
        <v>2398</v>
      </c>
      <c r="K2039" s="17" t="s">
        <v>2398</v>
      </c>
    </row>
    <row r="2040" spans="1:11" x14ac:dyDescent="0.35">
      <c r="A2040" s="10" t="s">
        <v>1185</v>
      </c>
      <c r="B2040" s="255">
        <v>154</v>
      </c>
      <c r="C2040" s="10" t="s">
        <v>204</v>
      </c>
      <c r="D2040" s="10">
        <v>1</v>
      </c>
      <c r="E2040" s="10">
        <v>299</v>
      </c>
      <c r="F2040" s="10" t="s">
        <v>690</v>
      </c>
      <c r="G2040" s="10" t="s">
        <v>695</v>
      </c>
      <c r="H2040" s="10" t="str" cm="1">
        <f t="array" aca="1" ref="H2040" ca="1">IF(INDEX(I2040:Z2040,$H$1)=0,"",INDEX(I2040:Z2040,$H$1))</f>
        <v>Inlet Header : Heavy Oil Battery</v>
      </c>
      <c r="I2040" s="17" t="s">
        <v>2399</v>
      </c>
      <c r="J2040" s="17" t="s">
        <v>2399</v>
      </c>
      <c r="K2040" s="17" t="s">
        <v>2399</v>
      </c>
    </row>
    <row r="2041" spans="1:11" x14ac:dyDescent="0.35">
      <c r="A2041" s="10" t="s">
        <v>1185</v>
      </c>
      <c r="B2041" s="255">
        <v>155</v>
      </c>
      <c r="C2041" s="10" t="s">
        <v>204</v>
      </c>
      <c r="D2041" s="10">
        <v>1</v>
      </c>
      <c r="E2041" s="10">
        <v>300</v>
      </c>
      <c r="F2041" s="10" t="s">
        <v>690</v>
      </c>
      <c r="G2041" s="10" t="s">
        <v>695</v>
      </c>
      <c r="H2041" s="10" t="str" cm="1">
        <f t="array" aca="1" ref="H2041" ca="1">IF(INDEX(I2041:Z2041,$H$1)=0,"",INDEX(I2041:Z2041,$H$1))</f>
        <v>Inlet Header: Conventional Oil Battery</v>
      </c>
      <c r="I2041" s="17" t="s">
        <v>2400</v>
      </c>
      <c r="J2041" s="17" t="s">
        <v>2400</v>
      </c>
      <c r="K2041" s="17" t="s">
        <v>2400</v>
      </c>
    </row>
    <row r="2042" spans="1:11" x14ac:dyDescent="0.35">
      <c r="A2042" s="10" t="s">
        <v>1185</v>
      </c>
      <c r="B2042" s="255">
        <v>156</v>
      </c>
      <c r="C2042" s="10" t="s">
        <v>204</v>
      </c>
      <c r="D2042" s="10">
        <v>1</v>
      </c>
      <c r="E2042" s="10">
        <v>301</v>
      </c>
      <c r="F2042" s="10" t="s">
        <v>690</v>
      </c>
      <c r="G2042" s="10" t="s">
        <v>695</v>
      </c>
      <c r="H2042" s="10" t="str" cm="1">
        <f t="array" aca="1" ref="H2042" ca="1">IF(INDEX(I2042:Z2042,$H$1)=0,"",INDEX(I2042:Z2042,$H$1))</f>
        <v>Inlet/Outlet Header: Gas Facilities (Fittings Per Pipeline)</v>
      </c>
      <c r="I2042" s="17" t="s">
        <v>2729</v>
      </c>
      <c r="J2042" s="17" t="s">
        <v>2729</v>
      </c>
      <c r="K2042" s="17" t="s">
        <v>2729</v>
      </c>
    </row>
    <row r="2043" spans="1:11" x14ac:dyDescent="0.35">
      <c r="A2043" s="10" t="s">
        <v>1185</v>
      </c>
      <c r="B2043" s="255">
        <v>157</v>
      </c>
      <c r="C2043" s="10" t="s">
        <v>204</v>
      </c>
      <c r="D2043" s="10">
        <v>1</v>
      </c>
      <c r="E2043" s="10">
        <v>302</v>
      </c>
      <c r="F2043" s="10" t="s">
        <v>690</v>
      </c>
      <c r="G2043" s="10" t="s">
        <v>695</v>
      </c>
      <c r="H2043" s="10" t="str" cm="1">
        <f t="array" aca="1" ref="H2043" ca="1">IF(INDEX(I2043:Z2043,$H$1)=0,"",INDEX(I2043:Z2043,$H$1))</f>
        <v>Inlet/Outlet Header: Oil Facilities (Fittings Per Pipeline)</v>
      </c>
      <c r="I2043" s="17" t="s">
        <v>2728</v>
      </c>
      <c r="J2043" s="17" t="s">
        <v>2728</v>
      </c>
      <c r="K2043" s="17" t="s">
        <v>2728</v>
      </c>
    </row>
    <row r="2044" spans="1:11" x14ac:dyDescent="0.35">
      <c r="A2044" s="10" t="s">
        <v>1185</v>
      </c>
      <c r="B2044" s="255">
        <v>158</v>
      </c>
      <c r="C2044" s="10" t="s">
        <v>204</v>
      </c>
      <c r="D2044" s="10">
        <v>1</v>
      </c>
      <c r="E2044" s="10">
        <v>303</v>
      </c>
      <c r="F2044" s="10" t="s">
        <v>690</v>
      </c>
      <c r="G2044" s="10" t="s">
        <v>695</v>
      </c>
      <c r="H2044" s="10" t="str" cm="1">
        <f t="array" aca="1" ref="H2044" ca="1">IF(INDEX(I2044:Z2044,$H$1)=0,"",INDEX(I2044:Z2044,$H$1))</f>
        <v>LPG Extraction: Deepcut (C2 to C4)</v>
      </c>
      <c r="I2044" s="17" t="s">
        <v>2401</v>
      </c>
      <c r="J2044" s="17" t="s">
        <v>2401</v>
      </c>
      <c r="K2044" s="17" t="s">
        <v>2401</v>
      </c>
    </row>
    <row r="2045" spans="1:11" x14ac:dyDescent="0.35">
      <c r="A2045" s="10" t="s">
        <v>1185</v>
      </c>
      <c r="B2045" s="255">
        <v>159</v>
      </c>
      <c r="C2045" s="10" t="s">
        <v>204</v>
      </c>
      <c r="D2045" s="10">
        <v>1</v>
      </c>
      <c r="E2045" s="10">
        <v>304</v>
      </c>
      <c r="F2045" s="10" t="s">
        <v>690</v>
      </c>
      <c r="G2045" s="10" t="s">
        <v>695</v>
      </c>
      <c r="H2045" s="10" t="str" cm="1">
        <f t="array" aca="1" ref="H2045" ca="1">IF(INDEX(I2045:Z2045,$H$1)=0,"",INDEX(I2045:Z2045,$H$1))</f>
        <v>LPG Extraction: Shallow Cut (C3 to C4)</v>
      </c>
      <c r="I2045" s="17" t="s">
        <v>2402</v>
      </c>
      <c r="J2045" s="17" t="s">
        <v>2402</v>
      </c>
      <c r="K2045" s="17" t="s">
        <v>2402</v>
      </c>
    </row>
    <row r="2046" spans="1:11" x14ac:dyDescent="0.35">
      <c r="A2046" s="10" t="s">
        <v>1185</v>
      </c>
      <c r="B2046" s="255">
        <v>160</v>
      </c>
      <c r="C2046" s="10" t="s">
        <v>204</v>
      </c>
      <c r="D2046" s="10">
        <v>1</v>
      </c>
      <c r="E2046" s="10">
        <v>305</v>
      </c>
      <c r="F2046" s="10" t="s">
        <v>690</v>
      </c>
      <c r="G2046" s="10" t="s">
        <v>695</v>
      </c>
      <c r="H2046" s="10" t="str" cm="1">
        <f t="array" aca="1" ref="H2046" ca="1">IF(INDEX(I2046:Z2046,$H$1)=0,"",INDEX(I2046:Z2046,$H$1))</f>
        <v>NGL – Natural Gas Liquefaction</v>
      </c>
      <c r="I2046" s="17" t="s">
        <v>199</v>
      </c>
      <c r="J2046" s="17" t="s">
        <v>199</v>
      </c>
      <c r="K2046" s="17" t="s">
        <v>199</v>
      </c>
    </row>
    <row r="2047" spans="1:11" x14ac:dyDescent="0.35">
      <c r="A2047" s="10" t="s">
        <v>1185</v>
      </c>
      <c r="B2047" s="255">
        <v>161</v>
      </c>
      <c r="C2047" s="10" t="s">
        <v>204</v>
      </c>
      <c r="D2047" s="10">
        <v>1</v>
      </c>
      <c r="E2047" s="10">
        <v>306</v>
      </c>
      <c r="F2047" s="10" t="s">
        <v>690</v>
      </c>
      <c r="G2047" s="10" t="s">
        <v>695</v>
      </c>
      <c r="H2047" s="10" t="str" cm="1">
        <f t="array" aca="1" ref="H2047" ca="1">IF(INDEX(I2047:Z2047,$H$1)=0,"",INDEX(I2047:Z2047,$H$1))</f>
        <v>PIG Receiver or Sender</v>
      </c>
      <c r="I2047" s="17" t="s">
        <v>230</v>
      </c>
      <c r="J2047" s="17" t="s">
        <v>230</v>
      </c>
      <c r="K2047" s="17" t="s">
        <v>230</v>
      </c>
    </row>
    <row r="2048" spans="1:11" x14ac:dyDescent="0.35">
      <c r="A2048" s="10" t="s">
        <v>1185</v>
      </c>
      <c r="B2048" s="255">
        <v>162</v>
      </c>
      <c r="C2048" s="10" t="s">
        <v>204</v>
      </c>
      <c r="D2048" s="10">
        <v>1</v>
      </c>
      <c r="E2048" s="10">
        <v>307</v>
      </c>
      <c r="F2048" s="10" t="s">
        <v>690</v>
      </c>
      <c r="G2048" s="10" t="s">
        <v>695</v>
      </c>
      <c r="H2048" s="10" t="str" cm="1">
        <f t="array" aca="1" ref="H2048" ca="1">IF(INDEX(I2048:Z2048,$H$1)=0,"",INDEX(I2048:Z2048,$H$1))</f>
        <v>Power Generator: Natural Gas Fuelled (Driver: Gas Turbine)</v>
      </c>
      <c r="I2048" s="17" t="s">
        <v>2674</v>
      </c>
      <c r="J2048" s="17" t="s">
        <v>2674</v>
      </c>
      <c r="K2048" s="17" t="s">
        <v>2674</v>
      </c>
    </row>
    <row r="2049" spans="1:11" x14ac:dyDescent="0.35">
      <c r="A2049" s="10" t="s">
        <v>1185</v>
      </c>
      <c r="B2049" s="255">
        <v>163</v>
      </c>
      <c r="C2049" s="10" t="s">
        <v>204</v>
      </c>
      <c r="D2049" s="10">
        <v>1</v>
      </c>
      <c r="E2049" s="10">
        <v>308</v>
      </c>
      <c r="F2049" s="10" t="s">
        <v>690</v>
      </c>
      <c r="G2049" s="10" t="s">
        <v>695</v>
      </c>
      <c r="H2049" s="10" t="str" cm="1">
        <f t="array" aca="1" ref="H2049" ca="1">IF(INDEX(I2049:Z2049,$H$1)=0,"",INDEX(I2049:Z2049,$H$1))</f>
        <v>Power Generator: Natural Gas Fuelled (Driver: Recip. Engine)</v>
      </c>
      <c r="I2049" s="17" t="s">
        <v>2403</v>
      </c>
      <c r="J2049" s="17" t="s">
        <v>2403</v>
      </c>
      <c r="K2049" s="17" t="s">
        <v>2403</v>
      </c>
    </row>
    <row r="2050" spans="1:11" x14ac:dyDescent="0.35">
      <c r="A2050" s="10" t="s">
        <v>1185</v>
      </c>
      <c r="B2050" s="255">
        <v>164</v>
      </c>
      <c r="C2050" s="10" t="s">
        <v>204</v>
      </c>
      <c r="D2050" s="10">
        <v>1</v>
      </c>
      <c r="E2050" s="10">
        <v>309</v>
      </c>
      <c r="F2050" s="10" t="s">
        <v>690</v>
      </c>
      <c r="G2050" s="10" t="s">
        <v>695</v>
      </c>
      <c r="H2050" s="10" t="str" cm="1">
        <f t="array" aca="1" ref="H2050" ca="1">IF(INDEX(I2050:Z2050,$H$1)=0,"",INDEX(I2050:Z2050,$H$1))</f>
        <v>Pump: Hydrocarbon Service (Driver: Motor)</v>
      </c>
      <c r="I2050" s="17" t="s">
        <v>3409</v>
      </c>
      <c r="J2050" s="17" t="s">
        <v>3409</v>
      </c>
      <c r="K2050" s="17" t="s">
        <v>3409</v>
      </c>
    </row>
    <row r="2051" spans="1:11" x14ac:dyDescent="0.35">
      <c r="A2051" s="10" t="s">
        <v>1185</v>
      </c>
      <c r="B2051" s="255">
        <v>165</v>
      </c>
      <c r="C2051" s="10" t="s">
        <v>204</v>
      </c>
      <c r="D2051" s="10">
        <v>1</v>
      </c>
      <c r="E2051" s="10">
        <v>310</v>
      </c>
      <c r="F2051" s="10" t="s">
        <v>690</v>
      </c>
      <c r="G2051" s="10" t="s">
        <v>695</v>
      </c>
      <c r="H2051" s="10" t="str" cm="1">
        <f t="array" aca="1" ref="H2051" ca="1">IF(INDEX(I2051:Z2051,$H$1)=0,"",INDEX(I2051:Z2051,$H$1))</f>
        <v>Pump: Hydrocarbon Service (Driver: Recip Engine) (Fuel: Gaseous)</v>
      </c>
      <c r="I2051" s="17" t="s">
        <v>3410</v>
      </c>
      <c r="J2051" s="17" t="s">
        <v>3410</v>
      </c>
      <c r="K2051" s="17" t="s">
        <v>3410</v>
      </c>
    </row>
    <row r="2052" spans="1:11" x14ac:dyDescent="0.35">
      <c r="A2052" s="10" t="s">
        <v>1185</v>
      </c>
      <c r="B2052" s="255">
        <v>166</v>
      </c>
      <c r="C2052" s="10" t="s">
        <v>204</v>
      </c>
      <c r="D2052" s="10">
        <v>1</v>
      </c>
      <c r="E2052" s="10">
        <v>311</v>
      </c>
      <c r="F2052" s="10" t="s">
        <v>690</v>
      </c>
      <c r="G2052" s="10" t="s">
        <v>695</v>
      </c>
      <c r="H2052" s="10" t="str" cm="1">
        <f t="array" aca="1" ref="H2052" ca="1">IF(INDEX(I2052:Z2052,$H$1)=0,"",INDEX(I2052:Z2052,$H$1))</f>
        <v>Pump: Hydrocarbon Service (Driver: Recip Engine) (Fuel: Liquid)</v>
      </c>
      <c r="I2052" s="17" t="s">
        <v>3411</v>
      </c>
      <c r="J2052" s="17" t="s">
        <v>3411</v>
      </c>
      <c r="K2052" s="17" t="s">
        <v>3411</v>
      </c>
    </row>
    <row r="2053" spans="1:11" x14ac:dyDescent="0.35">
      <c r="A2053" s="10" t="s">
        <v>1185</v>
      </c>
      <c r="B2053" s="255">
        <v>167</v>
      </c>
      <c r="C2053" s="10" t="s">
        <v>204</v>
      </c>
      <c r="D2053" s="10">
        <v>1</v>
      </c>
      <c r="E2053" s="10">
        <v>312</v>
      </c>
      <c r="F2053" s="10" t="s">
        <v>690</v>
      </c>
      <c r="G2053" s="10" t="s">
        <v>695</v>
      </c>
      <c r="H2053" s="10" t="str" cm="1">
        <f t="array" aca="1" ref="H2053" ca="1">IF(INDEX(I2053:Z2053,$H$1)=0,"",INDEX(I2053:Z2053,$H$1))</f>
        <v>Pump: Non-Hydrocarbon Service (Driver: Recip Engine) (Fuel: Gaseous)</v>
      </c>
      <c r="I2053" s="17" t="s">
        <v>3408</v>
      </c>
      <c r="J2053" s="17" t="s">
        <v>3408</v>
      </c>
      <c r="K2053" s="17" t="s">
        <v>3408</v>
      </c>
    </row>
    <row r="2054" spans="1:11" x14ac:dyDescent="0.35">
      <c r="A2054" s="10" t="s">
        <v>1185</v>
      </c>
      <c r="B2054" s="255">
        <v>168</v>
      </c>
      <c r="C2054" s="10" t="s">
        <v>204</v>
      </c>
      <c r="D2054" s="10">
        <v>1</v>
      </c>
      <c r="E2054" s="10">
        <v>313</v>
      </c>
      <c r="F2054" s="10" t="s">
        <v>690</v>
      </c>
      <c r="G2054" s="10" t="s">
        <v>695</v>
      </c>
      <c r="H2054" s="10" t="str" cm="1">
        <f t="array" aca="1" ref="H2054" ca="1">IF(INDEX(I2054:Z2054,$H$1)=0,"",INDEX(I2054:Z2054,$H$1))</f>
        <v>Pump: Non-Hydrocarbon Service (Driver: Recip Engine) (Fuel: Gaseous)</v>
      </c>
      <c r="I2054" s="17" t="s">
        <v>3408</v>
      </c>
      <c r="J2054" s="17" t="s">
        <v>3408</v>
      </c>
      <c r="K2054" s="17" t="s">
        <v>3408</v>
      </c>
    </row>
    <row r="2055" spans="1:11" x14ac:dyDescent="0.35">
      <c r="A2055" s="10" t="s">
        <v>1185</v>
      </c>
      <c r="B2055" s="255">
        <v>169</v>
      </c>
      <c r="C2055" s="10" t="s">
        <v>204</v>
      </c>
      <c r="D2055" s="10">
        <v>1</v>
      </c>
      <c r="E2055" s="10">
        <v>314</v>
      </c>
      <c r="F2055" s="10" t="s">
        <v>690</v>
      </c>
      <c r="G2055" s="10" t="s">
        <v>695</v>
      </c>
      <c r="H2055" s="10" t="str" cm="1">
        <f t="array" aca="1" ref="H2055" ca="1">IF(INDEX(I2055:Z2055,$H$1)=0,"",INDEX(I2055:Z2055,$H$1))</f>
        <v>Refrigeration (Propane)</v>
      </c>
      <c r="I2055" s="17" t="s">
        <v>245</v>
      </c>
      <c r="J2055" s="17" t="s">
        <v>245</v>
      </c>
      <c r="K2055" s="17" t="s">
        <v>245</v>
      </c>
    </row>
    <row r="2056" spans="1:11" x14ac:dyDescent="0.35">
      <c r="A2056" s="10" t="s">
        <v>1185</v>
      </c>
      <c r="B2056" s="255">
        <v>170</v>
      </c>
      <c r="C2056" s="10" t="s">
        <v>204</v>
      </c>
      <c r="D2056" s="10">
        <v>1</v>
      </c>
      <c r="E2056" s="10">
        <v>315</v>
      </c>
      <c r="F2056" s="10" t="s">
        <v>690</v>
      </c>
      <c r="G2056" s="10" t="s">
        <v>695</v>
      </c>
      <c r="H2056" s="10" t="str" cm="1">
        <f t="array" aca="1" ref="H2056" ca="1">IF(INDEX(I2056:Z2056,$H$1)=0,"",INDEX(I2056:Z2056,$H$1))</f>
        <v>Separator: Filter Separator</v>
      </c>
      <c r="I2056" s="17" t="s">
        <v>2404</v>
      </c>
      <c r="J2056" s="17" t="s">
        <v>2404</v>
      </c>
      <c r="K2056" s="17" t="s">
        <v>2404</v>
      </c>
    </row>
    <row r="2057" spans="1:11" x14ac:dyDescent="0.35">
      <c r="A2057" s="10" t="s">
        <v>1185</v>
      </c>
      <c r="B2057" s="255">
        <v>171</v>
      </c>
      <c r="C2057" s="10" t="s">
        <v>204</v>
      </c>
      <c r="D2057" s="10">
        <v>1</v>
      </c>
      <c r="E2057" s="10">
        <v>316</v>
      </c>
      <c r="F2057" s="10" t="s">
        <v>690</v>
      </c>
      <c r="G2057" s="10" t="s">
        <v>695</v>
      </c>
      <c r="H2057" s="10" t="str" cm="1">
        <f t="array" aca="1" ref="H2057" ca="1">IF(INDEX(I2057:Z2057,$H$1)=0,"",INDEX(I2057:Z2057,$H$1))</f>
        <v>Separator: Horizontal (Phases: 2)</v>
      </c>
      <c r="I2057" s="17" t="s">
        <v>2405</v>
      </c>
      <c r="J2057" s="17" t="s">
        <v>2405</v>
      </c>
      <c r="K2057" s="17" t="s">
        <v>2405</v>
      </c>
    </row>
    <row r="2058" spans="1:11" x14ac:dyDescent="0.35">
      <c r="A2058" s="10" t="s">
        <v>1185</v>
      </c>
      <c r="B2058" s="255">
        <v>172</v>
      </c>
      <c r="C2058" s="10" t="s">
        <v>204</v>
      </c>
      <c r="D2058" s="10">
        <v>1</v>
      </c>
      <c r="E2058" s="10">
        <v>317</v>
      </c>
      <c r="F2058" s="10" t="s">
        <v>690</v>
      </c>
      <c r="G2058" s="10" t="s">
        <v>695</v>
      </c>
      <c r="H2058" s="10" t="str" cm="1">
        <f t="array" aca="1" ref="H2058" ca="1">IF(INDEX(I2058:Z2058,$H$1)=0,"",INDEX(I2058:Z2058,$H$1))</f>
        <v>Separator: Horizontal (Phases: 3)</v>
      </c>
      <c r="I2058" s="17" t="s">
        <v>2406</v>
      </c>
      <c r="J2058" s="17" t="s">
        <v>2406</v>
      </c>
      <c r="K2058" s="17" t="s">
        <v>2406</v>
      </c>
    </row>
    <row r="2059" spans="1:11" x14ac:dyDescent="0.35">
      <c r="A2059" s="10" t="s">
        <v>1185</v>
      </c>
      <c r="B2059" s="255">
        <v>173</v>
      </c>
      <c r="C2059" s="10" t="s">
        <v>204</v>
      </c>
      <c r="D2059" s="10">
        <v>1</v>
      </c>
      <c r="E2059" s="10">
        <v>318</v>
      </c>
      <c r="F2059" s="10" t="s">
        <v>690</v>
      </c>
      <c r="G2059" s="10" t="s">
        <v>695</v>
      </c>
      <c r="H2059" s="10" t="str" cm="1">
        <f t="array" aca="1" ref="H2059" ca="1">IF(INDEX(I2059:Z2059,$H$1)=0,"",INDEX(I2059:Z2059,$H$1))</f>
        <v>Separator: Vertical (Phases: 2)</v>
      </c>
      <c r="I2059" s="17" t="s">
        <v>2407</v>
      </c>
      <c r="J2059" s="17" t="s">
        <v>2407</v>
      </c>
      <c r="K2059" s="17" t="s">
        <v>2407</v>
      </c>
    </row>
    <row r="2060" spans="1:11" x14ac:dyDescent="0.35">
      <c r="A2060" s="10" t="s">
        <v>1185</v>
      </c>
      <c r="B2060" s="255">
        <v>174</v>
      </c>
      <c r="C2060" s="10" t="s">
        <v>204</v>
      </c>
      <c r="D2060" s="10">
        <v>1</v>
      </c>
      <c r="E2060" s="10">
        <v>319</v>
      </c>
      <c r="F2060" s="10" t="s">
        <v>690</v>
      </c>
      <c r="G2060" s="10" t="s">
        <v>695</v>
      </c>
      <c r="H2060" s="10" t="str" cm="1">
        <f t="array" aca="1" ref="H2060" ca="1">IF(INDEX(I2060:Z2060,$H$1)=0,"",INDEX(I2060:Z2060,$H$1))</f>
        <v>Separator: Vertical (Phases: 3)</v>
      </c>
      <c r="I2060" s="17" t="s">
        <v>2408</v>
      </c>
      <c r="J2060" s="17" t="s">
        <v>2408</v>
      </c>
      <c r="K2060" s="17" t="s">
        <v>2408</v>
      </c>
    </row>
    <row r="2061" spans="1:11" x14ac:dyDescent="0.35">
      <c r="A2061" s="10" t="s">
        <v>1185</v>
      </c>
      <c r="B2061" s="255">
        <v>175</v>
      </c>
      <c r="C2061" s="10" t="s">
        <v>204</v>
      </c>
      <c r="D2061" s="10">
        <v>1</v>
      </c>
      <c r="E2061" s="10">
        <v>320</v>
      </c>
      <c r="F2061" s="10" t="s">
        <v>690</v>
      </c>
      <c r="G2061" s="10" t="s">
        <v>695</v>
      </c>
      <c r="H2061" s="10" t="str" cm="1">
        <f t="array" aca="1" ref="H2061" ca="1">IF(INDEX(I2061:Z2061,$H$1)=0,"",INDEX(I2061:Z2061,$H$1))</f>
        <v>Stabilizer: with Reflux Loop</v>
      </c>
      <c r="I2061" s="17" t="s">
        <v>2409</v>
      </c>
      <c r="J2061" s="17" t="s">
        <v>2409</v>
      </c>
      <c r="K2061" s="17" t="s">
        <v>2409</v>
      </c>
    </row>
    <row r="2062" spans="1:11" x14ac:dyDescent="0.35">
      <c r="A2062" s="10" t="s">
        <v>1185</v>
      </c>
      <c r="B2062" s="255">
        <v>176</v>
      </c>
      <c r="C2062" s="10" t="s">
        <v>204</v>
      </c>
      <c r="D2062" s="10">
        <v>1</v>
      </c>
      <c r="E2062" s="10">
        <v>321</v>
      </c>
      <c r="F2062" s="10" t="s">
        <v>690</v>
      </c>
      <c r="G2062" s="10" t="s">
        <v>695</v>
      </c>
      <c r="H2062" s="10" t="str" cm="1">
        <f t="array" aca="1" ref="H2062" ca="1">IF(INDEX(I2062:Z2062,$H$1)=0,"",INDEX(I2062:Z2062,$H$1))</f>
        <v>Stabilizer: without Reflux Loop</v>
      </c>
      <c r="I2062" s="17" t="s">
        <v>2410</v>
      </c>
      <c r="J2062" s="17" t="s">
        <v>2410</v>
      </c>
      <c r="K2062" s="17" t="s">
        <v>2410</v>
      </c>
    </row>
    <row r="2063" spans="1:11" x14ac:dyDescent="0.35">
      <c r="A2063" s="10" t="s">
        <v>1185</v>
      </c>
      <c r="B2063" s="255">
        <v>177</v>
      </c>
      <c r="C2063" s="10" t="s">
        <v>204</v>
      </c>
      <c r="D2063" s="10">
        <v>1</v>
      </c>
      <c r="E2063" s="10">
        <v>322</v>
      </c>
      <c r="F2063" s="10" t="s">
        <v>690</v>
      </c>
      <c r="G2063" s="10" t="s">
        <v>695</v>
      </c>
      <c r="H2063" s="10" t="str" cm="1">
        <f t="array" aca="1" ref="H2063" ca="1">IF(INDEX(I2063:Z2063,$H$1)=0,"",INDEX(I2063:Z2063,$H$1))</f>
        <v>Storage Tank (Produced Oil, with Vapor Control)</v>
      </c>
      <c r="I2063" s="17" t="s">
        <v>365</v>
      </c>
      <c r="J2063" s="17" t="s">
        <v>365</v>
      </c>
      <c r="K2063" s="17" t="s">
        <v>365</v>
      </c>
    </row>
    <row r="2064" spans="1:11" x14ac:dyDescent="0.35">
      <c r="A2064" s="10" t="s">
        <v>1185</v>
      </c>
      <c r="B2064" s="255">
        <v>178</v>
      </c>
      <c r="C2064" s="10" t="s">
        <v>204</v>
      </c>
      <c r="D2064" s="10">
        <v>1</v>
      </c>
      <c r="E2064" s="10">
        <v>323</v>
      </c>
      <c r="F2064" s="10" t="s">
        <v>690</v>
      </c>
      <c r="G2064" s="10" t="s">
        <v>695</v>
      </c>
      <c r="H2064" s="10" t="str" cm="1">
        <f t="array" aca="1" ref="H2064" ca="1">IF(INDEX(I2064:Z2064,$H$1)=0,"",INDEX(I2064:Z2064,$H$1))</f>
        <v>Storage Tank (Produced Oil, without Vapor Control)</v>
      </c>
      <c r="I2064" s="17" t="s">
        <v>366</v>
      </c>
      <c r="J2064" s="17" t="s">
        <v>366</v>
      </c>
      <c r="K2064" s="17" t="s">
        <v>366</v>
      </c>
    </row>
    <row r="2065" spans="1:11" x14ac:dyDescent="0.35">
      <c r="A2065" s="10" t="s">
        <v>1185</v>
      </c>
      <c r="B2065" s="255">
        <v>179</v>
      </c>
      <c r="C2065" s="10" t="s">
        <v>204</v>
      </c>
      <c r="D2065" s="10">
        <v>1</v>
      </c>
      <c r="E2065" s="10">
        <v>324</v>
      </c>
      <c r="F2065" s="10" t="s">
        <v>690</v>
      </c>
      <c r="G2065" s="10" t="s">
        <v>695</v>
      </c>
      <c r="H2065" s="10" t="str" cm="1">
        <f t="array" aca="1" ref="H2065" ca="1">IF(INDEX(I2065:Z2065,$H$1)=0,"",INDEX(I2065:Z2065,$H$1))</f>
        <v>Storage Tank (Produced Water, with Vapor Control)</v>
      </c>
      <c r="I2065" s="17" t="s">
        <v>364</v>
      </c>
      <c r="J2065" s="17" t="s">
        <v>364</v>
      </c>
      <c r="K2065" s="17" t="s">
        <v>364</v>
      </c>
    </row>
    <row r="2066" spans="1:11" x14ac:dyDescent="0.35">
      <c r="A2066" s="10" t="s">
        <v>1185</v>
      </c>
      <c r="B2066" s="255">
        <v>180</v>
      </c>
      <c r="C2066" s="10" t="s">
        <v>204</v>
      </c>
      <c r="D2066" s="10">
        <v>1</v>
      </c>
      <c r="E2066" s="10">
        <v>325</v>
      </c>
      <c r="F2066" s="10" t="s">
        <v>690</v>
      </c>
      <c r="G2066" s="10" t="s">
        <v>695</v>
      </c>
      <c r="H2066" s="10" t="str" cm="1">
        <f t="array" aca="1" ref="H2066" ca="1">IF(INDEX(I2066:Z2066,$H$1)=0,"",INDEX(I2066:Z2066,$H$1))</f>
        <v>Storage Tank (Produced Water, without Vapor Control)</v>
      </c>
      <c r="I2066" s="17" t="s">
        <v>363</v>
      </c>
      <c r="J2066" s="17" t="s">
        <v>363</v>
      </c>
      <c r="K2066" s="17" t="s">
        <v>363</v>
      </c>
    </row>
    <row r="2067" spans="1:11" x14ac:dyDescent="0.35">
      <c r="A2067" s="10" t="s">
        <v>1185</v>
      </c>
      <c r="B2067" s="255">
        <v>181</v>
      </c>
      <c r="C2067" s="10" t="s">
        <v>204</v>
      </c>
      <c r="D2067" s="10">
        <v>1</v>
      </c>
      <c r="E2067" s="10">
        <v>326</v>
      </c>
      <c r="F2067" s="10" t="s">
        <v>690</v>
      </c>
      <c r="G2067" s="10" t="s">
        <v>695</v>
      </c>
      <c r="H2067" s="10" t="str" cm="1">
        <f t="array" aca="1" ref="H2067" ca="1">IF(INDEX(I2067:Z2067,$H$1)=0,"",INDEX(I2067:Z2067,$H$1))</f>
        <v>Storage Tank: Chemicals with Natural Gas Blanketing)</v>
      </c>
      <c r="I2067" s="17" t="s">
        <v>3412</v>
      </c>
      <c r="J2067" s="17" t="s">
        <v>3412</v>
      </c>
      <c r="K2067" s="17" t="s">
        <v>3412</v>
      </c>
    </row>
    <row r="2068" spans="1:11" x14ac:dyDescent="0.35">
      <c r="A2068" s="10" t="s">
        <v>1185</v>
      </c>
      <c r="B2068" s="255">
        <v>182</v>
      </c>
      <c r="C2068" s="10" t="s">
        <v>204</v>
      </c>
      <c r="D2068" s="10">
        <v>1</v>
      </c>
      <c r="E2068" s="10">
        <v>327</v>
      </c>
      <c r="F2068" s="10" t="s">
        <v>690</v>
      </c>
      <c r="G2068" s="10" t="s">
        <v>695</v>
      </c>
      <c r="H2068" s="10" t="str" cm="1">
        <f t="array" aca="1" ref="H2068" ca="1">IF(INDEX(I2068:Z2068,$H$1)=0,"",INDEX(I2068:Z2068,$H$1))</f>
        <v>Sulphur Recovery: Claus</v>
      </c>
      <c r="I2068" s="17" t="s">
        <v>2411</v>
      </c>
      <c r="J2068" s="17" t="s">
        <v>2411</v>
      </c>
      <c r="K2068" s="17" t="s">
        <v>2411</v>
      </c>
    </row>
    <row r="2069" spans="1:11" x14ac:dyDescent="0.35">
      <c r="A2069" s="10" t="s">
        <v>1185</v>
      </c>
      <c r="B2069" s="255">
        <v>183</v>
      </c>
      <c r="C2069" s="10" t="s">
        <v>204</v>
      </c>
      <c r="D2069" s="10">
        <v>1</v>
      </c>
      <c r="E2069" s="10">
        <v>328</v>
      </c>
      <c r="F2069" s="10" t="s">
        <v>690</v>
      </c>
      <c r="G2069" s="10" t="s">
        <v>695</v>
      </c>
      <c r="H2069" s="10" t="str" cm="1">
        <f t="array" aca="1" ref="H2069" ca="1">IF(INDEX(I2069:Z2069,$H$1)=0,"",INDEX(I2069:Z2069,$H$1))</f>
        <v>Sulphur Recovery: MCRC (Sub-dewpoint)</v>
      </c>
      <c r="I2069" s="17" t="s">
        <v>2412</v>
      </c>
      <c r="J2069" s="17" t="s">
        <v>2412</v>
      </c>
      <c r="K2069" s="17" t="s">
        <v>2412</v>
      </c>
    </row>
    <row r="2070" spans="1:11" x14ac:dyDescent="0.35">
      <c r="A2070" s="10" t="s">
        <v>1185</v>
      </c>
      <c r="B2070" s="255">
        <v>184</v>
      </c>
      <c r="C2070" s="10" t="s">
        <v>204</v>
      </c>
      <c r="D2070" s="10">
        <v>1</v>
      </c>
      <c r="E2070" s="10">
        <v>329</v>
      </c>
      <c r="F2070" s="10" t="s">
        <v>690</v>
      </c>
      <c r="G2070" s="10" t="s">
        <v>695</v>
      </c>
      <c r="H2070" s="10" t="str" cm="1">
        <f t="array" aca="1" ref="H2070" ca="1">IF(INDEX(I2070:Z2070,$H$1)=0,"",INDEX(I2070:Z2070,$H$1))</f>
        <v>Sweetening: (Physical Solvent)</v>
      </c>
      <c r="I2070" s="17" t="s">
        <v>2413</v>
      </c>
      <c r="J2070" s="17" t="s">
        <v>2413</v>
      </c>
      <c r="K2070" s="17" t="s">
        <v>2413</v>
      </c>
    </row>
    <row r="2071" spans="1:11" x14ac:dyDescent="0.35">
      <c r="A2071" s="10" t="s">
        <v>1185</v>
      </c>
      <c r="B2071" s="255">
        <v>185</v>
      </c>
      <c r="C2071" s="10" t="s">
        <v>204</v>
      </c>
      <c r="D2071" s="10">
        <v>1</v>
      </c>
      <c r="E2071" s="10">
        <v>330</v>
      </c>
      <c r="F2071" s="10" t="s">
        <v>690</v>
      </c>
      <c r="G2071" s="10" t="s">
        <v>695</v>
      </c>
      <c r="H2071" s="10" t="str" cm="1">
        <f t="array" aca="1" ref="H2071" ca="1">IF(INDEX(I2071:Z2071,$H$1)=0,"",INDEX(I2071:Z2071,$H$1))</f>
        <v>Sweetening: Chemsweet</v>
      </c>
      <c r="I2071" s="17" t="s">
        <v>2414</v>
      </c>
      <c r="J2071" s="17" t="s">
        <v>2414</v>
      </c>
      <c r="K2071" s="17" t="s">
        <v>2414</v>
      </c>
    </row>
    <row r="2072" spans="1:11" x14ac:dyDescent="0.35">
      <c r="A2072" s="10" t="s">
        <v>1185</v>
      </c>
      <c r="B2072" s="255">
        <v>186</v>
      </c>
      <c r="C2072" s="10" t="s">
        <v>204</v>
      </c>
      <c r="D2072" s="10">
        <v>1</v>
      </c>
      <c r="E2072" s="10">
        <v>331</v>
      </c>
      <c r="F2072" s="10" t="s">
        <v>690</v>
      </c>
      <c r="G2072" s="10" t="s">
        <v>695</v>
      </c>
      <c r="H2072" s="10" t="str" cm="1">
        <f t="array" aca="1" ref="H2072" ca="1">IF(INDEX(I2072:Z2072,$H$1)=0,"",INDEX(I2072:Z2072,$H$1))</f>
        <v>Sweetening: DEA (Diethanolamine)</v>
      </c>
      <c r="I2072" s="17" t="s">
        <v>2415</v>
      </c>
      <c r="J2072" s="17" t="s">
        <v>2415</v>
      </c>
      <c r="K2072" s="17" t="s">
        <v>2415</v>
      </c>
    </row>
    <row r="2073" spans="1:11" x14ac:dyDescent="0.35">
      <c r="A2073" s="10" t="s">
        <v>1185</v>
      </c>
      <c r="B2073" s="255">
        <v>187</v>
      </c>
      <c r="C2073" s="10" t="s">
        <v>204</v>
      </c>
      <c r="D2073" s="10">
        <v>1</v>
      </c>
      <c r="E2073" s="10">
        <v>332</v>
      </c>
      <c r="F2073" s="10" t="s">
        <v>690</v>
      </c>
      <c r="G2073" s="10" t="s">
        <v>695</v>
      </c>
      <c r="H2073" s="10" t="str" cm="1">
        <f t="array" aca="1" ref="H2073" ca="1">IF(INDEX(I2073:Z2073,$H$1)=0,"",INDEX(I2073:Z2073,$H$1))</f>
        <v>Sweetening: DGA (Diglycolamine)</v>
      </c>
      <c r="I2073" s="17" t="s">
        <v>2416</v>
      </c>
      <c r="J2073" s="17" t="s">
        <v>2416</v>
      </c>
      <c r="K2073" s="17" t="s">
        <v>2416</v>
      </c>
    </row>
    <row r="2074" spans="1:11" x14ac:dyDescent="0.35">
      <c r="A2074" s="10" t="s">
        <v>1185</v>
      </c>
      <c r="B2074" s="255">
        <v>188</v>
      </c>
      <c r="C2074" s="10" t="s">
        <v>204</v>
      </c>
      <c r="D2074" s="10">
        <v>1</v>
      </c>
      <c r="E2074" s="10">
        <v>333</v>
      </c>
      <c r="F2074" s="10" t="s">
        <v>690</v>
      </c>
      <c r="G2074" s="10" t="s">
        <v>695</v>
      </c>
      <c r="H2074" s="10" t="str" cm="1">
        <f t="array" aca="1" ref="H2074" ca="1">IF(INDEX(I2074:Z2074,$H$1)=0,"",INDEX(I2074:Z2074,$H$1))</f>
        <v>Sweetening: Generic</v>
      </c>
      <c r="I2074" s="17" t="s">
        <v>2417</v>
      </c>
      <c r="J2074" s="17" t="s">
        <v>2417</v>
      </c>
      <c r="K2074" s="17" t="s">
        <v>2417</v>
      </c>
    </row>
    <row r="2075" spans="1:11" x14ac:dyDescent="0.35">
      <c r="A2075" s="10" t="s">
        <v>1185</v>
      </c>
      <c r="B2075" s="255">
        <v>189</v>
      </c>
      <c r="C2075" s="10" t="s">
        <v>204</v>
      </c>
      <c r="D2075" s="10">
        <v>1</v>
      </c>
      <c r="E2075" s="10">
        <v>334</v>
      </c>
      <c r="F2075" s="10" t="s">
        <v>690</v>
      </c>
      <c r="G2075" s="10" t="s">
        <v>695</v>
      </c>
      <c r="H2075" s="10" t="str" cm="1">
        <f t="array" aca="1" ref="H2075" ca="1">IF(INDEX(I2075:Z2075,$H$1)=0,"",INDEX(I2075:Z2075,$H$1))</f>
        <v>Sweetening: Iron Sponge</v>
      </c>
      <c r="I2075" s="17" t="s">
        <v>2418</v>
      </c>
      <c r="J2075" s="17" t="s">
        <v>2418</v>
      </c>
      <c r="K2075" s="17" t="s">
        <v>2418</v>
      </c>
    </row>
    <row r="2076" spans="1:11" x14ac:dyDescent="0.35">
      <c r="A2076" s="10" t="s">
        <v>1185</v>
      </c>
      <c r="B2076" s="255">
        <v>190</v>
      </c>
      <c r="C2076" s="10" t="s">
        <v>204</v>
      </c>
      <c r="D2076" s="10">
        <v>1</v>
      </c>
      <c r="E2076" s="10">
        <v>335</v>
      </c>
      <c r="F2076" s="10" t="s">
        <v>690</v>
      </c>
      <c r="G2076" s="10" t="s">
        <v>695</v>
      </c>
      <c r="H2076" s="10" t="str" cm="1">
        <f t="array" aca="1" ref="H2076" ca="1">IF(INDEX(I2076:Z2076,$H$1)=0,"",INDEX(I2076:Z2076,$H$1))</f>
        <v>Sweetening: LoCat</v>
      </c>
      <c r="I2076" s="17" t="s">
        <v>2419</v>
      </c>
      <c r="J2076" s="17" t="s">
        <v>2419</v>
      </c>
      <c r="K2076" s="17" t="s">
        <v>2419</v>
      </c>
    </row>
    <row r="2077" spans="1:11" x14ac:dyDescent="0.35">
      <c r="A2077" s="10" t="s">
        <v>1185</v>
      </c>
      <c r="B2077" s="255">
        <v>191</v>
      </c>
      <c r="C2077" s="10" t="s">
        <v>204</v>
      </c>
      <c r="D2077" s="10">
        <v>1</v>
      </c>
      <c r="E2077" s="10">
        <v>336</v>
      </c>
      <c r="F2077" s="10" t="s">
        <v>690</v>
      </c>
      <c r="G2077" s="10" t="s">
        <v>695</v>
      </c>
      <c r="H2077" s="10" t="str" cm="1">
        <f t="array" aca="1" ref="H2077" ca="1">IF(INDEX(I2077:Z2077,$H$1)=0,"",INDEX(I2077:Z2077,$H$1))</f>
        <v>Sweetening: MDEA (Monodiethanolamine)</v>
      </c>
      <c r="I2077" s="17" t="s">
        <v>2420</v>
      </c>
      <c r="J2077" s="17" t="s">
        <v>2420</v>
      </c>
      <c r="K2077" s="17" t="s">
        <v>2420</v>
      </c>
    </row>
    <row r="2078" spans="1:11" x14ac:dyDescent="0.35">
      <c r="A2078" s="10" t="s">
        <v>1185</v>
      </c>
      <c r="B2078" s="255">
        <v>191</v>
      </c>
      <c r="C2078" s="10" t="s">
        <v>204</v>
      </c>
      <c r="D2078" s="10">
        <v>1</v>
      </c>
      <c r="E2078" s="10">
        <v>336</v>
      </c>
      <c r="F2078" s="10" t="s">
        <v>690</v>
      </c>
      <c r="G2078" s="10" t="s">
        <v>695</v>
      </c>
      <c r="H2078" s="10" t="str" cm="1">
        <f t="array" aca="1" ref="H2078" ca="1">IF(INDEX(I2078:Z2078,$H$1)=0,"",INDEX(I2078:Z2078,$H$1))</f>
        <v>Sweetening: MEA (Monoethanolamine)</v>
      </c>
      <c r="I2078" s="17" t="s">
        <v>2421</v>
      </c>
      <c r="J2078" s="17" t="s">
        <v>2421</v>
      </c>
      <c r="K2078" s="17" t="s">
        <v>2421</v>
      </c>
    </row>
    <row r="2079" spans="1:11" x14ac:dyDescent="0.35">
      <c r="A2079" s="10" t="s">
        <v>1185</v>
      </c>
      <c r="B2079" s="255">
        <v>191</v>
      </c>
      <c r="C2079" s="10" t="s">
        <v>204</v>
      </c>
      <c r="D2079" s="10">
        <v>1</v>
      </c>
      <c r="E2079" s="10">
        <v>336</v>
      </c>
      <c r="F2079" s="10" t="s">
        <v>690</v>
      </c>
      <c r="G2079" s="10" t="s">
        <v>695</v>
      </c>
      <c r="H2079" s="10" t="str" cm="1">
        <f t="array" aca="1" ref="H2079" ca="1">IF(INDEX(I2079:Z2079,$H$1)=0,"",INDEX(I2079:Z2079,$H$1))</f>
        <v>Sweetening: Selexol</v>
      </c>
      <c r="I2079" s="17" t="s">
        <v>2422</v>
      </c>
      <c r="J2079" s="17" t="s">
        <v>2422</v>
      </c>
      <c r="K2079" s="17" t="s">
        <v>2422</v>
      </c>
    </row>
    <row r="2080" spans="1:11" x14ac:dyDescent="0.35">
      <c r="A2080" s="10" t="s">
        <v>1185</v>
      </c>
      <c r="B2080" s="255">
        <v>192</v>
      </c>
      <c r="C2080" s="10" t="s">
        <v>204</v>
      </c>
      <c r="D2080" s="10">
        <v>1</v>
      </c>
      <c r="E2080" s="10">
        <v>337</v>
      </c>
      <c r="F2080" s="10" t="s">
        <v>690</v>
      </c>
      <c r="G2080" s="10" t="s">
        <v>695</v>
      </c>
      <c r="H2080" s="10" t="str" cm="1">
        <f t="array" aca="1" ref="H2080" ca="1">IF(INDEX(I2080:Z2080,$H$1)=0,"",INDEX(I2080:Z2080,$H$1))</f>
        <v>Sweetening: Sulfacheck</v>
      </c>
      <c r="I2080" s="17" t="s">
        <v>2423</v>
      </c>
      <c r="J2080" s="17" t="s">
        <v>2423</v>
      </c>
      <c r="K2080" s="17" t="s">
        <v>2423</v>
      </c>
    </row>
    <row r="2081" spans="1:11" x14ac:dyDescent="0.35">
      <c r="A2081" s="10" t="s">
        <v>1185</v>
      </c>
      <c r="B2081" s="255">
        <v>193</v>
      </c>
      <c r="C2081" s="10" t="s">
        <v>204</v>
      </c>
      <c r="D2081" s="10">
        <v>1</v>
      </c>
      <c r="E2081" s="10">
        <v>338</v>
      </c>
      <c r="F2081" s="10" t="s">
        <v>690</v>
      </c>
      <c r="G2081" s="10" t="s">
        <v>695</v>
      </c>
      <c r="H2081" s="10" t="str" cm="1">
        <f t="array" aca="1" ref="H2081" ca="1">IF(INDEX(I2081:Z2081,$H$1)=0,"",INDEX(I2081:Z2081,$H$1))</f>
        <v>Sweetening: Sulfinol</v>
      </c>
      <c r="I2081" s="17" t="s">
        <v>2424</v>
      </c>
      <c r="J2081" s="17" t="s">
        <v>2424</v>
      </c>
      <c r="K2081" s="17" t="s">
        <v>2424</v>
      </c>
    </row>
    <row r="2082" spans="1:11" x14ac:dyDescent="0.35">
      <c r="A2082" s="10" t="s">
        <v>1185</v>
      </c>
      <c r="B2082" s="255">
        <v>194</v>
      </c>
      <c r="C2082" s="10" t="s">
        <v>204</v>
      </c>
      <c r="D2082" s="10">
        <v>1</v>
      </c>
      <c r="E2082" s="10">
        <v>338</v>
      </c>
      <c r="F2082" s="10" t="s">
        <v>690</v>
      </c>
      <c r="G2082" s="10" t="s">
        <v>695</v>
      </c>
      <c r="H2082" s="10" t="str" cm="1">
        <f t="array" aca="1" ref="H2082" ca="1">IF(INDEX(I2082:Z2082,$H$1)=0,"",INDEX(I2082:Z2082,$H$1))</f>
        <v>Vapor Recovery Unit: Offshore</v>
      </c>
      <c r="I2082" s="17" t="s">
        <v>2425</v>
      </c>
      <c r="J2082" s="17" t="s">
        <v>2425</v>
      </c>
      <c r="K2082" s="17" t="s">
        <v>2425</v>
      </c>
    </row>
    <row r="2083" spans="1:11" x14ac:dyDescent="0.35">
      <c r="A2083" s="10" t="s">
        <v>1185</v>
      </c>
      <c r="B2083" s="255">
        <v>195</v>
      </c>
      <c r="C2083" s="10" t="s">
        <v>204</v>
      </c>
      <c r="D2083" s="10">
        <v>1</v>
      </c>
      <c r="E2083" s="10">
        <v>339</v>
      </c>
      <c r="F2083" s="10" t="s">
        <v>690</v>
      </c>
      <c r="G2083" s="10" t="s">
        <v>695</v>
      </c>
      <c r="H2083" s="10" t="str" cm="1">
        <f t="array" aca="1" ref="H2083" ca="1">IF(INDEX(I2083:Z2083,$H$1)=0,"",INDEX(I2083:Z2083,$H$1))</f>
        <v>Vapor Recovery Unit: Onshore</v>
      </c>
      <c r="I2083" s="17" t="s">
        <v>2426</v>
      </c>
      <c r="J2083" s="17" t="s">
        <v>2426</v>
      </c>
      <c r="K2083" s="17" t="s">
        <v>2426</v>
      </c>
    </row>
    <row r="2084" spans="1:11" x14ac:dyDescent="0.35">
      <c r="A2084" s="10" t="s">
        <v>1185</v>
      </c>
      <c r="B2084" s="255">
        <v>196</v>
      </c>
      <c r="C2084" s="10" t="s">
        <v>204</v>
      </c>
      <c r="D2084" s="10">
        <v>1</v>
      </c>
      <c r="E2084" s="10">
        <v>340</v>
      </c>
      <c r="F2084" s="10" t="s">
        <v>690</v>
      </c>
      <c r="G2084" s="10" t="s">
        <v>695</v>
      </c>
      <c r="H2084" s="10" t="str" cm="1">
        <f t="array" aca="1" ref="H2084" ca="1">IF(INDEX(I2084:Z2084,$H$1)=0,"",INDEX(I2084:Z2084,$H$1))</f>
        <v>Well: Conventional Oil</v>
      </c>
      <c r="I2084" s="17" t="s">
        <v>2427</v>
      </c>
      <c r="J2084" s="17" t="s">
        <v>2427</v>
      </c>
      <c r="K2084" s="17" t="s">
        <v>2427</v>
      </c>
    </row>
    <row r="2085" spans="1:11" x14ac:dyDescent="0.35">
      <c r="A2085" s="10" t="s">
        <v>1185</v>
      </c>
      <c r="B2085" s="255">
        <v>196</v>
      </c>
      <c r="C2085" s="10" t="s">
        <v>204</v>
      </c>
      <c r="D2085" s="10">
        <v>1</v>
      </c>
      <c r="E2085" s="10">
        <v>340</v>
      </c>
      <c r="F2085" s="10" t="s">
        <v>690</v>
      </c>
      <c r="G2085" s="10" t="s">
        <v>695</v>
      </c>
      <c r="H2085" s="10" t="str" cm="1">
        <f t="array" aca="1" ref="H2085" ca="1">IF(INDEX(I2085:Z2085,$H$1)=0,"",INDEX(I2085:Z2085,$H$1))</f>
        <v>Well: Conventional Oil (Gas Lift)</v>
      </c>
      <c r="I2085" s="17" t="s">
        <v>3427</v>
      </c>
      <c r="J2085" s="17" t="s">
        <v>3427</v>
      </c>
      <c r="K2085" s="17" t="s">
        <v>3427</v>
      </c>
    </row>
    <row r="2086" spans="1:11" x14ac:dyDescent="0.35">
      <c r="A2086" s="10" t="s">
        <v>1185</v>
      </c>
      <c r="B2086" s="255">
        <v>197</v>
      </c>
      <c r="C2086" s="10" t="s">
        <v>204</v>
      </c>
      <c r="D2086" s="10">
        <v>1</v>
      </c>
      <c r="E2086" s="10">
        <v>341</v>
      </c>
      <c r="F2086" s="10" t="s">
        <v>690</v>
      </c>
      <c r="G2086" s="10" t="s">
        <v>695</v>
      </c>
      <c r="H2086" s="10" t="str" cm="1">
        <f t="array" aca="1" ref="H2086" ca="1">IF(INDEX(I2086:Z2086,$H$1)=0,"",INDEX(I2086:Z2086,$H$1))</f>
        <v>Well: Gas</v>
      </c>
      <c r="I2086" s="17" t="s">
        <v>2428</v>
      </c>
      <c r="J2086" s="17" t="s">
        <v>2428</v>
      </c>
      <c r="K2086" s="17" t="s">
        <v>2428</v>
      </c>
    </row>
    <row r="2087" spans="1:11" x14ac:dyDescent="0.35">
      <c r="A2087" s="10" t="s">
        <v>1185</v>
      </c>
      <c r="B2087" s="255">
        <v>198</v>
      </c>
      <c r="C2087" s="10" t="s">
        <v>204</v>
      </c>
      <c r="D2087" s="10">
        <v>1</v>
      </c>
      <c r="E2087" s="10">
        <v>342</v>
      </c>
      <c r="F2087" s="10" t="s">
        <v>690</v>
      </c>
      <c r="G2087" s="10" t="s">
        <v>695</v>
      </c>
      <c r="H2087" s="10" t="str" cm="1">
        <f t="array" aca="1" ref="H2087" ca="1">IF(INDEX(I2087:Z2087,$H$1)=0,"",INDEX(I2087:Z2087,$H$1))</f>
        <v>Well: Gas (Low-Pressure)</v>
      </c>
      <c r="I2087" s="17" t="s">
        <v>3395</v>
      </c>
      <c r="J2087" s="17" t="s">
        <v>3395</v>
      </c>
      <c r="K2087" s="17" t="s">
        <v>3395</v>
      </c>
    </row>
    <row r="2088" spans="1:11" x14ac:dyDescent="0.35">
      <c r="A2088" s="10" t="s">
        <v>1185</v>
      </c>
      <c r="B2088" s="255">
        <v>199</v>
      </c>
      <c r="C2088" s="10" t="s">
        <v>204</v>
      </c>
      <c r="D2088" s="10">
        <v>1</v>
      </c>
      <c r="E2088" s="10">
        <v>343</v>
      </c>
      <c r="F2088" s="10" t="s">
        <v>690</v>
      </c>
      <c r="G2088" s="10" t="s">
        <v>695</v>
      </c>
      <c r="H2088" s="10" t="str" cm="1">
        <f t="array" aca="1" ref="H2088" ca="1">IF(INDEX(I2088:Z2088,$H$1)=0,"",INDEX(I2088:Z2088,$H$1))</f>
        <v>Well: Heavy Oil</v>
      </c>
      <c r="I2088" s="17" t="s">
        <v>2429</v>
      </c>
      <c r="J2088" s="17" t="s">
        <v>2429</v>
      </c>
      <c r="K2088" s="17" t="s">
        <v>2429</v>
      </c>
    </row>
    <row r="2089" spans="1:11" x14ac:dyDescent="0.35">
      <c r="A2089" s="10" t="s">
        <v>1185</v>
      </c>
      <c r="B2089" s="255">
        <v>201</v>
      </c>
      <c r="C2089" s="10" t="s">
        <v>204</v>
      </c>
      <c r="D2089" s="10">
        <v>1</v>
      </c>
      <c r="E2089" s="10">
        <v>345</v>
      </c>
      <c r="F2089" s="10" t="s">
        <v>690</v>
      </c>
      <c r="G2089" s="10" t="s">
        <v>695</v>
      </c>
      <c r="H2089" s="10" t="str" cm="1">
        <f t="array" aca="1" ref="H2089" ca="1">IF(INDEX(I2089:Z2089,$H$1)=0,"",INDEX(I2089:Z2089,$H$1))</f>
        <v>Blowdown System: Generic (Pit or Vent)</v>
      </c>
      <c r="I2089" s="17" t="s">
        <v>2374</v>
      </c>
      <c r="J2089" s="17" t="s">
        <v>2374</v>
      </c>
      <c r="K2089" s="17" t="s">
        <v>2374</v>
      </c>
    </row>
    <row r="2090" spans="1:11" x14ac:dyDescent="0.35">
      <c r="A2090" s="10" t="s">
        <v>1185</v>
      </c>
      <c r="B2090" s="255">
        <v>202</v>
      </c>
      <c r="C2090" s="10" t="s">
        <v>204</v>
      </c>
      <c r="D2090" s="10">
        <v>1</v>
      </c>
      <c r="E2090" s="10">
        <v>346</v>
      </c>
      <c r="F2090" s="10" t="s">
        <v>690</v>
      </c>
      <c r="G2090" s="10" t="s">
        <v>695</v>
      </c>
      <c r="H2090" s="10" t="str" cm="1">
        <f t="array" aca="1" ref="H2090" ca="1">IF(INDEX(I2090:Z2090,$H$1)=0,"",INDEX(I2090:Z2090,$H$1))</f>
        <v>Aerial Cooler: Natural Gas Service</v>
      </c>
      <c r="I2090" s="17" t="s">
        <v>3396</v>
      </c>
      <c r="J2090" s="17" t="s">
        <v>3396</v>
      </c>
      <c r="K2090" s="17" t="s">
        <v>3396</v>
      </c>
    </row>
    <row r="2091" spans="1:11" x14ac:dyDescent="0.35">
      <c r="A2091" s="10" t="s">
        <v>1185</v>
      </c>
      <c r="B2091" s="255">
        <v>203</v>
      </c>
      <c r="C2091" s="10" t="s">
        <v>204</v>
      </c>
      <c r="D2091" s="10">
        <v>1</v>
      </c>
      <c r="E2091" s="10">
        <v>347</v>
      </c>
      <c r="F2091" s="10" t="s">
        <v>690</v>
      </c>
      <c r="G2091" s="10" t="s">
        <v>695</v>
      </c>
      <c r="H2091" s="10" t="str" cm="1">
        <f t="array" aca="1" ref="H2091" ca="1">IF(INDEX(I2091:Z2091,$H$1)=0,"",INDEX(I2091:Z2091,$H$1))</f>
        <v>Aerial Cooler: Hydrocarbon Liquid Service</v>
      </c>
      <c r="I2091" s="17" t="s">
        <v>3403</v>
      </c>
      <c r="J2091" s="17" t="s">
        <v>3403</v>
      </c>
      <c r="K2091" s="17" t="s">
        <v>3403</v>
      </c>
    </row>
    <row r="2092" spans="1:11" x14ac:dyDescent="0.35">
      <c r="A2092" s="10" t="s">
        <v>1185</v>
      </c>
      <c r="B2092" s="255">
        <v>204</v>
      </c>
      <c r="C2092" s="10" t="s">
        <v>204</v>
      </c>
      <c r="D2092" s="10">
        <v>1</v>
      </c>
      <c r="E2092" s="10">
        <v>348</v>
      </c>
      <c r="F2092" s="10" t="s">
        <v>690</v>
      </c>
      <c r="G2092" s="10" t="s">
        <v>695</v>
      </c>
      <c r="H2092" s="10" t="str" cm="1">
        <f t="array" aca="1" ref="H2092" ca="1">IF(INDEX(I2092:Z2092,$H$1)=0,"",INDEX(I2092:Z2092,$H$1))</f>
        <v>Chemical Injection Pump: Pneumatic (Diaphragm Type)</v>
      </c>
      <c r="I2092" s="17" t="s">
        <v>2375</v>
      </c>
      <c r="J2092" s="17" t="s">
        <v>2375</v>
      </c>
      <c r="K2092" s="17" t="s">
        <v>2375</v>
      </c>
    </row>
    <row r="2093" spans="1:11" x14ac:dyDescent="0.35">
      <c r="A2093" s="10" t="s">
        <v>1185</v>
      </c>
      <c r="B2093" s="255">
        <v>205</v>
      </c>
      <c r="C2093" s="10" t="s">
        <v>204</v>
      </c>
      <c r="D2093" s="10">
        <v>1</v>
      </c>
      <c r="E2093" s="10">
        <v>349</v>
      </c>
      <c r="F2093" s="10" t="s">
        <v>690</v>
      </c>
      <c r="G2093" s="10" t="s">
        <v>695</v>
      </c>
      <c r="H2093" s="10" t="str" cm="1">
        <f t="array" aca="1" ref="H2093" ca="1">IF(INDEX(I2093:Z2093,$H$1)=0,"",INDEX(I2093:Z2093,$H$1))</f>
        <v>Chemical Injection Pump: Pneumatic (Piston Type)</v>
      </c>
      <c r="I2093" s="17" t="s">
        <v>2376</v>
      </c>
      <c r="J2093" s="17" t="s">
        <v>2376</v>
      </c>
      <c r="K2093" s="17" t="s">
        <v>2376</v>
      </c>
    </row>
    <row r="2094" spans="1:11" x14ac:dyDescent="0.35">
      <c r="A2094" s="10" t="s">
        <v>1185</v>
      </c>
      <c r="B2094" s="255">
        <v>206</v>
      </c>
      <c r="C2094" s="10" t="s">
        <v>204</v>
      </c>
      <c r="D2094" s="10">
        <v>1</v>
      </c>
      <c r="E2094" s="10">
        <v>350</v>
      </c>
      <c r="F2094" s="10" t="s">
        <v>690</v>
      </c>
      <c r="G2094" s="10" t="s">
        <v>695</v>
      </c>
      <c r="H2094" s="10" t="str" cm="1">
        <f t="array" aca="1" ref="H2094" ca="1">IF(INDEX(I2094:Z2094,$H$1)=0,"",INDEX(I2094:Z2094,$H$1))</f>
        <v>Chemical Injection Pump: Pneumatic (Unknown Type)</v>
      </c>
      <c r="I2094" s="17" t="s">
        <v>2377</v>
      </c>
      <c r="J2094" s="17" t="s">
        <v>2377</v>
      </c>
      <c r="K2094" s="17" t="s">
        <v>2377</v>
      </c>
    </row>
    <row r="2095" spans="1:11" x14ac:dyDescent="0.35">
      <c r="A2095" s="10" t="s">
        <v>1185</v>
      </c>
      <c r="B2095" s="255">
        <v>207</v>
      </c>
      <c r="C2095" s="10" t="s">
        <v>204</v>
      </c>
      <c r="D2095" s="10">
        <v>1</v>
      </c>
      <c r="E2095" s="10">
        <v>351</v>
      </c>
      <c r="F2095" s="10" t="s">
        <v>690</v>
      </c>
      <c r="G2095" s="10" t="s">
        <v>695</v>
      </c>
      <c r="H2095" s="10" t="str" cm="1">
        <f t="array" aca="1" ref="H2095" ca="1">IF(INDEX(I2095:Z2095,$H$1)=0,"",INDEX(I2095:Z2095,$H$1))</f>
        <v>Compressor: Centrifugal: (Stages: 1) (Seals: Wet) (Driver: Electric Motor)</v>
      </c>
      <c r="I2095" s="17" t="s">
        <v>3219</v>
      </c>
      <c r="J2095" s="17" t="s">
        <v>3219</v>
      </c>
      <c r="K2095" s="17" t="s">
        <v>3219</v>
      </c>
    </row>
    <row r="2096" spans="1:11" x14ac:dyDescent="0.35">
      <c r="A2096" s="10" t="s">
        <v>1185</v>
      </c>
      <c r="B2096" s="255">
        <v>208</v>
      </c>
      <c r="C2096" s="10" t="s">
        <v>204</v>
      </c>
      <c r="D2096" s="10">
        <v>1</v>
      </c>
      <c r="E2096" s="10">
        <v>352</v>
      </c>
      <c r="F2096" s="10" t="s">
        <v>690</v>
      </c>
      <c r="G2096" s="10" t="s">
        <v>695</v>
      </c>
      <c r="H2096" s="10" t="str" cm="1">
        <f t="array" aca="1" ref="H2096" ca="1">IF(INDEX(I2096:Z2096,$H$1)=0,"",INDEX(I2096:Z2096,$H$1))</f>
        <v>Compressor: Centrifugal: (Stages: 1) (Seals: Wet) (Driver: Gas Turbine)</v>
      </c>
      <c r="I2096" s="17" t="s">
        <v>3220</v>
      </c>
      <c r="J2096" s="17" t="s">
        <v>3220</v>
      </c>
      <c r="K2096" s="17" t="s">
        <v>3220</v>
      </c>
    </row>
    <row r="2097" spans="1:11" x14ac:dyDescent="0.35">
      <c r="A2097" s="10" t="s">
        <v>1185</v>
      </c>
      <c r="B2097" s="255">
        <v>209</v>
      </c>
      <c r="C2097" s="10" t="s">
        <v>204</v>
      </c>
      <c r="D2097" s="10">
        <v>1</v>
      </c>
      <c r="E2097" s="10">
        <v>353</v>
      </c>
      <c r="F2097" s="10" t="s">
        <v>690</v>
      </c>
      <c r="G2097" s="10" t="s">
        <v>695</v>
      </c>
      <c r="H2097" s="10" t="str" cm="1">
        <f t="array" aca="1" ref="H2097" ca="1">IF(INDEX(I2097:Z2097,$H$1)=0,"",INDEX(I2097:Z2097,$H$1))</f>
        <v>Compressor: Centrifugal: (Stages: 2) (Seals: Wet) (Driver: Electric Motor)</v>
      </c>
      <c r="I2097" s="17" t="s">
        <v>3221</v>
      </c>
      <c r="J2097" s="17" t="s">
        <v>3221</v>
      </c>
      <c r="K2097" s="17" t="s">
        <v>3221</v>
      </c>
    </row>
    <row r="2098" spans="1:11" x14ac:dyDescent="0.35">
      <c r="A2098" s="10" t="s">
        <v>1185</v>
      </c>
      <c r="B2098" s="255">
        <v>210</v>
      </c>
      <c r="C2098" s="10" t="s">
        <v>204</v>
      </c>
      <c r="D2098" s="10">
        <v>1</v>
      </c>
      <c r="E2098" s="10">
        <v>354</v>
      </c>
      <c r="F2098" s="10" t="s">
        <v>690</v>
      </c>
      <c r="G2098" s="10" t="s">
        <v>695</v>
      </c>
      <c r="H2098" s="10" t="str" cm="1">
        <f t="array" aca="1" ref="H2098" ca="1">IF(INDEX(I2098:Z2098,$H$1)=0,"",INDEX(I2098:Z2098,$H$1))</f>
        <v>Compressor: Centrifugal: (Stages: 2) (Seals: Wet) (Driver: Gas Turbine)</v>
      </c>
      <c r="I2098" s="17" t="s">
        <v>3222</v>
      </c>
      <c r="J2098" s="17" t="s">
        <v>3222</v>
      </c>
      <c r="K2098" s="17" t="s">
        <v>3222</v>
      </c>
    </row>
    <row r="2099" spans="1:11" x14ac:dyDescent="0.35">
      <c r="A2099" s="10" t="s">
        <v>1185</v>
      </c>
      <c r="B2099" s="255">
        <v>211</v>
      </c>
      <c r="C2099" s="10" t="s">
        <v>204</v>
      </c>
      <c r="D2099" s="10">
        <v>1</v>
      </c>
      <c r="E2099" s="10">
        <v>355</v>
      </c>
      <c r="F2099" s="10" t="s">
        <v>690</v>
      </c>
      <c r="G2099" s="10" t="s">
        <v>695</v>
      </c>
      <c r="H2099" s="10" t="str" cm="1">
        <f t="array" aca="1" ref="H2099" ca="1">IF(INDEX(I2099:Z2099,$H$1)=0,"",INDEX(I2099:Z2099,$H$1))</f>
        <v>Compressor: Centrifugal: (Stages: 1) (Seals: Dry) (Driver: Electric Motor)</v>
      </c>
      <c r="I2099" s="17" t="s">
        <v>3223</v>
      </c>
      <c r="J2099" s="17" t="s">
        <v>3223</v>
      </c>
      <c r="K2099" s="17" t="s">
        <v>3223</v>
      </c>
    </row>
    <row r="2100" spans="1:11" x14ac:dyDescent="0.35">
      <c r="A2100" s="10" t="s">
        <v>1185</v>
      </c>
      <c r="B2100" s="255">
        <v>212</v>
      </c>
      <c r="C2100" s="10" t="s">
        <v>204</v>
      </c>
      <c r="D2100" s="10">
        <v>1</v>
      </c>
      <c r="E2100" s="10">
        <v>356</v>
      </c>
      <c r="F2100" s="10" t="s">
        <v>690</v>
      </c>
      <c r="G2100" s="10" t="s">
        <v>695</v>
      </c>
      <c r="H2100" s="10" t="str" cm="1">
        <f t="array" aca="1" ref="H2100" ca="1">IF(INDEX(I2100:Z2100,$H$1)=0,"",INDEX(I2100:Z2100,$H$1))</f>
        <v>Compressor: Centrifugal: (Stages: 1) (Seals: Dry) (Driver: Gas Turbine)</v>
      </c>
      <c r="I2100" s="17" t="s">
        <v>3224</v>
      </c>
      <c r="J2100" s="17" t="s">
        <v>3224</v>
      </c>
      <c r="K2100" s="17" t="s">
        <v>3224</v>
      </c>
    </row>
    <row r="2101" spans="1:11" x14ac:dyDescent="0.35">
      <c r="A2101" s="10" t="s">
        <v>1185</v>
      </c>
      <c r="B2101" s="255">
        <v>213</v>
      </c>
      <c r="C2101" s="10" t="s">
        <v>204</v>
      </c>
      <c r="D2101" s="10">
        <v>1</v>
      </c>
      <c r="E2101" s="10">
        <v>357</v>
      </c>
      <c r="F2101" s="10" t="s">
        <v>690</v>
      </c>
      <c r="G2101" s="10" t="s">
        <v>695</v>
      </c>
      <c r="H2101" s="10" t="str" cm="1">
        <f t="array" aca="1" ref="H2101" ca="1">IF(INDEX(I2101:Z2101,$H$1)=0,"",INDEX(I2101:Z2101,$H$1))</f>
        <v>Compressor: Centrifugal: (Stages: 2) (Seals: Dry) (Driver: Electric Motor)</v>
      </c>
      <c r="I2101" s="17" t="s">
        <v>3225</v>
      </c>
      <c r="J2101" s="17" t="s">
        <v>3225</v>
      </c>
      <c r="K2101" s="17" t="s">
        <v>3225</v>
      </c>
    </row>
    <row r="2102" spans="1:11" x14ac:dyDescent="0.35">
      <c r="A2102" s="10" t="s">
        <v>1185</v>
      </c>
      <c r="B2102" s="255">
        <v>214</v>
      </c>
      <c r="C2102" s="10" t="s">
        <v>204</v>
      </c>
      <c r="D2102" s="10">
        <v>1</v>
      </c>
      <c r="E2102" s="10">
        <v>358</v>
      </c>
      <c r="F2102" s="10" t="s">
        <v>690</v>
      </c>
      <c r="G2102" s="10" t="s">
        <v>695</v>
      </c>
      <c r="H2102" s="10" t="str" cm="1">
        <f t="array" aca="1" ref="H2102" ca="1">IF(INDEX(I2102:Z2102,$H$1)=0,"",INDEX(I2102:Z2102,$H$1))</f>
        <v>Compressor: Centrifugal: (Stages: 2) (Seals: Dry) (Driver: Gas Turbine)</v>
      </c>
      <c r="I2102" s="17" t="s">
        <v>3226</v>
      </c>
      <c r="J2102" s="17" t="s">
        <v>3226</v>
      </c>
      <c r="K2102" s="17" t="s">
        <v>3226</v>
      </c>
    </row>
    <row r="2103" spans="1:11" x14ac:dyDescent="0.35">
      <c r="A2103" s="10" t="s">
        <v>1185</v>
      </c>
      <c r="B2103" s="255">
        <v>215</v>
      </c>
      <c r="C2103" s="10" t="s">
        <v>204</v>
      </c>
      <c r="D2103" s="10">
        <v>1</v>
      </c>
      <c r="E2103" s="10">
        <v>359</v>
      </c>
      <c r="F2103" s="10" t="s">
        <v>690</v>
      </c>
      <c r="G2103" s="10" t="s">
        <v>695</v>
      </c>
      <c r="H2103" s="10" t="str" cm="1">
        <f t="array" aca="1" ref="H2103" ca="1">IF(INDEX(I2103:Z2103,$H$1)=0,"",INDEX(I2103:Z2103,$H$1))</f>
        <v>Compressor: Reciprocating: (Stages: 1) (Driver: Electric Motor)</v>
      </c>
      <c r="I2103" s="17" t="s">
        <v>2378</v>
      </c>
      <c r="J2103" s="17" t="s">
        <v>2378</v>
      </c>
      <c r="K2103" s="17" t="s">
        <v>2378</v>
      </c>
    </row>
    <row r="2104" spans="1:11" x14ac:dyDescent="0.35">
      <c r="A2104" s="10" t="s">
        <v>1185</v>
      </c>
      <c r="B2104" s="255">
        <v>216</v>
      </c>
      <c r="C2104" s="10" t="s">
        <v>204</v>
      </c>
      <c r="D2104" s="10">
        <v>1</v>
      </c>
      <c r="E2104" s="10">
        <v>360</v>
      </c>
      <c r="F2104" s="10" t="s">
        <v>690</v>
      </c>
      <c r="G2104" s="10" t="s">
        <v>695</v>
      </c>
      <c r="H2104" s="10" t="str" cm="1">
        <f t="array" aca="1" ref="H2104" ca="1">IF(INDEX(I2104:Z2104,$H$1)=0,"",INDEX(I2104:Z2104,$H$1))</f>
        <v>Compressor: Reciprocating: (Stages: 1) (Driver: Recip Engine)</v>
      </c>
      <c r="I2104" s="17" t="s">
        <v>2379</v>
      </c>
      <c r="J2104" s="17" t="s">
        <v>2379</v>
      </c>
      <c r="K2104" s="17" t="s">
        <v>2379</v>
      </c>
    </row>
    <row r="2105" spans="1:11" x14ac:dyDescent="0.35">
      <c r="A2105" s="10" t="s">
        <v>1185</v>
      </c>
      <c r="B2105" s="255">
        <v>217</v>
      </c>
      <c r="C2105" s="10" t="s">
        <v>204</v>
      </c>
      <c r="D2105" s="10">
        <v>1</v>
      </c>
      <c r="E2105" s="10">
        <v>361</v>
      </c>
      <c r="F2105" s="10" t="s">
        <v>690</v>
      </c>
      <c r="G2105" s="10" t="s">
        <v>695</v>
      </c>
      <c r="H2105" s="10" t="str" cm="1">
        <f t="array" aca="1" ref="H2105" ca="1">IF(INDEX(I2105:Z2105,$H$1)=0,"",INDEX(I2105:Z2105,$H$1))</f>
        <v>Compressor: Reciprocating: (Stages: 2) (Driver: Electric Motor)</v>
      </c>
      <c r="I2105" s="17" t="s">
        <v>2380</v>
      </c>
      <c r="J2105" s="17" t="s">
        <v>2380</v>
      </c>
      <c r="K2105" s="17" t="s">
        <v>2380</v>
      </c>
    </row>
    <row r="2106" spans="1:11" x14ac:dyDescent="0.35">
      <c r="A2106" s="10" t="s">
        <v>1185</v>
      </c>
      <c r="B2106" s="255">
        <v>218</v>
      </c>
      <c r="C2106" s="10" t="s">
        <v>204</v>
      </c>
      <c r="D2106" s="10">
        <v>1</v>
      </c>
      <c r="E2106" s="10">
        <v>362</v>
      </c>
      <c r="F2106" s="10" t="s">
        <v>690</v>
      </c>
      <c r="G2106" s="10" t="s">
        <v>695</v>
      </c>
      <c r="H2106" s="10" t="str" cm="1">
        <f t="array" aca="1" ref="H2106" ca="1">IF(INDEX(I2106:Z2106,$H$1)=0,"",INDEX(I2106:Z2106,$H$1))</f>
        <v>Compressor: Reciprocating: (Stages: 2) (Driver: Recip Engine)</v>
      </c>
      <c r="I2106" s="17" t="s">
        <v>2381</v>
      </c>
      <c r="J2106" s="17" t="s">
        <v>2381</v>
      </c>
      <c r="K2106" s="17" t="s">
        <v>2381</v>
      </c>
    </row>
    <row r="2107" spans="1:11" x14ac:dyDescent="0.35">
      <c r="A2107" s="10" t="s">
        <v>1185</v>
      </c>
      <c r="B2107" s="255">
        <v>219</v>
      </c>
      <c r="C2107" s="10" t="s">
        <v>204</v>
      </c>
      <c r="D2107" s="10">
        <v>1</v>
      </c>
      <c r="E2107" s="10">
        <v>363</v>
      </c>
      <c r="F2107" s="10" t="s">
        <v>690</v>
      </c>
      <c r="G2107" s="10" t="s">
        <v>695</v>
      </c>
      <c r="H2107" s="10" t="str" cm="1">
        <f t="array" aca="1" ref="H2107" ca="1">IF(INDEX(I2107:Z2107,$H$1)=0,"",INDEX(I2107:Z2107,$H$1))</f>
        <v>Compressor: Reciprocating: (Stages: 3) (Driver: Electric Motor)</v>
      </c>
      <c r="I2107" s="17" t="s">
        <v>2382</v>
      </c>
      <c r="J2107" s="17" t="s">
        <v>2382</v>
      </c>
      <c r="K2107" s="17" t="s">
        <v>2382</v>
      </c>
    </row>
    <row r="2108" spans="1:11" x14ac:dyDescent="0.35">
      <c r="A2108" s="10" t="s">
        <v>1185</v>
      </c>
      <c r="B2108" s="255">
        <v>220</v>
      </c>
      <c r="C2108" s="10" t="s">
        <v>204</v>
      </c>
      <c r="D2108" s="10">
        <v>1</v>
      </c>
      <c r="E2108" s="10">
        <v>364</v>
      </c>
      <c r="F2108" s="10" t="s">
        <v>690</v>
      </c>
      <c r="G2108" s="10" t="s">
        <v>695</v>
      </c>
      <c r="H2108" s="10" t="str" cm="1">
        <f t="array" aca="1" ref="H2108" ca="1">IF(INDEX(I2108:Z2108,$H$1)=0,"",INDEX(I2108:Z2108,$H$1))</f>
        <v>Compressor: Reciprocating: (Stages: 3) (Driver: Recip Engine)</v>
      </c>
      <c r="I2108" s="17" t="s">
        <v>2383</v>
      </c>
      <c r="J2108" s="17" t="s">
        <v>2383</v>
      </c>
      <c r="K2108" s="17" t="s">
        <v>2383</v>
      </c>
    </row>
    <row r="2109" spans="1:11" x14ac:dyDescent="0.35">
      <c r="A2109" s="10" t="s">
        <v>1185</v>
      </c>
      <c r="B2109" s="255">
        <v>221</v>
      </c>
      <c r="C2109" s="10" t="s">
        <v>204</v>
      </c>
      <c r="D2109" s="10">
        <v>1</v>
      </c>
      <c r="E2109" s="10">
        <v>365</v>
      </c>
      <c r="F2109" s="10" t="s">
        <v>690</v>
      </c>
      <c r="G2109" s="10" t="s">
        <v>695</v>
      </c>
      <c r="H2109" s="10" t="str" cm="1">
        <f t="array" aca="1" ref="H2109" ca="1">IF(INDEX(I2109:Z2109,$H$1)=0,"",INDEX(I2109:Z2109,$H$1))</f>
        <v>Compressor: Screw (Driver: Electric Motor)</v>
      </c>
      <c r="I2109" s="17" t="s">
        <v>2384</v>
      </c>
      <c r="J2109" s="17" t="s">
        <v>2384</v>
      </c>
      <c r="K2109" s="17" t="s">
        <v>2384</v>
      </c>
    </row>
    <row r="2110" spans="1:11" x14ac:dyDescent="0.35">
      <c r="A2110" s="10" t="s">
        <v>1185</v>
      </c>
      <c r="B2110" s="255">
        <v>222</v>
      </c>
      <c r="C2110" s="10" t="s">
        <v>204</v>
      </c>
      <c r="D2110" s="10">
        <v>1</v>
      </c>
      <c r="E2110" s="10">
        <v>366</v>
      </c>
      <c r="F2110" s="10" t="s">
        <v>690</v>
      </c>
      <c r="G2110" s="10" t="s">
        <v>695</v>
      </c>
      <c r="H2110" s="10" t="str" cm="1">
        <f t="array" aca="1" ref="H2110" ca="1">IF(INDEX(I2110:Z2110,$H$1)=0,"",INDEX(I2110:Z2110,$H$1))</f>
        <v>Compressor: Screw (Driver: Recip Engine)</v>
      </c>
      <c r="I2110" s="17" t="s">
        <v>2385</v>
      </c>
      <c r="J2110" s="17" t="s">
        <v>2385</v>
      </c>
      <c r="K2110" s="17" t="s">
        <v>2385</v>
      </c>
    </row>
    <row r="2111" spans="1:11" x14ac:dyDescent="0.35">
      <c r="A2111" s="10" t="s">
        <v>1185</v>
      </c>
      <c r="B2111" s="255">
        <v>223</v>
      </c>
      <c r="C2111" s="10" t="s">
        <v>204</v>
      </c>
      <c r="D2111" s="10">
        <v>1</v>
      </c>
      <c r="E2111" s="10">
        <v>367</v>
      </c>
      <c r="F2111" s="10" t="s">
        <v>690</v>
      </c>
      <c r="G2111" s="10" t="s">
        <v>695</v>
      </c>
      <c r="H2111" s="10" t="str" cm="1">
        <f t="array" aca="1" ref="H2111" ca="1">IF(INDEX(I2111:Z2111,$H$1)=0,"",INDEX(I2111:Z2111,$H$1))</f>
        <v>Dehydration: Desiccant (Adsorber Columns: 2)</v>
      </c>
      <c r="I2111" s="17" t="s">
        <v>2386</v>
      </c>
      <c r="J2111" s="17" t="s">
        <v>2386</v>
      </c>
      <c r="K2111" s="17" t="s">
        <v>2386</v>
      </c>
    </row>
    <row r="2112" spans="1:11" x14ac:dyDescent="0.35">
      <c r="A2112" s="10" t="s">
        <v>1185</v>
      </c>
      <c r="B2112" s="255">
        <v>224</v>
      </c>
      <c r="C2112" s="10" t="s">
        <v>204</v>
      </c>
      <c r="D2112" s="10">
        <v>1</v>
      </c>
      <c r="E2112" s="10">
        <v>368</v>
      </c>
      <c r="F2112" s="10" t="s">
        <v>690</v>
      </c>
      <c r="G2112" s="10" t="s">
        <v>695</v>
      </c>
      <c r="H2112" s="10" t="str" cm="1">
        <f t="array" aca="1" ref="H2112" ca="1">IF(INDEX(I2112:Z2112,$H$1)=0,"",INDEX(I2112:Z2112,$H$1))</f>
        <v>Dehydration: Desiccant (Adsorber Columns: 3)</v>
      </c>
      <c r="I2112" s="17" t="s">
        <v>2387</v>
      </c>
      <c r="J2112" s="17" t="s">
        <v>2387</v>
      </c>
      <c r="K2112" s="17" t="s">
        <v>2387</v>
      </c>
    </row>
    <row r="2113" spans="1:11" x14ac:dyDescent="0.35">
      <c r="A2113" s="10" t="s">
        <v>1185</v>
      </c>
      <c r="B2113" s="255">
        <v>225</v>
      </c>
      <c r="C2113" s="10" t="s">
        <v>204</v>
      </c>
      <c r="D2113" s="10">
        <v>1</v>
      </c>
      <c r="E2113" s="10">
        <v>369</v>
      </c>
      <c r="F2113" s="10" t="s">
        <v>690</v>
      </c>
      <c r="G2113" s="10" t="s">
        <v>695</v>
      </c>
      <c r="H2113" s="10" t="str" cm="1">
        <f t="array" aca="1" ref="H2113" ca="1">IF(INDEX(I2113:Z2113,$H$1)=0,"",INDEX(I2113:Z2113,$H$1))</f>
        <v>Dehydration: Glycol (with Gas-assisted Pump)</v>
      </c>
      <c r="I2113" s="17" t="s">
        <v>2388</v>
      </c>
      <c r="J2113" s="17" t="s">
        <v>2388</v>
      </c>
      <c r="K2113" s="17" t="s">
        <v>2388</v>
      </c>
    </row>
    <row r="2114" spans="1:11" x14ac:dyDescent="0.35">
      <c r="A2114" s="10" t="s">
        <v>1185</v>
      </c>
      <c r="B2114" s="255">
        <v>226</v>
      </c>
      <c r="C2114" s="10" t="s">
        <v>204</v>
      </c>
      <c r="D2114" s="10">
        <v>1</v>
      </c>
      <c r="E2114" s="10">
        <v>370</v>
      </c>
      <c r="F2114" s="10" t="s">
        <v>690</v>
      </c>
      <c r="G2114" s="10" t="s">
        <v>695</v>
      </c>
      <c r="H2114" s="10" t="str" cm="1">
        <f t="array" aca="1" ref="H2114" ca="1">IF(INDEX(I2114:Z2114,$H$1)=0,"",INDEX(I2114:Z2114,$H$1))</f>
        <v>Dehydration: Glycol (without Gas-assisted Pump)</v>
      </c>
      <c r="I2114" s="17" t="s">
        <v>2389</v>
      </c>
      <c r="J2114" s="17" t="s">
        <v>2389</v>
      </c>
      <c r="K2114" s="17" t="s">
        <v>2389</v>
      </c>
    </row>
    <row r="2115" spans="1:11" x14ac:dyDescent="0.35">
      <c r="A2115" s="10" t="s">
        <v>1185</v>
      </c>
      <c r="B2115" s="255">
        <v>227</v>
      </c>
      <c r="C2115" s="10" t="s">
        <v>204</v>
      </c>
      <c r="D2115" s="10">
        <v>1</v>
      </c>
      <c r="E2115" s="10">
        <v>371</v>
      </c>
      <c r="F2115" s="10" t="s">
        <v>690</v>
      </c>
      <c r="G2115" s="10" t="s">
        <v>695</v>
      </c>
      <c r="H2115" s="10" t="str" cm="1">
        <f t="array" aca="1" ref="H2115" ca="1">IF(INDEX(I2115:Z2115,$H$1)=0,"",INDEX(I2115:Z2115,$H$1))</f>
        <v>Flare System: Generic (Including Knock-out Drum)</v>
      </c>
      <c r="I2115" s="17" t="s">
        <v>2390</v>
      </c>
      <c r="J2115" s="17" t="s">
        <v>2390</v>
      </c>
      <c r="K2115" s="17" t="s">
        <v>2390</v>
      </c>
    </row>
    <row r="2116" spans="1:11" x14ac:dyDescent="0.35">
      <c r="A2116" s="10" t="s">
        <v>1185</v>
      </c>
      <c r="B2116" s="255">
        <v>228</v>
      </c>
      <c r="C2116" s="10" t="s">
        <v>204</v>
      </c>
      <c r="D2116" s="10">
        <v>1</v>
      </c>
      <c r="E2116" s="10">
        <v>372</v>
      </c>
      <c r="F2116" s="10" t="s">
        <v>690</v>
      </c>
      <c r="G2116" s="10" t="s">
        <v>695</v>
      </c>
      <c r="H2116" s="10" t="str" cm="1">
        <f t="array" aca="1" ref="H2116" ca="1">IF(INDEX(I2116:Z2116,$H$1)=0,"",INDEX(I2116:Z2116,$H$1))</f>
        <v>Heat Exchanger: Natural Gas/Steam</v>
      </c>
      <c r="I2116" s="17" t="s">
        <v>3399</v>
      </c>
      <c r="J2116" s="17" t="s">
        <v>3399</v>
      </c>
      <c r="K2116" s="17" t="s">
        <v>3399</v>
      </c>
    </row>
    <row r="2117" spans="1:11" x14ac:dyDescent="0.35">
      <c r="A2117" s="10" t="s">
        <v>1185</v>
      </c>
      <c r="B2117" s="255">
        <v>229</v>
      </c>
      <c r="C2117" s="10" t="s">
        <v>204</v>
      </c>
      <c r="D2117" s="10">
        <v>1</v>
      </c>
      <c r="E2117" s="10">
        <v>373</v>
      </c>
      <c r="F2117" s="10" t="s">
        <v>690</v>
      </c>
      <c r="G2117" s="10" t="s">
        <v>695</v>
      </c>
      <c r="H2117" s="10" t="str" cm="1">
        <f t="array" aca="1" ref="H2117" ca="1">IF(INDEX(I2117:Z2117,$H$1)=0,"",INDEX(I2117:Z2117,$H$1))</f>
        <v>Heat Exchanger: Natural Gas/Natural Gas</v>
      </c>
      <c r="I2117" s="17" t="s">
        <v>3398</v>
      </c>
      <c r="J2117" s="17" t="s">
        <v>3398</v>
      </c>
      <c r="K2117" s="17" t="s">
        <v>3398</v>
      </c>
    </row>
    <row r="2118" spans="1:11" x14ac:dyDescent="0.35">
      <c r="A2118" s="10" t="s">
        <v>1185</v>
      </c>
      <c r="B2118" s="255">
        <v>230</v>
      </c>
      <c r="C2118" s="10" t="s">
        <v>204</v>
      </c>
      <c r="D2118" s="10">
        <v>1</v>
      </c>
      <c r="E2118" s="10">
        <v>374</v>
      </c>
      <c r="F2118" s="10" t="s">
        <v>690</v>
      </c>
      <c r="G2118" s="10" t="s">
        <v>695</v>
      </c>
      <c r="H2118" s="10" t="str" cm="1">
        <f t="array" aca="1" ref="H2118" ca="1">IF(INDEX(I2118:Z2118,$H$1)=0,"",INDEX(I2118:Z2118,$H$1))</f>
        <v>Heat Exchanger: Natural Gas/Non-Hydrocarbon Liquid</v>
      </c>
      <c r="I2118" s="17" t="s">
        <v>3400</v>
      </c>
      <c r="J2118" s="17" t="s">
        <v>3400</v>
      </c>
      <c r="K2118" s="17" t="s">
        <v>3400</v>
      </c>
    </row>
    <row r="2119" spans="1:11" x14ac:dyDescent="0.35">
      <c r="A2119" s="10" t="s">
        <v>1185</v>
      </c>
      <c r="B2119" s="255">
        <v>231</v>
      </c>
      <c r="C2119" s="10" t="s">
        <v>204</v>
      </c>
      <c r="D2119" s="10">
        <v>1</v>
      </c>
      <c r="E2119" s="10">
        <v>375</v>
      </c>
      <c r="F2119" s="10" t="s">
        <v>690</v>
      </c>
      <c r="G2119" s="10" t="s">
        <v>695</v>
      </c>
      <c r="H2119" s="10" t="str" cm="1">
        <f t="array" aca="1" ref="H2119" ca="1">IF(INDEX(I2119:Z2119,$H$1)=0,"",INDEX(I2119:Z2119,$H$1))</f>
        <v>Heat Exchanger: Natural Gas/Hydrocarbon Liquid</v>
      </c>
      <c r="I2119" s="17" t="s">
        <v>3401</v>
      </c>
      <c r="J2119" s="17" t="s">
        <v>3401</v>
      </c>
      <c r="K2119" s="17" t="s">
        <v>3401</v>
      </c>
    </row>
    <row r="2120" spans="1:11" x14ac:dyDescent="0.35">
      <c r="A2120" s="10" t="s">
        <v>1185</v>
      </c>
      <c r="B2120" s="255">
        <v>232</v>
      </c>
      <c r="C2120" s="10" t="s">
        <v>204</v>
      </c>
      <c r="D2120" s="10">
        <v>1</v>
      </c>
      <c r="E2120" s="10">
        <v>376</v>
      </c>
      <c r="F2120" s="10" t="s">
        <v>690</v>
      </c>
      <c r="G2120" s="10" t="s">
        <v>695</v>
      </c>
      <c r="H2120" s="10" t="str" cm="1">
        <f t="array" aca="1" ref="H2120" ca="1">IF(INDEX(I2120:Z2120,$H$1)=0,"",INDEX(I2120:Z2120,$H$1))</f>
        <v>Heat Exchanger: Steam/Hydrocarbon Liquid</v>
      </c>
      <c r="I2120" s="17" t="s">
        <v>3402</v>
      </c>
      <c r="J2120" s="17" t="s">
        <v>3402</v>
      </c>
      <c r="K2120" s="17" t="s">
        <v>3402</v>
      </c>
    </row>
    <row r="2121" spans="1:11" x14ac:dyDescent="0.35">
      <c r="A2121" s="10" t="s">
        <v>1185</v>
      </c>
      <c r="B2121" s="255">
        <v>233</v>
      </c>
      <c r="C2121" s="10" t="s">
        <v>204</v>
      </c>
      <c r="D2121" s="10">
        <v>1</v>
      </c>
      <c r="E2121" s="10">
        <v>377</v>
      </c>
      <c r="F2121" s="10" t="s">
        <v>690</v>
      </c>
      <c r="G2121" s="10" t="s">
        <v>695</v>
      </c>
      <c r="H2121" s="10" t="str" cm="1">
        <f t="array" aca="1" ref="H2121" ca="1">IF(INDEX(I2121:Z2121,$H$1)=0,"",INDEX(I2121:Z2121,$H$1))</f>
        <v>Heat Exchanger: Hydrocarbon Liquid/Hydrocarbon Liquid</v>
      </c>
      <c r="I2121" s="17" t="s">
        <v>3397</v>
      </c>
      <c r="J2121" s="17" t="s">
        <v>3397</v>
      </c>
      <c r="K2121" s="17" t="s">
        <v>3397</v>
      </c>
    </row>
    <row r="2122" spans="1:11" x14ac:dyDescent="0.35">
      <c r="A2122" s="10" t="s">
        <v>1185</v>
      </c>
      <c r="B2122" s="255">
        <v>234</v>
      </c>
      <c r="C2122" s="10" t="s">
        <v>204</v>
      </c>
      <c r="D2122" s="10">
        <v>1</v>
      </c>
      <c r="E2122" s="10">
        <v>378</v>
      </c>
      <c r="F2122" s="10" t="s">
        <v>690</v>
      </c>
      <c r="G2122" s="10" t="s">
        <v>695</v>
      </c>
      <c r="H2122" s="10" t="str" cm="1">
        <f t="array" aca="1" ref="H2122" ca="1">IF(INDEX(I2122:Z2122,$H$1)=0,"",INDEX(I2122:Z2122,$H$1))</f>
        <v>Heater/Boiler/Reboiler: Generic (Burner Assemblies: 1)</v>
      </c>
      <c r="I2122" s="17" t="s">
        <v>2391</v>
      </c>
      <c r="J2122" s="17" t="s">
        <v>2391</v>
      </c>
      <c r="K2122" s="17" t="s">
        <v>2391</v>
      </c>
    </row>
    <row r="2123" spans="1:11" x14ac:dyDescent="0.35">
      <c r="A2123" s="10" t="s">
        <v>1185</v>
      </c>
      <c r="B2123" s="255">
        <v>235</v>
      </c>
      <c r="C2123" s="10" t="s">
        <v>204</v>
      </c>
      <c r="D2123" s="10">
        <v>1</v>
      </c>
      <c r="E2123" s="10">
        <v>379</v>
      </c>
      <c r="F2123" s="10" t="s">
        <v>690</v>
      </c>
      <c r="G2123" s="10" t="s">
        <v>695</v>
      </c>
      <c r="H2123" s="10" t="str" cm="1">
        <f t="array" aca="1" ref="H2123" ca="1">IF(INDEX(I2123:Z2123,$H$1)=0,"",INDEX(I2123:Z2123,$H$1))</f>
        <v>Heater/Boiler/Reboiler: Generic (Burner Assemblies: 2)</v>
      </c>
      <c r="I2123" s="17" t="s">
        <v>2392</v>
      </c>
      <c r="J2123" s="17" t="s">
        <v>2392</v>
      </c>
      <c r="K2123" s="17" t="s">
        <v>2392</v>
      </c>
    </row>
    <row r="2124" spans="1:11" x14ac:dyDescent="0.35">
      <c r="A2124" s="10" t="s">
        <v>1185</v>
      </c>
      <c r="B2124" s="255">
        <v>236</v>
      </c>
      <c r="C2124" s="10" t="s">
        <v>204</v>
      </c>
      <c r="D2124" s="10">
        <v>1</v>
      </c>
      <c r="E2124" s="10">
        <v>380</v>
      </c>
      <c r="F2124" s="10" t="s">
        <v>690</v>
      </c>
      <c r="G2124" s="10" t="s">
        <v>695</v>
      </c>
      <c r="H2124" s="10" t="str" cm="1">
        <f t="array" aca="1" ref="H2124" ca="1">IF(INDEX(I2124:Z2124,$H$1)=0,"",INDEX(I2124:Z2124,$H$1))</f>
        <v>Heater/Boiler/Reboiler: Generic (Burner Assemblies: 3)</v>
      </c>
      <c r="I2124" s="17" t="s">
        <v>2393</v>
      </c>
      <c r="J2124" s="17" t="s">
        <v>2393</v>
      </c>
      <c r="K2124" s="17" t="s">
        <v>2393</v>
      </c>
    </row>
    <row r="2125" spans="1:11" x14ac:dyDescent="0.35">
      <c r="A2125" s="10" t="s">
        <v>1185</v>
      </c>
      <c r="B2125" s="255">
        <v>237</v>
      </c>
      <c r="C2125" s="10" t="s">
        <v>204</v>
      </c>
      <c r="D2125" s="10">
        <v>1</v>
      </c>
      <c r="E2125" s="10">
        <v>381</v>
      </c>
      <c r="F2125" s="10" t="s">
        <v>690</v>
      </c>
      <c r="G2125" s="10" t="s">
        <v>695</v>
      </c>
      <c r="H2125" s="10" t="str" cm="1">
        <f t="array" aca="1" ref="H2125" ca="1">IF(INDEX(I2125:Z2125,$H$1)=0,"",INDEX(I2125:Z2125,$H$1))</f>
        <v>Heater/Boiler/Reboiler: Line (Burner Assemblies: 1)</v>
      </c>
      <c r="I2125" s="17" t="s">
        <v>2671</v>
      </c>
      <c r="J2125" s="17" t="s">
        <v>2671</v>
      </c>
      <c r="K2125" s="17" t="s">
        <v>2671</v>
      </c>
    </row>
    <row r="2126" spans="1:11" x14ac:dyDescent="0.35">
      <c r="A2126" s="10" t="s">
        <v>1185</v>
      </c>
      <c r="B2126" s="255">
        <v>238</v>
      </c>
      <c r="C2126" s="10" t="s">
        <v>204</v>
      </c>
      <c r="D2126" s="10">
        <v>1</v>
      </c>
      <c r="E2126" s="10">
        <v>382</v>
      </c>
      <c r="F2126" s="10" t="s">
        <v>690</v>
      </c>
      <c r="G2126" s="10" t="s">
        <v>695</v>
      </c>
      <c r="H2126" s="10" t="str" cm="1">
        <f t="array" aca="1" ref="H2126" ca="1">IF(INDEX(I2126:Z2126,$H$1)=0,"",INDEX(I2126:Z2126,$H$1))</f>
        <v>Heater/Boiler/Reboiler: Line (Burner Assemblies: 2)</v>
      </c>
      <c r="I2126" s="17" t="s">
        <v>2672</v>
      </c>
      <c r="J2126" s="17" t="s">
        <v>2672</v>
      </c>
      <c r="K2126" s="17" t="s">
        <v>2672</v>
      </c>
    </row>
    <row r="2127" spans="1:11" x14ac:dyDescent="0.35">
      <c r="A2127" s="10" t="s">
        <v>1185</v>
      </c>
      <c r="B2127" s="255">
        <v>239</v>
      </c>
      <c r="C2127" s="10" t="s">
        <v>204</v>
      </c>
      <c r="D2127" s="10">
        <v>1</v>
      </c>
      <c r="E2127" s="10">
        <v>383</v>
      </c>
      <c r="F2127" s="10" t="s">
        <v>690</v>
      </c>
      <c r="G2127" s="10" t="s">
        <v>695</v>
      </c>
      <c r="H2127" s="10" t="str" cm="1">
        <f t="array" aca="1" ref="H2127" ca="1">IF(INDEX(I2127:Z2127,$H$1)=0,"",INDEX(I2127:Z2127,$H$1))</f>
        <v>Heater/Boiler/Reboiler: Line (Burner Assemblies: 3)</v>
      </c>
      <c r="I2127" s="17" t="s">
        <v>2673</v>
      </c>
      <c r="J2127" s="17" t="s">
        <v>2673</v>
      </c>
      <c r="K2127" s="17" t="s">
        <v>2673</v>
      </c>
    </row>
    <row r="2128" spans="1:11" x14ac:dyDescent="0.35">
      <c r="A2128" s="10" t="s">
        <v>1185</v>
      </c>
      <c r="B2128" s="255">
        <v>240</v>
      </c>
      <c r="C2128" s="10" t="s">
        <v>204</v>
      </c>
      <c r="D2128" s="10">
        <v>1</v>
      </c>
      <c r="E2128" s="10">
        <v>384</v>
      </c>
      <c r="F2128" s="10" t="s">
        <v>690</v>
      </c>
      <c r="G2128" s="10" t="s">
        <v>695</v>
      </c>
      <c r="H2128" s="10" t="str" cm="1">
        <f t="array" aca="1" ref="H2128" ca="1">IF(INDEX(I2128:Z2128,$H$1)=0,"",INDEX(I2128:Z2128,$H$1))</f>
        <v>Heater/Boiler/Reboiler: Treater (Burner Assemblies: 1)</v>
      </c>
      <c r="I2128" s="17" t="s">
        <v>2394</v>
      </c>
      <c r="J2128" s="17" t="s">
        <v>2394</v>
      </c>
      <c r="K2128" s="17" t="s">
        <v>2394</v>
      </c>
    </row>
    <row r="2129" spans="1:11" x14ac:dyDescent="0.35">
      <c r="A2129" s="10" t="s">
        <v>1185</v>
      </c>
      <c r="B2129" s="255">
        <v>241</v>
      </c>
      <c r="C2129" s="10" t="s">
        <v>204</v>
      </c>
      <c r="D2129" s="10">
        <v>1</v>
      </c>
      <c r="E2129" s="10">
        <v>385</v>
      </c>
      <c r="F2129" s="10" t="s">
        <v>690</v>
      </c>
      <c r="G2129" s="10" t="s">
        <v>695</v>
      </c>
      <c r="H2129" s="10" t="str" cm="1">
        <f t="array" aca="1" ref="H2129" ca="1">IF(INDEX(I2129:Z2129,$H$1)=0,"",INDEX(I2129:Z2129,$H$1))</f>
        <v>Heater/Boiler/Reboiler: Treater (Burner Assemblies: 2)</v>
      </c>
      <c r="I2129" s="17" t="s">
        <v>2395</v>
      </c>
      <c r="J2129" s="17" t="s">
        <v>2395</v>
      </c>
      <c r="K2129" s="17" t="s">
        <v>2395</v>
      </c>
    </row>
    <row r="2130" spans="1:11" x14ac:dyDescent="0.35">
      <c r="A2130" s="10" t="s">
        <v>1185</v>
      </c>
      <c r="B2130" s="255">
        <v>242</v>
      </c>
      <c r="C2130" s="10" t="s">
        <v>204</v>
      </c>
      <c r="D2130" s="10">
        <v>1</v>
      </c>
      <c r="E2130" s="10">
        <v>386</v>
      </c>
      <c r="F2130" s="10" t="s">
        <v>690</v>
      </c>
      <c r="G2130" s="10" t="s">
        <v>695</v>
      </c>
      <c r="H2130" s="10" t="str" cm="1">
        <f t="array" aca="1" ref="H2130" ca="1">IF(INDEX(I2130:Z2130,$H$1)=0,"",INDEX(I2130:Z2130,$H$1))</f>
        <v>Heater/Boiler/Reboiler: Treater (Burner Assemblies: 3)</v>
      </c>
      <c r="I2130" s="17" t="s">
        <v>2396</v>
      </c>
      <c r="J2130" s="17" t="s">
        <v>2396</v>
      </c>
      <c r="K2130" s="17" t="s">
        <v>2396</v>
      </c>
    </row>
    <row r="2131" spans="1:11" x14ac:dyDescent="0.35">
      <c r="A2131" s="10" t="s">
        <v>1185</v>
      </c>
      <c r="B2131" s="255">
        <v>243</v>
      </c>
      <c r="C2131" s="10" t="s">
        <v>204</v>
      </c>
      <c r="D2131" s="10">
        <v>1</v>
      </c>
      <c r="E2131" s="10">
        <v>387</v>
      </c>
      <c r="F2131" s="10" t="s">
        <v>690</v>
      </c>
      <c r="G2131" s="10" t="s">
        <v>695</v>
      </c>
      <c r="H2131" s="10" t="str" cm="1">
        <f t="array" aca="1" ref="H2131" ca="1">IF(INDEX(I2131:Z2131,$H$1)=0,"",INDEX(I2131:Z2131,$H$1))</f>
        <v>Hydrocarbon Dewpoint Control: Joule-Thomson Unit (Excluding Compressor)</v>
      </c>
      <c r="I2131" s="17" t="s">
        <v>2397</v>
      </c>
      <c r="J2131" s="17" t="s">
        <v>2397</v>
      </c>
      <c r="K2131" s="17" t="s">
        <v>2397</v>
      </c>
    </row>
    <row r="2132" spans="1:11" x14ac:dyDescent="0.35">
      <c r="A2132" s="10" t="s">
        <v>1185</v>
      </c>
      <c r="B2132" s="255">
        <v>244</v>
      </c>
      <c r="C2132" s="10" t="s">
        <v>204</v>
      </c>
      <c r="D2132" s="10">
        <v>1</v>
      </c>
      <c r="E2132" s="10">
        <v>388</v>
      </c>
      <c r="F2132" s="10" t="s">
        <v>690</v>
      </c>
      <c r="G2132" s="10" t="s">
        <v>695</v>
      </c>
      <c r="H2132" s="10" t="str" cm="1">
        <f t="array" aca="1" ref="H2132" ca="1">IF(INDEX(I2132:Z2132,$H$1)=0,"",INDEX(I2132:Z2132,$H$1))</f>
        <v>Hydrocarbon Dewpoint Control: Propane Refrigeration</v>
      </c>
      <c r="I2132" s="17" t="s">
        <v>2398</v>
      </c>
      <c r="J2132" s="17" t="s">
        <v>2398</v>
      </c>
      <c r="K2132" s="17" t="s">
        <v>2398</v>
      </c>
    </row>
    <row r="2133" spans="1:11" x14ac:dyDescent="0.35">
      <c r="A2133" s="10" t="s">
        <v>1185</v>
      </c>
      <c r="B2133" s="255">
        <v>245</v>
      </c>
      <c r="C2133" s="10" t="s">
        <v>204</v>
      </c>
      <c r="D2133" s="10">
        <v>1</v>
      </c>
      <c r="E2133" s="10">
        <v>389</v>
      </c>
      <c r="F2133" s="10" t="s">
        <v>690</v>
      </c>
      <c r="G2133" s="10" t="s">
        <v>695</v>
      </c>
      <c r="H2133" s="10" t="str" cm="1">
        <f t="array" aca="1" ref="H2133" ca="1">IF(INDEX(I2133:Z2133,$H$1)=0,"",INDEX(I2133:Z2133,$H$1))</f>
        <v>Inlet Header : Heavy Oil Battery</v>
      </c>
      <c r="I2133" s="17" t="s">
        <v>2399</v>
      </c>
      <c r="J2133" s="17" t="s">
        <v>2399</v>
      </c>
      <c r="K2133" s="17" t="s">
        <v>2399</v>
      </c>
    </row>
    <row r="2134" spans="1:11" x14ac:dyDescent="0.35">
      <c r="A2134" s="10" t="s">
        <v>1185</v>
      </c>
      <c r="B2134" s="255">
        <v>246</v>
      </c>
      <c r="C2134" s="10" t="s">
        <v>204</v>
      </c>
      <c r="D2134" s="10">
        <v>1</v>
      </c>
      <c r="E2134" s="10">
        <v>390</v>
      </c>
      <c r="F2134" s="10" t="s">
        <v>690</v>
      </c>
      <c r="G2134" s="10" t="s">
        <v>695</v>
      </c>
      <c r="H2134" s="10" t="str" cm="1">
        <f t="array" aca="1" ref="H2134" ca="1">IF(INDEX(I2134:Z2134,$H$1)=0,"",INDEX(I2134:Z2134,$H$1))</f>
        <v>Inlet Header: Conventional Oil Battery</v>
      </c>
      <c r="I2134" s="17" t="s">
        <v>2400</v>
      </c>
      <c r="J2134" s="17" t="s">
        <v>2400</v>
      </c>
      <c r="K2134" s="17" t="s">
        <v>2400</v>
      </c>
    </row>
    <row r="2135" spans="1:11" x14ac:dyDescent="0.35">
      <c r="A2135" s="10" t="s">
        <v>1185</v>
      </c>
      <c r="B2135" s="255">
        <v>247</v>
      </c>
      <c r="C2135" s="10" t="s">
        <v>204</v>
      </c>
      <c r="D2135" s="10">
        <v>1</v>
      </c>
      <c r="E2135" s="10">
        <v>391</v>
      </c>
      <c r="F2135" s="10" t="s">
        <v>690</v>
      </c>
      <c r="G2135" s="10" t="s">
        <v>695</v>
      </c>
      <c r="H2135" s="10" t="str" cm="1">
        <f t="array" aca="1" ref="H2135" ca="1">IF(INDEX(I2135:Z2135,$H$1)=0,"",INDEX(I2135:Z2135,$H$1))</f>
        <v>Inlet/Outlet Header: Gas Facilities (Fittings Per Pipeline)</v>
      </c>
      <c r="I2135" s="17" t="s">
        <v>2729</v>
      </c>
      <c r="J2135" s="17" t="s">
        <v>2729</v>
      </c>
      <c r="K2135" s="17" t="s">
        <v>2729</v>
      </c>
    </row>
    <row r="2136" spans="1:11" x14ac:dyDescent="0.35">
      <c r="A2136" s="10" t="s">
        <v>1185</v>
      </c>
      <c r="B2136" s="255">
        <v>248</v>
      </c>
      <c r="C2136" s="10" t="s">
        <v>204</v>
      </c>
      <c r="D2136" s="10">
        <v>1</v>
      </c>
      <c r="E2136" s="10">
        <v>392</v>
      </c>
      <c r="F2136" s="10" t="s">
        <v>690</v>
      </c>
      <c r="G2136" s="10" t="s">
        <v>695</v>
      </c>
      <c r="H2136" s="10" t="str" cm="1">
        <f t="array" aca="1" ref="H2136" ca="1">IF(INDEX(I2136:Z2136,$H$1)=0,"",INDEX(I2136:Z2136,$H$1))</f>
        <v>Inlet/Outlet Header: Oil Facilities (Fittings Per Pipeline)</v>
      </c>
      <c r="I2136" s="17" t="s">
        <v>2728</v>
      </c>
      <c r="J2136" s="17" t="s">
        <v>2728</v>
      </c>
      <c r="K2136" s="17" t="s">
        <v>2728</v>
      </c>
    </row>
    <row r="2137" spans="1:11" x14ac:dyDescent="0.35">
      <c r="A2137" s="10" t="s">
        <v>1185</v>
      </c>
      <c r="B2137" s="255">
        <v>249</v>
      </c>
      <c r="C2137" s="10" t="s">
        <v>204</v>
      </c>
      <c r="D2137" s="10">
        <v>1</v>
      </c>
      <c r="E2137" s="10">
        <v>393</v>
      </c>
      <c r="F2137" s="10" t="s">
        <v>690</v>
      </c>
      <c r="G2137" s="10" t="s">
        <v>695</v>
      </c>
      <c r="H2137" s="10" t="str" cm="1">
        <f t="array" aca="1" ref="H2137" ca="1">IF(INDEX(I2137:Z2137,$H$1)=0,"",INDEX(I2137:Z2137,$H$1))</f>
        <v>LPG Extraction: Deepcut (C2 to C4)</v>
      </c>
      <c r="I2137" s="17" t="s">
        <v>2401</v>
      </c>
      <c r="J2137" s="17" t="s">
        <v>2401</v>
      </c>
      <c r="K2137" s="17" t="s">
        <v>2401</v>
      </c>
    </row>
    <row r="2138" spans="1:11" x14ac:dyDescent="0.35">
      <c r="A2138" s="10" t="s">
        <v>1185</v>
      </c>
      <c r="B2138" s="255">
        <v>250</v>
      </c>
      <c r="C2138" s="10" t="s">
        <v>204</v>
      </c>
      <c r="D2138" s="10">
        <v>1</v>
      </c>
      <c r="E2138" s="10">
        <v>394</v>
      </c>
      <c r="F2138" s="10" t="s">
        <v>690</v>
      </c>
      <c r="G2138" s="10" t="s">
        <v>695</v>
      </c>
      <c r="H2138" s="10" t="str" cm="1">
        <f t="array" aca="1" ref="H2138" ca="1">IF(INDEX(I2138:Z2138,$H$1)=0,"",INDEX(I2138:Z2138,$H$1))</f>
        <v>LPG Extraction: Shallow Cut (C3 to C4)</v>
      </c>
      <c r="I2138" s="17" t="s">
        <v>2402</v>
      </c>
      <c r="J2138" s="17" t="s">
        <v>2402</v>
      </c>
      <c r="K2138" s="17" t="s">
        <v>2402</v>
      </c>
    </row>
    <row r="2139" spans="1:11" x14ac:dyDescent="0.35">
      <c r="A2139" s="10" t="s">
        <v>1185</v>
      </c>
      <c r="B2139" s="255">
        <v>251</v>
      </c>
      <c r="C2139" s="10" t="s">
        <v>204</v>
      </c>
      <c r="D2139" s="10">
        <v>1</v>
      </c>
      <c r="E2139" s="10">
        <v>395</v>
      </c>
      <c r="F2139" s="10" t="s">
        <v>690</v>
      </c>
      <c r="G2139" s="10" t="s">
        <v>695</v>
      </c>
      <c r="H2139" s="10" t="str" cm="1">
        <f t="array" aca="1" ref="H2139" ca="1">IF(INDEX(I2139:Z2139,$H$1)=0,"",INDEX(I2139:Z2139,$H$1))</f>
        <v>NGL – Natural Gas Liquefaction</v>
      </c>
      <c r="I2139" s="17" t="s">
        <v>199</v>
      </c>
      <c r="J2139" s="17" t="s">
        <v>199</v>
      </c>
      <c r="K2139" s="17" t="s">
        <v>199</v>
      </c>
    </row>
    <row r="2140" spans="1:11" x14ac:dyDescent="0.35">
      <c r="A2140" s="10" t="s">
        <v>1185</v>
      </c>
      <c r="B2140" s="255">
        <v>252</v>
      </c>
      <c r="C2140" s="10" t="s">
        <v>204</v>
      </c>
      <c r="D2140" s="10">
        <v>1</v>
      </c>
      <c r="E2140" s="10">
        <v>396</v>
      </c>
      <c r="F2140" s="10" t="s">
        <v>690</v>
      </c>
      <c r="G2140" s="10" t="s">
        <v>695</v>
      </c>
      <c r="H2140" s="10" t="str" cm="1">
        <f t="array" aca="1" ref="H2140" ca="1">IF(INDEX(I2140:Z2140,$H$1)=0,"",INDEX(I2140:Z2140,$H$1))</f>
        <v>PIG Receiver or Sender</v>
      </c>
      <c r="I2140" s="17" t="s">
        <v>230</v>
      </c>
      <c r="J2140" s="17" t="s">
        <v>230</v>
      </c>
      <c r="K2140" s="17" t="s">
        <v>230</v>
      </c>
    </row>
    <row r="2141" spans="1:11" x14ac:dyDescent="0.35">
      <c r="A2141" s="10" t="s">
        <v>1185</v>
      </c>
      <c r="B2141" s="255">
        <v>253</v>
      </c>
      <c r="C2141" s="10" t="s">
        <v>204</v>
      </c>
      <c r="D2141" s="10">
        <v>1</v>
      </c>
      <c r="E2141" s="10">
        <v>397</v>
      </c>
      <c r="F2141" s="10" t="s">
        <v>690</v>
      </c>
      <c r="G2141" s="10" t="s">
        <v>695</v>
      </c>
      <c r="H2141" s="10" t="str" cm="1">
        <f t="array" aca="1" ref="H2141" ca="1">IF(INDEX(I2141:Z2141,$H$1)=0,"",INDEX(I2141:Z2141,$H$1))</f>
        <v>Power Generator: Natural Gas Fuelled (Driver: Gas Turbine)</v>
      </c>
      <c r="I2141" s="17" t="s">
        <v>2674</v>
      </c>
      <c r="J2141" s="17" t="s">
        <v>2674</v>
      </c>
      <c r="K2141" s="17" t="s">
        <v>2674</v>
      </c>
    </row>
    <row r="2142" spans="1:11" x14ac:dyDescent="0.35">
      <c r="A2142" s="10" t="s">
        <v>1185</v>
      </c>
      <c r="B2142" s="255">
        <v>254</v>
      </c>
      <c r="C2142" s="10" t="s">
        <v>204</v>
      </c>
      <c r="D2142" s="10">
        <v>1</v>
      </c>
      <c r="E2142" s="10">
        <v>398</v>
      </c>
      <c r="F2142" s="10" t="s">
        <v>690</v>
      </c>
      <c r="G2142" s="10" t="s">
        <v>695</v>
      </c>
      <c r="H2142" s="10" t="str" cm="1">
        <f t="array" aca="1" ref="H2142" ca="1">IF(INDEX(I2142:Z2142,$H$1)=0,"",INDEX(I2142:Z2142,$H$1))</f>
        <v>Power Generator: Natural Gas Fuelled (Driver: Recip. Engine)</v>
      </c>
      <c r="I2142" s="17" t="s">
        <v>2403</v>
      </c>
      <c r="J2142" s="17" t="s">
        <v>2403</v>
      </c>
      <c r="K2142" s="17" t="s">
        <v>2403</v>
      </c>
    </row>
    <row r="2143" spans="1:11" x14ac:dyDescent="0.35">
      <c r="A2143" s="10" t="s">
        <v>1185</v>
      </c>
      <c r="B2143" s="255">
        <v>255</v>
      </c>
      <c r="C2143" s="10" t="s">
        <v>204</v>
      </c>
      <c r="D2143" s="10">
        <v>1</v>
      </c>
      <c r="E2143" s="10">
        <v>399</v>
      </c>
      <c r="F2143" s="10" t="s">
        <v>690</v>
      </c>
      <c r="G2143" s="10" t="s">
        <v>695</v>
      </c>
      <c r="H2143" s="10" t="str" cm="1">
        <f t="array" aca="1" ref="H2143" ca="1">IF(INDEX(I2143:Z2143,$H$1)=0,"",INDEX(I2143:Z2143,$H$1))</f>
        <v>Pump: Hydrocarbon Service (Driver: Motor)</v>
      </c>
      <c r="I2143" s="17" t="s">
        <v>3409</v>
      </c>
      <c r="J2143" s="17" t="s">
        <v>3409</v>
      </c>
      <c r="K2143" s="17" t="s">
        <v>3409</v>
      </c>
    </row>
    <row r="2144" spans="1:11" x14ac:dyDescent="0.35">
      <c r="A2144" s="10" t="s">
        <v>1185</v>
      </c>
      <c r="B2144" s="255">
        <v>256</v>
      </c>
      <c r="C2144" s="10" t="s">
        <v>204</v>
      </c>
      <c r="D2144" s="10">
        <v>1</v>
      </c>
      <c r="E2144" s="10">
        <v>400</v>
      </c>
      <c r="F2144" s="10" t="s">
        <v>690</v>
      </c>
      <c r="G2144" s="10" t="s">
        <v>695</v>
      </c>
      <c r="H2144" s="10" t="str" cm="1">
        <f t="array" aca="1" ref="H2144" ca="1">IF(INDEX(I2144:Z2144,$H$1)=0,"",INDEX(I2144:Z2144,$H$1))</f>
        <v>Pump: Hydrocarbon Service (Driver: Recip Engine) (Fuel: Gaseous)</v>
      </c>
      <c r="I2144" s="17" t="s">
        <v>3410</v>
      </c>
      <c r="J2144" s="17" t="s">
        <v>3410</v>
      </c>
      <c r="K2144" s="17" t="s">
        <v>3410</v>
      </c>
    </row>
    <row r="2145" spans="1:11" x14ac:dyDescent="0.35">
      <c r="A2145" s="10" t="s">
        <v>1185</v>
      </c>
      <c r="B2145" s="255">
        <v>257</v>
      </c>
      <c r="C2145" s="10" t="s">
        <v>204</v>
      </c>
      <c r="D2145" s="10">
        <v>1</v>
      </c>
      <c r="E2145" s="10">
        <v>401</v>
      </c>
      <c r="F2145" s="10" t="s">
        <v>690</v>
      </c>
      <c r="G2145" s="10" t="s">
        <v>695</v>
      </c>
      <c r="H2145" s="10" t="str" cm="1">
        <f t="array" aca="1" ref="H2145" ca="1">IF(INDEX(I2145:Z2145,$H$1)=0,"",INDEX(I2145:Z2145,$H$1))</f>
        <v>Pump: Hydrocarbon Service (Driver: Recip Engine) (Fuel: Liquid)</v>
      </c>
      <c r="I2145" s="17" t="s">
        <v>3411</v>
      </c>
      <c r="J2145" s="17" t="s">
        <v>3411</v>
      </c>
      <c r="K2145" s="17" t="s">
        <v>3411</v>
      </c>
    </row>
    <row r="2146" spans="1:11" x14ac:dyDescent="0.35">
      <c r="A2146" s="10" t="s">
        <v>1185</v>
      </c>
      <c r="B2146" s="255">
        <v>258</v>
      </c>
      <c r="C2146" s="10" t="s">
        <v>204</v>
      </c>
      <c r="D2146" s="10">
        <v>1</v>
      </c>
      <c r="E2146" s="10">
        <v>402</v>
      </c>
      <c r="F2146" s="10" t="s">
        <v>690</v>
      </c>
      <c r="G2146" s="10" t="s">
        <v>695</v>
      </c>
      <c r="H2146" s="10" t="str" cm="1">
        <f t="array" aca="1" ref="H2146" ca="1">IF(INDEX(I2146:Z2146,$H$1)=0,"",INDEX(I2146:Z2146,$H$1))</f>
        <v>Pump: Non-Hydrocarbon Service (Driver: Recip Engine) (Fuel: Gaseous)</v>
      </c>
      <c r="I2146" s="17" t="s">
        <v>3408</v>
      </c>
      <c r="J2146" s="17" t="s">
        <v>3408</v>
      </c>
      <c r="K2146" s="17" t="s">
        <v>3408</v>
      </c>
    </row>
    <row r="2147" spans="1:11" x14ac:dyDescent="0.35">
      <c r="A2147" s="10" t="s">
        <v>1185</v>
      </c>
      <c r="B2147" s="255">
        <v>259</v>
      </c>
      <c r="C2147" s="10" t="s">
        <v>204</v>
      </c>
      <c r="D2147" s="10">
        <v>1</v>
      </c>
      <c r="E2147" s="10">
        <v>403</v>
      </c>
      <c r="F2147" s="10" t="s">
        <v>690</v>
      </c>
      <c r="G2147" s="10" t="s">
        <v>695</v>
      </c>
      <c r="H2147" s="10" t="str" cm="1">
        <f t="array" aca="1" ref="H2147" ca="1">IF(INDEX(I2147:Z2147,$H$1)=0,"",INDEX(I2147:Z2147,$H$1))</f>
        <v>Pump: Non-Hydrocarbon Service (Driver: Recip Engine) (Fuel: Gaseous)</v>
      </c>
      <c r="I2147" s="17" t="s">
        <v>3408</v>
      </c>
      <c r="J2147" s="17" t="s">
        <v>3408</v>
      </c>
      <c r="K2147" s="17" t="s">
        <v>3408</v>
      </c>
    </row>
    <row r="2148" spans="1:11" x14ac:dyDescent="0.35">
      <c r="A2148" s="10" t="s">
        <v>1185</v>
      </c>
      <c r="B2148" s="255">
        <v>260</v>
      </c>
      <c r="C2148" s="10" t="s">
        <v>204</v>
      </c>
      <c r="D2148" s="10">
        <v>1</v>
      </c>
      <c r="E2148" s="10">
        <v>404</v>
      </c>
      <c r="F2148" s="10" t="s">
        <v>690</v>
      </c>
      <c r="G2148" s="10" t="s">
        <v>695</v>
      </c>
      <c r="H2148" s="10" t="str" cm="1">
        <f t="array" aca="1" ref="H2148" ca="1">IF(INDEX(I2148:Z2148,$H$1)=0,"",INDEX(I2148:Z2148,$H$1))</f>
        <v>Refrigeration (Propane)</v>
      </c>
      <c r="I2148" s="17" t="s">
        <v>245</v>
      </c>
      <c r="J2148" s="17" t="s">
        <v>245</v>
      </c>
      <c r="K2148" s="17" t="s">
        <v>245</v>
      </c>
    </row>
    <row r="2149" spans="1:11" x14ac:dyDescent="0.35">
      <c r="A2149" s="10" t="s">
        <v>1185</v>
      </c>
      <c r="B2149" s="255">
        <v>261</v>
      </c>
      <c r="C2149" s="10" t="s">
        <v>204</v>
      </c>
      <c r="D2149" s="10">
        <v>1</v>
      </c>
      <c r="E2149" s="10">
        <v>405</v>
      </c>
      <c r="F2149" s="10" t="s">
        <v>690</v>
      </c>
      <c r="G2149" s="10" t="s">
        <v>695</v>
      </c>
      <c r="H2149" s="10" t="str" cm="1">
        <f t="array" aca="1" ref="H2149" ca="1">IF(INDEX(I2149:Z2149,$H$1)=0,"",INDEX(I2149:Z2149,$H$1))</f>
        <v>Separator: Filter Separator</v>
      </c>
      <c r="I2149" s="17" t="s">
        <v>2404</v>
      </c>
      <c r="J2149" s="17" t="s">
        <v>2404</v>
      </c>
      <c r="K2149" s="17" t="s">
        <v>2404</v>
      </c>
    </row>
    <row r="2150" spans="1:11" x14ac:dyDescent="0.35">
      <c r="A2150" s="10" t="s">
        <v>1185</v>
      </c>
      <c r="B2150" s="255">
        <v>262</v>
      </c>
      <c r="C2150" s="10" t="s">
        <v>204</v>
      </c>
      <c r="D2150" s="10">
        <v>1</v>
      </c>
      <c r="E2150" s="10">
        <v>406</v>
      </c>
      <c r="F2150" s="10" t="s">
        <v>690</v>
      </c>
      <c r="G2150" s="10" t="s">
        <v>695</v>
      </c>
      <c r="H2150" s="10" t="str" cm="1">
        <f t="array" aca="1" ref="H2150" ca="1">IF(INDEX(I2150:Z2150,$H$1)=0,"",INDEX(I2150:Z2150,$H$1))</f>
        <v>Separator: Horizontal (Phases: 2)</v>
      </c>
      <c r="I2150" s="17" t="s">
        <v>2405</v>
      </c>
      <c r="J2150" s="17" t="s">
        <v>2405</v>
      </c>
      <c r="K2150" s="17" t="s">
        <v>2405</v>
      </c>
    </row>
    <row r="2151" spans="1:11" x14ac:dyDescent="0.35">
      <c r="A2151" s="10" t="s">
        <v>1185</v>
      </c>
      <c r="B2151" s="255">
        <v>263</v>
      </c>
      <c r="C2151" s="10" t="s">
        <v>204</v>
      </c>
      <c r="D2151" s="10">
        <v>1</v>
      </c>
      <c r="E2151" s="10">
        <v>407</v>
      </c>
      <c r="F2151" s="10" t="s">
        <v>690</v>
      </c>
      <c r="G2151" s="10" t="s">
        <v>695</v>
      </c>
      <c r="H2151" s="10" t="str" cm="1">
        <f t="array" aca="1" ref="H2151" ca="1">IF(INDEX(I2151:Z2151,$H$1)=0,"",INDEX(I2151:Z2151,$H$1))</f>
        <v>Separator: Horizontal (Phases: 3)</v>
      </c>
      <c r="I2151" s="17" t="s">
        <v>2406</v>
      </c>
      <c r="J2151" s="17" t="s">
        <v>2406</v>
      </c>
      <c r="K2151" s="17" t="s">
        <v>2406</v>
      </c>
    </row>
    <row r="2152" spans="1:11" x14ac:dyDescent="0.35">
      <c r="A2152" s="10" t="s">
        <v>1185</v>
      </c>
      <c r="B2152" s="255">
        <v>264</v>
      </c>
      <c r="C2152" s="10" t="s">
        <v>204</v>
      </c>
      <c r="D2152" s="10">
        <v>1</v>
      </c>
      <c r="E2152" s="10">
        <v>408</v>
      </c>
      <c r="F2152" s="10" t="s">
        <v>690</v>
      </c>
      <c r="G2152" s="10" t="s">
        <v>695</v>
      </c>
      <c r="H2152" s="10" t="str" cm="1">
        <f t="array" aca="1" ref="H2152" ca="1">IF(INDEX(I2152:Z2152,$H$1)=0,"",INDEX(I2152:Z2152,$H$1))</f>
        <v>Separator: Vertical (Phases: 2)</v>
      </c>
      <c r="I2152" s="17" t="s">
        <v>2407</v>
      </c>
      <c r="J2152" s="17" t="s">
        <v>2407</v>
      </c>
      <c r="K2152" s="17" t="s">
        <v>2407</v>
      </c>
    </row>
    <row r="2153" spans="1:11" x14ac:dyDescent="0.35">
      <c r="A2153" s="10" t="s">
        <v>1185</v>
      </c>
      <c r="B2153" s="255">
        <v>265</v>
      </c>
      <c r="C2153" s="10" t="s">
        <v>204</v>
      </c>
      <c r="D2153" s="10">
        <v>1</v>
      </c>
      <c r="E2153" s="10">
        <v>409</v>
      </c>
      <c r="F2153" s="10" t="s">
        <v>690</v>
      </c>
      <c r="G2153" s="10" t="s">
        <v>695</v>
      </c>
      <c r="H2153" s="10" t="str" cm="1">
        <f t="array" aca="1" ref="H2153" ca="1">IF(INDEX(I2153:Z2153,$H$1)=0,"",INDEX(I2153:Z2153,$H$1))</f>
        <v>Separator: Vertical (Phases: 3)</v>
      </c>
      <c r="I2153" s="17" t="s">
        <v>2408</v>
      </c>
      <c r="J2153" s="17" t="s">
        <v>2408</v>
      </c>
      <c r="K2153" s="17" t="s">
        <v>2408</v>
      </c>
    </row>
    <row r="2154" spans="1:11" x14ac:dyDescent="0.35">
      <c r="A2154" s="10" t="s">
        <v>1185</v>
      </c>
      <c r="B2154" s="255">
        <v>266</v>
      </c>
      <c r="C2154" s="10" t="s">
        <v>204</v>
      </c>
      <c r="D2154" s="10">
        <v>1</v>
      </c>
      <c r="E2154" s="10">
        <v>410</v>
      </c>
      <c r="F2154" s="10" t="s">
        <v>690</v>
      </c>
      <c r="G2154" s="10" t="s">
        <v>695</v>
      </c>
      <c r="H2154" s="10" t="str" cm="1">
        <f t="array" aca="1" ref="H2154" ca="1">IF(INDEX(I2154:Z2154,$H$1)=0,"",INDEX(I2154:Z2154,$H$1))</f>
        <v>Stabilizer: with Reflux Loop</v>
      </c>
      <c r="I2154" s="17" t="s">
        <v>2409</v>
      </c>
      <c r="J2154" s="17" t="s">
        <v>2409</v>
      </c>
      <c r="K2154" s="17" t="s">
        <v>2409</v>
      </c>
    </row>
    <row r="2155" spans="1:11" x14ac:dyDescent="0.35">
      <c r="A2155" s="10" t="s">
        <v>1185</v>
      </c>
      <c r="B2155" s="255">
        <v>267</v>
      </c>
      <c r="C2155" s="10" t="s">
        <v>204</v>
      </c>
      <c r="D2155" s="10">
        <v>1</v>
      </c>
      <c r="E2155" s="10">
        <v>411</v>
      </c>
      <c r="F2155" s="10" t="s">
        <v>690</v>
      </c>
      <c r="G2155" s="10" t="s">
        <v>695</v>
      </c>
      <c r="H2155" s="10" t="str" cm="1">
        <f t="array" aca="1" ref="H2155" ca="1">IF(INDEX(I2155:Z2155,$H$1)=0,"",INDEX(I2155:Z2155,$H$1))</f>
        <v>Stabilizer: without Reflux Loop</v>
      </c>
      <c r="I2155" s="17" t="s">
        <v>2410</v>
      </c>
      <c r="J2155" s="17" t="s">
        <v>2410</v>
      </c>
      <c r="K2155" s="17" t="s">
        <v>2410</v>
      </c>
    </row>
    <row r="2156" spans="1:11" x14ac:dyDescent="0.35">
      <c r="A2156" s="10" t="s">
        <v>1185</v>
      </c>
      <c r="B2156" s="255">
        <v>268</v>
      </c>
      <c r="C2156" s="10" t="s">
        <v>204</v>
      </c>
      <c r="D2156" s="10">
        <v>1</v>
      </c>
      <c r="E2156" s="10">
        <v>412</v>
      </c>
      <c r="F2156" s="10" t="s">
        <v>690</v>
      </c>
      <c r="G2156" s="10" t="s">
        <v>695</v>
      </c>
      <c r="H2156" s="10" t="str" cm="1">
        <f t="array" aca="1" ref="H2156" ca="1">IF(INDEX(I2156:Z2156,$H$1)=0,"",INDEX(I2156:Z2156,$H$1))</f>
        <v>Storage Tank (Produced Oil, with Vapor Control)</v>
      </c>
      <c r="I2156" s="17" t="s">
        <v>365</v>
      </c>
      <c r="J2156" s="17" t="s">
        <v>365</v>
      </c>
      <c r="K2156" s="17" t="s">
        <v>365</v>
      </c>
    </row>
    <row r="2157" spans="1:11" x14ac:dyDescent="0.35">
      <c r="A2157" s="10" t="s">
        <v>1185</v>
      </c>
      <c r="B2157" s="255">
        <v>269</v>
      </c>
      <c r="C2157" s="10" t="s">
        <v>204</v>
      </c>
      <c r="D2157" s="10">
        <v>1</v>
      </c>
      <c r="E2157" s="10">
        <v>413</v>
      </c>
      <c r="F2157" s="10" t="s">
        <v>690</v>
      </c>
      <c r="G2157" s="10" t="s">
        <v>695</v>
      </c>
      <c r="H2157" s="10" t="str" cm="1">
        <f t="array" aca="1" ref="H2157" ca="1">IF(INDEX(I2157:Z2157,$H$1)=0,"",INDEX(I2157:Z2157,$H$1))</f>
        <v>Storage Tank (Produced Oil, without Vapor Control)</v>
      </c>
      <c r="I2157" s="17" t="s">
        <v>366</v>
      </c>
      <c r="J2157" s="17" t="s">
        <v>366</v>
      </c>
      <c r="K2157" s="17" t="s">
        <v>366</v>
      </c>
    </row>
    <row r="2158" spans="1:11" x14ac:dyDescent="0.35">
      <c r="A2158" s="10" t="s">
        <v>1185</v>
      </c>
      <c r="B2158" s="255">
        <v>270</v>
      </c>
      <c r="C2158" s="10" t="s">
        <v>204</v>
      </c>
      <c r="D2158" s="10">
        <v>1</v>
      </c>
      <c r="E2158" s="10">
        <v>414</v>
      </c>
      <c r="F2158" s="10" t="s">
        <v>690</v>
      </c>
      <c r="G2158" s="10" t="s">
        <v>695</v>
      </c>
      <c r="H2158" s="10" t="str" cm="1">
        <f t="array" aca="1" ref="H2158" ca="1">IF(INDEX(I2158:Z2158,$H$1)=0,"",INDEX(I2158:Z2158,$H$1))</f>
        <v>Storage Tank (Produced Water, with Vapor Control)</v>
      </c>
      <c r="I2158" s="17" t="s">
        <v>364</v>
      </c>
      <c r="J2158" s="17" t="s">
        <v>364</v>
      </c>
      <c r="K2158" s="17" t="s">
        <v>364</v>
      </c>
    </row>
    <row r="2159" spans="1:11" x14ac:dyDescent="0.35">
      <c r="A2159" s="10" t="s">
        <v>1185</v>
      </c>
      <c r="B2159" s="255">
        <v>271</v>
      </c>
      <c r="C2159" s="10" t="s">
        <v>204</v>
      </c>
      <c r="D2159" s="10">
        <v>1</v>
      </c>
      <c r="E2159" s="10">
        <v>415</v>
      </c>
      <c r="F2159" s="10" t="s">
        <v>690</v>
      </c>
      <c r="G2159" s="10" t="s">
        <v>695</v>
      </c>
      <c r="H2159" s="10" t="str" cm="1">
        <f t="array" aca="1" ref="H2159" ca="1">IF(INDEX(I2159:Z2159,$H$1)=0,"",INDEX(I2159:Z2159,$H$1))</f>
        <v>Storage Tank (Produced Water, without Vapor Control)</v>
      </c>
      <c r="I2159" s="17" t="s">
        <v>363</v>
      </c>
      <c r="J2159" s="17" t="s">
        <v>363</v>
      </c>
      <c r="K2159" s="17" t="s">
        <v>363</v>
      </c>
    </row>
    <row r="2160" spans="1:11" x14ac:dyDescent="0.35">
      <c r="A2160" s="10" t="s">
        <v>1185</v>
      </c>
      <c r="B2160" s="255">
        <v>272</v>
      </c>
      <c r="C2160" s="10" t="s">
        <v>204</v>
      </c>
      <c r="D2160" s="10">
        <v>1</v>
      </c>
      <c r="E2160" s="10">
        <v>416</v>
      </c>
      <c r="F2160" s="10" t="s">
        <v>690</v>
      </c>
      <c r="G2160" s="10" t="s">
        <v>695</v>
      </c>
      <c r="H2160" s="10" t="str" cm="1">
        <f t="array" aca="1" ref="H2160" ca="1">IF(INDEX(I2160:Z2160,$H$1)=0,"",INDEX(I2160:Z2160,$H$1))</f>
        <v>Storage Tank: Chemicals with Natural Gas Blanketing)</v>
      </c>
      <c r="I2160" s="17" t="s">
        <v>3412</v>
      </c>
      <c r="J2160" s="17" t="s">
        <v>3412</v>
      </c>
      <c r="K2160" s="17" t="s">
        <v>3412</v>
      </c>
    </row>
    <row r="2161" spans="1:11" x14ac:dyDescent="0.35">
      <c r="A2161" s="10" t="s">
        <v>1185</v>
      </c>
      <c r="B2161" s="255">
        <v>273</v>
      </c>
      <c r="C2161" s="10" t="s">
        <v>204</v>
      </c>
      <c r="D2161" s="10">
        <v>1</v>
      </c>
      <c r="E2161" s="10">
        <v>417</v>
      </c>
      <c r="F2161" s="10" t="s">
        <v>690</v>
      </c>
      <c r="G2161" s="10" t="s">
        <v>695</v>
      </c>
      <c r="H2161" s="10" t="str" cm="1">
        <f t="array" aca="1" ref="H2161" ca="1">IF(INDEX(I2161:Z2161,$H$1)=0,"",INDEX(I2161:Z2161,$H$1))</f>
        <v>Sulphur Recovery: Claus</v>
      </c>
      <c r="I2161" s="17" t="s">
        <v>2411</v>
      </c>
      <c r="J2161" s="17" t="s">
        <v>2411</v>
      </c>
      <c r="K2161" s="17" t="s">
        <v>2411</v>
      </c>
    </row>
    <row r="2162" spans="1:11" x14ac:dyDescent="0.35">
      <c r="A2162" s="10" t="s">
        <v>1185</v>
      </c>
      <c r="B2162" s="255">
        <v>274</v>
      </c>
      <c r="C2162" s="10" t="s">
        <v>204</v>
      </c>
      <c r="D2162" s="10">
        <v>1</v>
      </c>
      <c r="E2162" s="10">
        <v>418</v>
      </c>
      <c r="F2162" s="10" t="s">
        <v>690</v>
      </c>
      <c r="G2162" s="10" t="s">
        <v>695</v>
      </c>
      <c r="H2162" s="10" t="str" cm="1">
        <f t="array" aca="1" ref="H2162" ca="1">IF(INDEX(I2162:Z2162,$H$1)=0,"",INDEX(I2162:Z2162,$H$1))</f>
        <v>Sulphur Recovery: MCRC (Sub-dewpoint)</v>
      </c>
      <c r="I2162" s="17" t="s">
        <v>2412</v>
      </c>
      <c r="J2162" s="17" t="s">
        <v>2412</v>
      </c>
      <c r="K2162" s="17" t="s">
        <v>2412</v>
      </c>
    </row>
    <row r="2163" spans="1:11" x14ac:dyDescent="0.35">
      <c r="A2163" s="10" t="s">
        <v>1185</v>
      </c>
      <c r="B2163" s="255">
        <v>275</v>
      </c>
      <c r="C2163" s="10" t="s">
        <v>204</v>
      </c>
      <c r="D2163" s="10">
        <v>1</v>
      </c>
      <c r="E2163" s="10">
        <v>419</v>
      </c>
      <c r="F2163" s="10" t="s">
        <v>690</v>
      </c>
      <c r="G2163" s="10" t="s">
        <v>695</v>
      </c>
      <c r="H2163" s="10" t="str" cm="1">
        <f t="array" aca="1" ref="H2163" ca="1">IF(INDEX(I2163:Z2163,$H$1)=0,"",INDEX(I2163:Z2163,$H$1))</f>
        <v>Sweetening: (Physical Solvent)</v>
      </c>
      <c r="I2163" s="17" t="s">
        <v>2413</v>
      </c>
      <c r="J2163" s="17" t="s">
        <v>2413</v>
      </c>
      <c r="K2163" s="17" t="s">
        <v>2413</v>
      </c>
    </row>
    <row r="2164" spans="1:11" x14ac:dyDescent="0.35">
      <c r="A2164" s="10" t="s">
        <v>1185</v>
      </c>
      <c r="B2164" s="255">
        <v>276</v>
      </c>
      <c r="C2164" s="10" t="s">
        <v>204</v>
      </c>
      <c r="D2164" s="10">
        <v>1</v>
      </c>
      <c r="E2164" s="10">
        <v>420</v>
      </c>
      <c r="F2164" s="10" t="s">
        <v>690</v>
      </c>
      <c r="G2164" s="10" t="s">
        <v>695</v>
      </c>
      <c r="H2164" s="10" t="str" cm="1">
        <f t="array" aca="1" ref="H2164" ca="1">IF(INDEX(I2164:Z2164,$H$1)=0,"",INDEX(I2164:Z2164,$H$1))</f>
        <v>Sweetening: Chemsweet</v>
      </c>
      <c r="I2164" s="17" t="s">
        <v>2414</v>
      </c>
      <c r="J2164" s="17" t="s">
        <v>2414</v>
      </c>
      <c r="K2164" s="17" t="s">
        <v>2414</v>
      </c>
    </row>
    <row r="2165" spans="1:11" x14ac:dyDescent="0.35">
      <c r="A2165" s="10" t="s">
        <v>1185</v>
      </c>
      <c r="B2165" s="255">
        <v>277</v>
      </c>
      <c r="C2165" s="10" t="s">
        <v>204</v>
      </c>
      <c r="D2165" s="10">
        <v>1</v>
      </c>
      <c r="E2165" s="10">
        <v>421</v>
      </c>
      <c r="F2165" s="10" t="s">
        <v>690</v>
      </c>
      <c r="G2165" s="10" t="s">
        <v>695</v>
      </c>
      <c r="H2165" s="10" t="str" cm="1">
        <f t="array" aca="1" ref="H2165" ca="1">IF(INDEX(I2165:Z2165,$H$1)=0,"",INDEX(I2165:Z2165,$H$1))</f>
        <v>Sweetening: DEA (Diethanolamine)</v>
      </c>
      <c r="I2165" s="17" t="s">
        <v>2415</v>
      </c>
      <c r="J2165" s="17" t="s">
        <v>2415</v>
      </c>
      <c r="K2165" s="17" t="s">
        <v>2415</v>
      </c>
    </row>
    <row r="2166" spans="1:11" x14ac:dyDescent="0.35">
      <c r="A2166" s="10" t="s">
        <v>1185</v>
      </c>
      <c r="B2166" s="255">
        <v>278</v>
      </c>
      <c r="C2166" s="10" t="s">
        <v>204</v>
      </c>
      <c r="D2166" s="10">
        <v>1</v>
      </c>
      <c r="E2166" s="10">
        <v>422</v>
      </c>
      <c r="F2166" s="10" t="s">
        <v>690</v>
      </c>
      <c r="G2166" s="10" t="s">
        <v>695</v>
      </c>
      <c r="H2166" s="10" t="str" cm="1">
        <f t="array" aca="1" ref="H2166" ca="1">IF(INDEX(I2166:Z2166,$H$1)=0,"",INDEX(I2166:Z2166,$H$1))</f>
        <v>Sweetening: DGA (Diglycolamine)</v>
      </c>
      <c r="I2166" s="17" t="s">
        <v>2416</v>
      </c>
      <c r="J2166" s="17" t="s">
        <v>2416</v>
      </c>
      <c r="K2166" s="17" t="s">
        <v>2416</v>
      </c>
    </row>
    <row r="2167" spans="1:11" x14ac:dyDescent="0.35">
      <c r="A2167" s="10" t="s">
        <v>1185</v>
      </c>
      <c r="B2167" s="255">
        <v>279</v>
      </c>
      <c r="C2167" s="10" t="s">
        <v>204</v>
      </c>
      <c r="D2167" s="10">
        <v>1</v>
      </c>
      <c r="E2167" s="10">
        <v>423</v>
      </c>
      <c r="F2167" s="10" t="s">
        <v>690</v>
      </c>
      <c r="G2167" s="10" t="s">
        <v>695</v>
      </c>
      <c r="H2167" s="10" t="str" cm="1">
        <f t="array" aca="1" ref="H2167" ca="1">IF(INDEX(I2167:Z2167,$H$1)=0,"",INDEX(I2167:Z2167,$H$1))</f>
        <v>Sweetening: Generic</v>
      </c>
      <c r="I2167" s="17" t="s">
        <v>2417</v>
      </c>
      <c r="J2167" s="17" t="s">
        <v>2417</v>
      </c>
      <c r="K2167" s="17" t="s">
        <v>2417</v>
      </c>
    </row>
    <row r="2168" spans="1:11" x14ac:dyDescent="0.35">
      <c r="A2168" s="10" t="s">
        <v>1185</v>
      </c>
      <c r="B2168" s="255">
        <v>280</v>
      </c>
      <c r="C2168" s="10" t="s">
        <v>204</v>
      </c>
      <c r="D2168" s="10">
        <v>1</v>
      </c>
      <c r="E2168" s="10">
        <v>424</v>
      </c>
      <c r="F2168" s="10" t="s">
        <v>690</v>
      </c>
      <c r="G2168" s="10" t="s">
        <v>695</v>
      </c>
      <c r="H2168" s="10" t="str" cm="1">
        <f t="array" aca="1" ref="H2168" ca="1">IF(INDEX(I2168:Z2168,$H$1)=0,"",INDEX(I2168:Z2168,$H$1))</f>
        <v>Sweetening: Iron Sponge</v>
      </c>
      <c r="I2168" s="17" t="s">
        <v>2418</v>
      </c>
      <c r="J2168" s="17" t="s">
        <v>2418</v>
      </c>
      <c r="K2168" s="17" t="s">
        <v>2418</v>
      </c>
    </row>
    <row r="2169" spans="1:11" x14ac:dyDescent="0.35">
      <c r="A2169" s="10" t="s">
        <v>1185</v>
      </c>
      <c r="B2169" s="255">
        <v>281</v>
      </c>
      <c r="C2169" s="10" t="s">
        <v>204</v>
      </c>
      <c r="D2169" s="10">
        <v>1</v>
      </c>
      <c r="E2169" s="10">
        <v>425</v>
      </c>
      <c r="F2169" s="10" t="s">
        <v>690</v>
      </c>
      <c r="G2169" s="10" t="s">
        <v>695</v>
      </c>
      <c r="H2169" s="10" t="str" cm="1">
        <f t="array" aca="1" ref="H2169" ca="1">IF(INDEX(I2169:Z2169,$H$1)=0,"",INDEX(I2169:Z2169,$H$1))</f>
        <v>Sweetening: LoCat</v>
      </c>
      <c r="I2169" s="17" t="s">
        <v>2419</v>
      </c>
      <c r="J2169" s="17" t="s">
        <v>2419</v>
      </c>
      <c r="K2169" s="17" t="s">
        <v>2419</v>
      </c>
    </row>
    <row r="2170" spans="1:11" x14ac:dyDescent="0.35">
      <c r="A2170" s="10" t="s">
        <v>1185</v>
      </c>
      <c r="B2170" s="255">
        <v>281</v>
      </c>
      <c r="C2170" s="10" t="s">
        <v>204</v>
      </c>
      <c r="D2170" s="10">
        <v>1</v>
      </c>
      <c r="E2170" s="10">
        <v>425</v>
      </c>
      <c r="F2170" s="10" t="s">
        <v>690</v>
      </c>
      <c r="G2170" s="10" t="s">
        <v>695</v>
      </c>
      <c r="H2170" s="10" t="str" cm="1">
        <f t="array" aca="1" ref="H2170" ca="1">IF(INDEX(I2170:Z2170,$H$1)=0,"",INDEX(I2170:Z2170,$H$1))</f>
        <v>Sweetening: MDEA (Monodiethanolamine)</v>
      </c>
      <c r="I2170" s="17" t="s">
        <v>2420</v>
      </c>
      <c r="J2170" s="17" t="s">
        <v>2420</v>
      </c>
      <c r="K2170" s="17" t="s">
        <v>2420</v>
      </c>
    </row>
    <row r="2171" spans="1:11" x14ac:dyDescent="0.35">
      <c r="A2171" s="10" t="s">
        <v>1185</v>
      </c>
      <c r="B2171" s="255">
        <v>282</v>
      </c>
      <c r="C2171" s="10" t="s">
        <v>204</v>
      </c>
      <c r="D2171" s="10">
        <v>1</v>
      </c>
      <c r="E2171" s="10">
        <v>426</v>
      </c>
      <c r="F2171" s="10" t="s">
        <v>690</v>
      </c>
      <c r="G2171" s="10" t="s">
        <v>695</v>
      </c>
      <c r="H2171" s="10" t="str" cm="1">
        <f t="array" aca="1" ref="H2171" ca="1">IF(INDEX(I2171:Z2171,$H$1)=0,"",INDEX(I2171:Z2171,$H$1))</f>
        <v>Sweetening: MEA (Monoethanolamine)</v>
      </c>
      <c r="I2171" s="17" t="s">
        <v>2421</v>
      </c>
      <c r="J2171" s="17" t="s">
        <v>2421</v>
      </c>
      <c r="K2171" s="17" t="s">
        <v>2421</v>
      </c>
    </row>
    <row r="2172" spans="1:11" x14ac:dyDescent="0.35">
      <c r="A2172" s="10" t="s">
        <v>1185</v>
      </c>
      <c r="B2172" s="255">
        <v>283</v>
      </c>
      <c r="C2172" s="10" t="s">
        <v>204</v>
      </c>
      <c r="D2172" s="10">
        <v>1</v>
      </c>
      <c r="E2172" s="10">
        <v>427</v>
      </c>
      <c r="F2172" s="10" t="s">
        <v>690</v>
      </c>
      <c r="G2172" s="10" t="s">
        <v>695</v>
      </c>
      <c r="H2172" s="10" t="str" cm="1">
        <f t="array" aca="1" ref="H2172" ca="1">IF(INDEX(I2172:Z2172,$H$1)=0,"",INDEX(I2172:Z2172,$H$1))</f>
        <v>Sweetening: Selexol</v>
      </c>
      <c r="I2172" s="17" t="s">
        <v>2422</v>
      </c>
      <c r="J2172" s="17" t="s">
        <v>2422</v>
      </c>
      <c r="K2172" s="17" t="s">
        <v>2422</v>
      </c>
    </row>
    <row r="2173" spans="1:11" x14ac:dyDescent="0.35">
      <c r="A2173" s="10" t="s">
        <v>1185</v>
      </c>
      <c r="B2173" s="255">
        <v>194</v>
      </c>
      <c r="C2173" s="10" t="s">
        <v>204</v>
      </c>
      <c r="D2173" s="10">
        <v>1</v>
      </c>
      <c r="E2173" s="10">
        <v>428</v>
      </c>
      <c r="F2173" s="10" t="s">
        <v>690</v>
      </c>
      <c r="G2173" s="10" t="s">
        <v>695</v>
      </c>
      <c r="H2173" s="10" t="str" cm="1">
        <f t="array" aca="1" ref="H2173" ca="1">IF(INDEX(I2173:Z2173,$H$1)=0,"",INDEX(I2173:Z2173,$H$1))</f>
        <v>Sweetening: Sulfacheck</v>
      </c>
      <c r="I2173" s="17" t="s">
        <v>2423</v>
      </c>
      <c r="J2173" s="17" t="s">
        <v>2423</v>
      </c>
      <c r="K2173" s="17" t="s">
        <v>2423</v>
      </c>
    </row>
    <row r="2174" spans="1:11" x14ac:dyDescent="0.35">
      <c r="A2174" s="10" t="s">
        <v>1185</v>
      </c>
      <c r="B2174" s="255">
        <v>195</v>
      </c>
      <c r="C2174" s="10" t="s">
        <v>204</v>
      </c>
      <c r="D2174" s="10">
        <v>1</v>
      </c>
      <c r="E2174" s="10">
        <v>429</v>
      </c>
      <c r="F2174" s="10" t="s">
        <v>690</v>
      </c>
      <c r="G2174" s="10" t="s">
        <v>695</v>
      </c>
      <c r="H2174" s="10" t="str" cm="1">
        <f t="array" aca="1" ref="H2174" ca="1">IF(INDEX(I2174:Z2174,$H$1)=0,"",INDEX(I2174:Z2174,$H$1))</f>
        <v>Sweetening: Sulfinol</v>
      </c>
      <c r="I2174" s="17" t="s">
        <v>2424</v>
      </c>
      <c r="J2174" s="17" t="s">
        <v>2424</v>
      </c>
      <c r="K2174" s="17" t="s">
        <v>2424</v>
      </c>
    </row>
    <row r="2175" spans="1:11" x14ac:dyDescent="0.35">
      <c r="A2175" s="10" t="s">
        <v>1185</v>
      </c>
      <c r="B2175" s="255">
        <v>196</v>
      </c>
      <c r="C2175" s="10" t="s">
        <v>204</v>
      </c>
      <c r="D2175" s="10">
        <v>1</v>
      </c>
      <c r="E2175" s="10">
        <v>430</v>
      </c>
      <c r="F2175" s="10" t="s">
        <v>690</v>
      </c>
      <c r="G2175" s="10" t="s">
        <v>695</v>
      </c>
      <c r="H2175" s="10" t="str" cm="1">
        <f t="array" aca="1" ref="H2175" ca="1">IF(INDEX(I2175:Z2175,$H$1)=0,"",INDEX(I2175:Z2175,$H$1))</f>
        <v>Vapor Recovery Unit: Offshore</v>
      </c>
      <c r="I2175" s="17" t="s">
        <v>2425</v>
      </c>
      <c r="J2175" s="17" t="s">
        <v>2425</v>
      </c>
      <c r="K2175" s="17" t="s">
        <v>2425</v>
      </c>
    </row>
    <row r="2176" spans="1:11" x14ac:dyDescent="0.35">
      <c r="A2176" s="10" t="s">
        <v>1185</v>
      </c>
      <c r="B2176" s="255">
        <v>197</v>
      </c>
      <c r="C2176" s="10" t="s">
        <v>204</v>
      </c>
      <c r="D2176" s="10">
        <v>1</v>
      </c>
      <c r="E2176" s="10">
        <v>431</v>
      </c>
      <c r="F2176" s="10" t="s">
        <v>690</v>
      </c>
      <c r="G2176" s="10" t="s">
        <v>695</v>
      </c>
      <c r="H2176" s="10" t="str" cm="1">
        <f t="array" aca="1" ref="H2176" ca="1">IF(INDEX(I2176:Z2176,$H$1)=0,"",INDEX(I2176:Z2176,$H$1))</f>
        <v>Vapor Recovery Unit: Onshore</v>
      </c>
      <c r="I2176" s="17" t="s">
        <v>2426</v>
      </c>
      <c r="J2176" s="17" t="s">
        <v>2426</v>
      </c>
      <c r="K2176" s="17" t="s">
        <v>2426</v>
      </c>
    </row>
    <row r="2177" spans="1:11" x14ac:dyDescent="0.35">
      <c r="A2177" s="10" t="s">
        <v>1185</v>
      </c>
      <c r="B2177" s="255">
        <v>198</v>
      </c>
      <c r="C2177" s="10" t="s">
        <v>204</v>
      </c>
      <c r="D2177" s="10">
        <v>1</v>
      </c>
      <c r="E2177" s="10">
        <v>432</v>
      </c>
      <c r="F2177" s="10" t="s">
        <v>690</v>
      </c>
      <c r="G2177" s="10" t="s">
        <v>695</v>
      </c>
      <c r="H2177" s="10" t="str" cm="1">
        <f t="array" aca="1" ref="H2177" ca="1">IF(INDEX(I2177:Z2177,$H$1)=0,"",INDEX(I2177:Z2177,$H$1))</f>
        <v>Well: Conventional Oil</v>
      </c>
      <c r="I2177" s="17" t="s">
        <v>2427</v>
      </c>
      <c r="J2177" s="17" t="s">
        <v>2427</v>
      </c>
      <c r="K2177" s="17" t="s">
        <v>2427</v>
      </c>
    </row>
    <row r="2178" spans="1:11" x14ac:dyDescent="0.35">
      <c r="A2178" s="10" t="s">
        <v>1185</v>
      </c>
      <c r="B2178" s="255">
        <v>198</v>
      </c>
      <c r="C2178" s="10" t="s">
        <v>204</v>
      </c>
      <c r="D2178" s="10">
        <v>1</v>
      </c>
      <c r="E2178" s="10">
        <v>432</v>
      </c>
      <c r="F2178" s="10" t="s">
        <v>690</v>
      </c>
      <c r="G2178" s="10" t="s">
        <v>695</v>
      </c>
      <c r="H2178" s="10" t="str" cm="1">
        <f t="array" aca="1" ref="H2178" ca="1">IF(INDEX(I2178:Z2178,$H$1)=0,"",INDEX(I2178:Z2178,$H$1))</f>
        <v>Well: Conventional Oil (Gas Lift)</v>
      </c>
      <c r="I2178" s="17" t="s">
        <v>3427</v>
      </c>
      <c r="J2178" s="17" t="s">
        <v>3427</v>
      </c>
      <c r="K2178" s="17" t="s">
        <v>3427</v>
      </c>
    </row>
    <row r="2179" spans="1:11" x14ac:dyDescent="0.35">
      <c r="A2179" s="10" t="s">
        <v>1185</v>
      </c>
      <c r="B2179" s="255">
        <v>199</v>
      </c>
      <c r="C2179" s="10" t="s">
        <v>204</v>
      </c>
      <c r="D2179" s="10">
        <v>1</v>
      </c>
      <c r="E2179" s="10">
        <v>433</v>
      </c>
      <c r="F2179" s="10" t="s">
        <v>690</v>
      </c>
      <c r="G2179" s="10" t="s">
        <v>695</v>
      </c>
      <c r="H2179" s="10" t="str" cm="1">
        <f t="array" aca="1" ref="H2179" ca="1">IF(INDEX(I2179:Z2179,$H$1)=0,"",INDEX(I2179:Z2179,$H$1))</f>
        <v>Well: Gas</v>
      </c>
      <c r="I2179" s="17" t="s">
        <v>2428</v>
      </c>
      <c r="J2179" s="17" t="s">
        <v>2428</v>
      </c>
      <c r="K2179" s="17" t="s">
        <v>2428</v>
      </c>
    </row>
    <row r="2180" spans="1:11" x14ac:dyDescent="0.35">
      <c r="A2180" s="10" t="s">
        <v>1185</v>
      </c>
      <c r="B2180" s="255">
        <v>200</v>
      </c>
      <c r="C2180" s="10" t="s">
        <v>204</v>
      </c>
      <c r="D2180" s="10">
        <v>1</v>
      </c>
      <c r="E2180" s="10">
        <v>434</v>
      </c>
      <c r="F2180" s="10" t="s">
        <v>690</v>
      </c>
      <c r="G2180" s="10" t="s">
        <v>695</v>
      </c>
      <c r="H2180" s="10" t="str" cm="1">
        <f t="array" aca="1" ref="H2180" ca="1">IF(INDEX(I2180:Z2180,$H$1)=0,"",INDEX(I2180:Z2180,$H$1))</f>
        <v>Well: Gas (Low-Pressure)</v>
      </c>
      <c r="I2180" s="17" t="s">
        <v>3395</v>
      </c>
      <c r="J2180" s="17" t="s">
        <v>3395</v>
      </c>
      <c r="K2180" s="17" t="s">
        <v>3395</v>
      </c>
    </row>
    <row r="2181" spans="1:11" x14ac:dyDescent="0.35">
      <c r="A2181" s="10" t="s">
        <v>1185</v>
      </c>
      <c r="B2181" s="255">
        <v>201</v>
      </c>
      <c r="C2181" s="10" t="s">
        <v>204</v>
      </c>
      <c r="D2181" s="10">
        <v>1</v>
      </c>
      <c r="E2181" s="10">
        <v>435</v>
      </c>
      <c r="F2181" s="10" t="s">
        <v>690</v>
      </c>
      <c r="G2181" s="10" t="s">
        <v>695</v>
      </c>
      <c r="H2181" s="10" t="str" cm="1">
        <f t="array" aca="1" ref="H2181" ca="1">IF(INDEX(I2181:Z2181,$H$1)=0,"",INDEX(I2181:Z2181,$H$1))</f>
        <v>Well: Heavy Oil</v>
      </c>
      <c r="I2181" s="17" t="s">
        <v>2429</v>
      </c>
      <c r="J2181" s="17" t="s">
        <v>2429</v>
      </c>
      <c r="K2181" s="17" t="s">
        <v>2429</v>
      </c>
    </row>
    <row r="2182" spans="1:11" x14ac:dyDescent="0.35">
      <c r="A2182" s="10" t="s">
        <v>1185</v>
      </c>
      <c r="B2182" s="255">
        <v>202</v>
      </c>
      <c r="C2182" s="10" t="s">
        <v>204</v>
      </c>
      <c r="D2182" s="10">
        <v>1</v>
      </c>
      <c r="E2182" s="10">
        <v>436</v>
      </c>
      <c r="F2182" s="10" t="s">
        <v>690</v>
      </c>
      <c r="G2182" s="10" t="s">
        <v>695</v>
      </c>
      <c r="H2182" s="10" t="str" cm="1">
        <f t="array" aca="1" ref="H2182" ca="1">IF(INDEX(I2182:Z2182,$H$1)=0,"",INDEX(I2182:Z2182,$H$1))</f>
        <v>Well: Offshore</v>
      </c>
      <c r="I2182" s="17" t="s">
        <v>2430</v>
      </c>
      <c r="J2182" s="17" t="s">
        <v>2430</v>
      </c>
      <c r="K2182" s="17" t="s">
        <v>2430</v>
      </c>
    </row>
    <row r="2183" spans="1:11" x14ac:dyDescent="0.35">
      <c r="A2183" s="10" t="s">
        <v>1185</v>
      </c>
      <c r="B2183" s="255">
        <v>203</v>
      </c>
      <c r="C2183" s="10" t="s">
        <v>204</v>
      </c>
      <c r="D2183" s="10">
        <v>1</v>
      </c>
      <c r="E2183" s="10">
        <v>437</v>
      </c>
      <c r="F2183" s="10" t="s">
        <v>690</v>
      </c>
      <c r="G2183" s="10" t="s">
        <v>695</v>
      </c>
      <c r="H2183" s="10" t="str" cm="1">
        <f t="array" aca="1" ref="H2183" ca="1">IF(INDEX(I2183:Z2183,$H$1)=0,"",INDEX(I2183:Z2183,$H$1))</f>
        <v>Blowdown System: Generic (Pit or Vent)</v>
      </c>
      <c r="I2183" s="17" t="s">
        <v>2374</v>
      </c>
      <c r="J2183" s="17" t="s">
        <v>2374</v>
      </c>
      <c r="K2183" s="17" t="s">
        <v>2374</v>
      </c>
    </row>
    <row r="2184" spans="1:11" x14ac:dyDescent="0.35">
      <c r="A2184" s="10" t="s">
        <v>1185</v>
      </c>
      <c r="B2184" s="255">
        <v>204</v>
      </c>
      <c r="C2184" s="10" t="s">
        <v>204</v>
      </c>
      <c r="D2184" s="10">
        <v>1</v>
      </c>
      <c r="E2184" s="10">
        <v>438</v>
      </c>
      <c r="F2184" s="10" t="s">
        <v>690</v>
      </c>
      <c r="G2184" s="10" t="s">
        <v>695</v>
      </c>
      <c r="H2184" s="10" t="str" cm="1">
        <f t="array" aca="1" ref="H2184" ca="1">IF(INDEX(I2184:Z2184,$H$1)=0,"",INDEX(I2184:Z2184,$H$1))</f>
        <v>Aerial Cooler: Natural Gas Service</v>
      </c>
      <c r="I2184" s="17" t="s">
        <v>3396</v>
      </c>
      <c r="J2184" s="17" t="s">
        <v>3396</v>
      </c>
      <c r="K2184" s="17" t="s">
        <v>3396</v>
      </c>
    </row>
    <row r="2185" spans="1:11" x14ac:dyDescent="0.35">
      <c r="A2185" s="10" t="s">
        <v>1185</v>
      </c>
      <c r="B2185" s="255">
        <v>205</v>
      </c>
      <c r="C2185" s="10" t="s">
        <v>204</v>
      </c>
      <c r="D2185" s="10">
        <v>1</v>
      </c>
      <c r="E2185" s="10">
        <v>439</v>
      </c>
      <c r="F2185" s="10" t="s">
        <v>690</v>
      </c>
      <c r="G2185" s="10" t="s">
        <v>695</v>
      </c>
      <c r="H2185" s="10" t="str" cm="1">
        <f t="array" aca="1" ref="H2185" ca="1">IF(INDEX(I2185:Z2185,$H$1)=0,"",INDEX(I2185:Z2185,$H$1))</f>
        <v>Aerial Cooler: Hydrocarbon Liquid Service</v>
      </c>
      <c r="I2185" s="17" t="s">
        <v>3403</v>
      </c>
      <c r="J2185" s="17" t="s">
        <v>3403</v>
      </c>
      <c r="K2185" s="17" t="s">
        <v>3403</v>
      </c>
    </row>
    <row r="2186" spans="1:11" x14ac:dyDescent="0.35">
      <c r="A2186" s="10" t="s">
        <v>1185</v>
      </c>
      <c r="B2186" s="255">
        <v>206</v>
      </c>
      <c r="C2186" s="10" t="s">
        <v>204</v>
      </c>
      <c r="D2186" s="10">
        <v>1</v>
      </c>
      <c r="E2186" s="10">
        <v>440</v>
      </c>
      <c r="F2186" s="10" t="s">
        <v>690</v>
      </c>
      <c r="G2186" s="10" t="s">
        <v>695</v>
      </c>
      <c r="H2186" s="10" t="str" cm="1">
        <f t="array" aca="1" ref="H2186" ca="1">IF(INDEX(I2186:Z2186,$H$1)=0,"",INDEX(I2186:Z2186,$H$1))</f>
        <v>Chemical Injection Pump: Pneumatic (Diaphragm Type)</v>
      </c>
      <c r="I2186" s="17" t="s">
        <v>2375</v>
      </c>
      <c r="J2186" s="17" t="s">
        <v>2375</v>
      </c>
      <c r="K2186" s="17" t="s">
        <v>2375</v>
      </c>
    </row>
    <row r="2187" spans="1:11" x14ac:dyDescent="0.35">
      <c r="A2187" s="10" t="s">
        <v>1185</v>
      </c>
      <c r="B2187" s="255">
        <v>207</v>
      </c>
      <c r="C2187" s="10" t="s">
        <v>204</v>
      </c>
      <c r="D2187" s="10">
        <v>1</v>
      </c>
      <c r="E2187" s="10">
        <v>441</v>
      </c>
      <c r="F2187" s="10" t="s">
        <v>690</v>
      </c>
      <c r="G2187" s="10" t="s">
        <v>695</v>
      </c>
      <c r="H2187" s="10" t="str" cm="1">
        <f t="array" aca="1" ref="H2187" ca="1">IF(INDEX(I2187:Z2187,$H$1)=0,"",INDEX(I2187:Z2187,$H$1))</f>
        <v>Chemical Injection Pump: Pneumatic (Piston Type)</v>
      </c>
      <c r="I2187" s="17" t="s">
        <v>2376</v>
      </c>
      <c r="J2187" s="17" t="s">
        <v>2376</v>
      </c>
      <c r="K2187" s="17" t="s">
        <v>2376</v>
      </c>
    </row>
    <row r="2188" spans="1:11" x14ac:dyDescent="0.35">
      <c r="A2188" s="10" t="s">
        <v>1185</v>
      </c>
      <c r="B2188" s="255">
        <v>208</v>
      </c>
      <c r="C2188" s="10" t="s">
        <v>204</v>
      </c>
      <c r="D2188" s="10">
        <v>1</v>
      </c>
      <c r="E2188" s="10">
        <v>442</v>
      </c>
      <c r="F2188" s="10" t="s">
        <v>690</v>
      </c>
      <c r="G2188" s="10" t="s">
        <v>695</v>
      </c>
      <c r="H2188" s="10" t="str" cm="1">
        <f t="array" aca="1" ref="H2188" ca="1">IF(INDEX(I2188:Z2188,$H$1)=0,"",INDEX(I2188:Z2188,$H$1))</f>
        <v>Chemical Injection Pump: Pneumatic (Unknown Type)</v>
      </c>
      <c r="I2188" s="17" t="s">
        <v>2377</v>
      </c>
      <c r="J2188" s="17" t="s">
        <v>2377</v>
      </c>
      <c r="K2188" s="17" t="s">
        <v>2377</v>
      </c>
    </row>
    <row r="2189" spans="1:11" x14ac:dyDescent="0.35">
      <c r="A2189" s="10" t="s">
        <v>1185</v>
      </c>
      <c r="B2189" s="255">
        <v>209</v>
      </c>
      <c r="C2189" s="10" t="s">
        <v>204</v>
      </c>
      <c r="D2189" s="10">
        <v>1</v>
      </c>
      <c r="E2189" s="10">
        <v>443</v>
      </c>
      <c r="F2189" s="10" t="s">
        <v>690</v>
      </c>
      <c r="G2189" s="10" t="s">
        <v>695</v>
      </c>
      <c r="H2189" s="10" t="str" cm="1">
        <f t="array" aca="1" ref="H2189" ca="1">IF(INDEX(I2189:Z2189,$H$1)=0,"",INDEX(I2189:Z2189,$H$1))</f>
        <v>Compressor: Centrifugal: (Stages: 1) (Seals: Wet) (Driver: Electric Motor)</v>
      </c>
      <c r="I2189" s="17" t="s">
        <v>3219</v>
      </c>
      <c r="J2189" s="17" t="s">
        <v>3219</v>
      </c>
      <c r="K2189" s="17" t="s">
        <v>3219</v>
      </c>
    </row>
    <row r="2190" spans="1:11" x14ac:dyDescent="0.35">
      <c r="A2190" s="10" t="s">
        <v>1185</v>
      </c>
      <c r="B2190" s="255">
        <v>210</v>
      </c>
      <c r="C2190" s="10" t="s">
        <v>204</v>
      </c>
      <c r="D2190" s="10">
        <v>1</v>
      </c>
      <c r="E2190" s="10">
        <v>444</v>
      </c>
      <c r="F2190" s="10" t="s">
        <v>690</v>
      </c>
      <c r="G2190" s="10" t="s">
        <v>695</v>
      </c>
      <c r="H2190" s="10" t="str" cm="1">
        <f t="array" aca="1" ref="H2190" ca="1">IF(INDEX(I2190:Z2190,$H$1)=0,"",INDEX(I2190:Z2190,$H$1))</f>
        <v>Compressor: Centrifugal: (Stages: 1) (Seals: Wet) (Driver: Gas Turbine)</v>
      </c>
      <c r="I2190" s="17" t="s">
        <v>3220</v>
      </c>
      <c r="J2190" s="17" t="s">
        <v>3220</v>
      </c>
      <c r="K2190" s="17" t="s">
        <v>3220</v>
      </c>
    </row>
    <row r="2191" spans="1:11" x14ac:dyDescent="0.35">
      <c r="A2191" s="10" t="s">
        <v>1185</v>
      </c>
      <c r="B2191" s="255">
        <v>211</v>
      </c>
      <c r="C2191" s="10" t="s">
        <v>204</v>
      </c>
      <c r="D2191" s="10">
        <v>1</v>
      </c>
      <c r="E2191" s="10">
        <v>445</v>
      </c>
      <c r="F2191" s="10" t="s">
        <v>690</v>
      </c>
      <c r="G2191" s="10" t="s">
        <v>695</v>
      </c>
      <c r="H2191" s="10" t="str" cm="1">
        <f t="array" aca="1" ref="H2191" ca="1">IF(INDEX(I2191:Z2191,$H$1)=0,"",INDEX(I2191:Z2191,$H$1))</f>
        <v>Compressor: Centrifugal: (Stages: 2) (Seals: Wet) (Driver: Electric Motor)</v>
      </c>
      <c r="I2191" s="17" t="s">
        <v>3221</v>
      </c>
      <c r="J2191" s="17" t="s">
        <v>3221</v>
      </c>
      <c r="K2191" s="17" t="s">
        <v>3221</v>
      </c>
    </row>
    <row r="2192" spans="1:11" x14ac:dyDescent="0.35">
      <c r="A2192" s="10" t="s">
        <v>1185</v>
      </c>
      <c r="B2192" s="255">
        <v>212</v>
      </c>
      <c r="C2192" s="10" t="s">
        <v>204</v>
      </c>
      <c r="D2192" s="10">
        <v>1</v>
      </c>
      <c r="E2192" s="10">
        <v>446</v>
      </c>
      <c r="F2192" s="10" t="s">
        <v>690</v>
      </c>
      <c r="G2192" s="10" t="s">
        <v>695</v>
      </c>
      <c r="H2192" s="10" t="str" cm="1">
        <f t="array" aca="1" ref="H2192" ca="1">IF(INDEX(I2192:Z2192,$H$1)=0,"",INDEX(I2192:Z2192,$H$1))</f>
        <v>Compressor: Centrifugal: (Stages: 2) (Seals: Wet) (Driver: Gas Turbine)</v>
      </c>
      <c r="I2192" s="17" t="s">
        <v>3222</v>
      </c>
      <c r="J2192" s="17" t="s">
        <v>3222</v>
      </c>
      <c r="K2192" s="17" t="s">
        <v>3222</v>
      </c>
    </row>
    <row r="2193" spans="1:11" x14ac:dyDescent="0.35">
      <c r="A2193" s="10" t="s">
        <v>1185</v>
      </c>
      <c r="B2193" s="255">
        <v>213</v>
      </c>
      <c r="C2193" s="10" t="s">
        <v>204</v>
      </c>
      <c r="D2193" s="10">
        <v>1</v>
      </c>
      <c r="E2193" s="10">
        <v>447</v>
      </c>
      <c r="F2193" s="10" t="s">
        <v>690</v>
      </c>
      <c r="G2193" s="10" t="s">
        <v>695</v>
      </c>
      <c r="H2193" s="10" t="str" cm="1">
        <f t="array" aca="1" ref="H2193" ca="1">IF(INDEX(I2193:Z2193,$H$1)=0,"",INDEX(I2193:Z2193,$H$1))</f>
        <v>Compressor: Centrifugal: (Stages: 1) (Seals: Dry) (Driver: Electric Motor)</v>
      </c>
      <c r="I2193" s="17" t="s">
        <v>3223</v>
      </c>
      <c r="J2193" s="17" t="s">
        <v>3223</v>
      </c>
      <c r="K2193" s="17" t="s">
        <v>3223</v>
      </c>
    </row>
    <row r="2194" spans="1:11" x14ac:dyDescent="0.35">
      <c r="A2194" s="10" t="s">
        <v>1185</v>
      </c>
      <c r="B2194" s="255">
        <v>214</v>
      </c>
      <c r="C2194" s="10" t="s">
        <v>204</v>
      </c>
      <c r="D2194" s="10">
        <v>1</v>
      </c>
      <c r="E2194" s="10">
        <v>448</v>
      </c>
      <c r="F2194" s="10" t="s">
        <v>690</v>
      </c>
      <c r="G2194" s="10" t="s">
        <v>695</v>
      </c>
      <c r="H2194" s="10" t="str" cm="1">
        <f t="array" aca="1" ref="H2194" ca="1">IF(INDEX(I2194:Z2194,$H$1)=0,"",INDEX(I2194:Z2194,$H$1))</f>
        <v>Compressor: Centrifugal: (Stages: 1) (Seals: Dry) (Driver: Gas Turbine)</v>
      </c>
      <c r="I2194" s="17" t="s">
        <v>3224</v>
      </c>
      <c r="J2194" s="17" t="s">
        <v>3224</v>
      </c>
      <c r="K2194" s="17" t="s">
        <v>3224</v>
      </c>
    </row>
    <row r="2195" spans="1:11" x14ac:dyDescent="0.35">
      <c r="A2195" s="10" t="s">
        <v>1185</v>
      </c>
      <c r="B2195" s="255">
        <v>215</v>
      </c>
      <c r="C2195" s="10" t="s">
        <v>204</v>
      </c>
      <c r="D2195" s="10">
        <v>1</v>
      </c>
      <c r="E2195" s="10">
        <v>449</v>
      </c>
      <c r="F2195" s="10" t="s">
        <v>690</v>
      </c>
      <c r="G2195" s="10" t="s">
        <v>695</v>
      </c>
      <c r="H2195" s="10" t="str" cm="1">
        <f t="array" aca="1" ref="H2195" ca="1">IF(INDEX(I2195:Z2195,$H$1)=0,"",INDEX(I2195:Z2195,$H$1))</f>
        <v>Compressor: Centrifugal: (Stages: 2) (Seals: Dry) (Driver: Electric Motor)</v>
      </c>
      <c r="I2195" s="17" t="s">
        <v>3225</v>
      </c>
      <c r="J2195" s="17" t="s">
        <v>3225</v>
      </c>
      <c r="K2195" s="17" t="s">
        <v>3225</v>
      </c>
    </row>
    <row r="2196" spans="1:11" x14ac:dyDescent="0.35">
      <c r="A2196" s="10" t="s">
        <v>1185</v>
      </c>
      <c r="B2196" s="255">
        <v>216</v>
      </c>
      <c r="C2196" s="10" t="s">
        <v>204</v>
      </c>
      <c r="D2196" s="10">
        <v>1</v>
      </c>
      <c r="E2196" s="10">
        <v>450</v>
      </c>
      <c r="F2196" s="10" t="s">
        <v>690</v>
      </c>
      <c r="G2196" s="10" t="s">
        <v>695</v>
      </c>
      <c r="H2196" s="10" t="str" cm="1">
        <f t="array" aca="1" ref="H2196" ca="1">IF(INDEX(I2196:Z2196,$H$1)=0,"",INDEX(I2196:Z2196,$H$1))</f>
        <v>Compressor: Centrifugal: (Stages: 2) (Seals: Dry) (Driver: Gas Turbine)</v>
      </c>
      <c r="I2196" s="17" t="s">
        <v>3226</v>
      </c>
      <c r="J2196" s="17" t="s">
        <v>3226</v>
      </c>
      <c r="K2196" s="17" t="s">
        <v>3226</v>
      </c>
    </row>
    <row r="2197" spans="1:11" x14ac:dyDescent="0.35">
      <c r="A2197" s="10" t="s">
        <v>1185</v>
      </c>
      <c r="B2197" s="255">
        <v>217</v>
      </c>
      <c r="C2197" s="10" t="s">
        <v>204</v>
      </c>
      <c r="D2197" s="10">
        <v>1</v>
      </c>
      <c r="E2197" s="10">
        <v>451</v>
      </c>
      <c r="F2197" s="10" t="s">
        <v>690</v>
      </c>
      <c r="G2197" s="10" t="s">
        <v>695</v>
      </c>
      <c r="H2197" s="10" t="str" cm="1">
        <f t="array" aca="1" ref="H2197" ca="1">IF(INDEX(I2197:Z2197,$H$1)=0,"",INDEX(I2197:Z2197,$H$1))</f>
        <v>Compressor: Reciprocating: (Stages: 1) (Driver: Electric Motor)</v>
      </c>
      <c r="I2197" s="17" t="s">
        <v>2378</v>
      </c>
      <c r="J2197" s="17" t="s">
        <v>2378</v>
      </c>
      <c r="K2197" s="17" t="s">
        <v>2378</v>
      </c>
    </row>
    <row r="2198" spans="1:11" x14ac:dyDescent="0.35">
      <c r="A2198" s="10" t="s">
        <v>1185</v>
      </c>
      <c r="B2198" s="255">
        <v>218</v>
      </c>
      <c r="C2198" s="10" t="s">
        <v>204</v>
      </c>
      <c r="D2198" s="10">
        <v>1</v>
      </c>
      <c r="E2198" s="10">
        <v>452</v>
      </c>
      <c r="F2198" s="10" t="s">
        <v>690</v>
      </c>
      <c r="G2198" s="10" t="s">
        <v>695</v>
      </c>
      <c r="H2198" s="10" t="str" cm="1">
        <f t="array" aca="1" ref="H2198" ca="1">IF(INDEX(I2198:Z2198,$H$1)=0,"",INDEX(I2198:Z2198,$H$1))</f>
        <v>Compressor: Reciprocating: (Stages: 1) (Driver: Recip Engine)</v>
      </c>
      <c r="I2198" s="17" t="s">
        <v>2379</v>
      </c>
      <c r="J2198" s="17" t="s">
        <v>2379</v>
      </c>
      <c r="K2198" s="17" t="s">
        <v>2379</v>
      </c>
    </row>
    <row r="2199" spans="1:11" x14ac:dyDescent="0.35">
      <c r="A2199" s="10" t="s">
        <v>1185</v>
      </c>
      <c r="B2199" s="255">
        <v>219</v>
      </c>
      <c r="C2199" s="10" t="s">
        <v>204</v>
      </c>
      <c r="D2199" s="10">
        <v>1</v>
      </c>
      <c r="E2199" s="10">
        <v>453</v>
      </c>
      <c r="F2199" s="10" t="s">
        <v>690</v>
      </c>
      <c r="G2199" s="10" t="s">
        <v>695</v>
      </c>
      <c r="H2199" s="10" t="str" cm="1">
        <f t="array" aca="1" ref="H2199" ca="1">IF(INDEX(I2199:Z2199,$H$1)=0,"",INDEX(I2199:Z2199,$H$1))</f>
        <v>Compressor: Reciprocating: (Stages: 2) (Driver: Electric Motor)</v>
      </c>
      <c r="I2199" s="17" t="s">
        <v>2380</v>
      </c>
      <c r="J2199" s="17" t="s">
        <v>2380</v>
      </c>
      <c r="K2199" s="17" t="s">
        <v>2380</v>
      </c>
    </row>
    <row r="2200" spans="1:11" x14ac:dyDescent="0.35">
      <c r="A2200" s="10" t="s">
        <v>1185</v>
      </c>
      <c r="B2200" s="255">
        <v>220</v>
      </c>
      <c r="C2200" s="10" t="s">
        <v>204</v>
      </c>
      <c r="D2200" s="10">
        <v>1</v>
      </c>
      <c r="E2200" s="10">
        <v>454</v>
      </c>
      <c r="F2200" s="10" t="s">
        <v>690</v>
      </c>
      <c r="G2200" s="10" t="s">
        <v>695</v>
      </c>
      <c r="H2200" s="10" t="str" cm="1">
        <f t="array" aca="1" ref="H2200" ca="1">IF(INDEX(I2200:Z2200,$H$1)=0,"",INDEX(I2200:Z2200,$H$1))</f>
        <v>Compressor: Reciprocating: (Stages: 2) (Driver: Recip Engine)</v>
      </c>
      <c r="I2200" s="17" t="s">
        <v>2381</v>
      </c>
      <c r="J2200" s="17" t="s">
        <v>2381</v>
      </c>
      <c r="K2200" s="17" t="s">
        <v>2381</v>
      </c>
    </row>
    <row r="2201" spans="1:11" x14ac:dyDescent="0.35">
      <c r="A2201" s="10" t="s">
        <v>1185</v>
      </c>
      <c r="B2201" s="255">
        <v>221</v>
      </c>
      <c r="C2201" s="10" t="s">
        <v>204</v>
      </c>
      <c r="D2201" s="10">
        <v>1</v>
      </c>
      <c r="E2201" s="10">
        <v>455</v>
      </c>
      <c r="F2201" s="10" t="s">
        <v>690</v>
      </c>
      <c r="G2201" s="10" t="s">
        <v>695</v>
      </c>
      <c r="H2201" s="10" t="str" cm="1">
        <f t="array" aca="1" ref="H2201" ca="1">IF(INDEX(I2201:Z2201,$H$1)=0,"",INDEX(I2201:Z2201,$H$1))</f>
        <v>Compressor: Reciprocating: (Stages: 3) (Driver: Electric Motor)</v>
      </c>
      <c r="I2201" s="17" t="s">
        <v>2382</v>
      </c>
      <c r="J2201" s="17" t="s">
        <v>2382</v>
      </c>
      <c r="K2201" s="17" t="s">
        <v>2382</v>
      </c>
    </row>
    <row r="2202" spans="1:11" x14ac:dyDescent="0.35">
      <c r="A2202" s="10" t="s">
        <v>1185</v>
      </c>
      <c r="B2202" s="255">
        <v>222</v>
      </c>
      <c r="C2202" s="10" t="s">
        <v>204</v>
      </c>
      <c r="D2202" s="10">
        <v>1</v>
      </c>
      <c r="E2202" s="10">
        <v>456</v>
      </c>
      <c r="F2202" s="10" t="s">
        <v>690</v>
      </c>
      <c r="G2202" s="10" t="s">
        <v>695</v>
      </c>
      <c r="H2202" s="10" t="str" cm="1">
        <f t="array" aca="1" ref="H2202" ca="1">IF(INDEX(I2202:Z2202,$H$1)=0,"",INDEX(I2202:Z2202,$H$1))</f>
        <v>Compressor: Reciprocating: (Stages: 3) (Driver: Recip Engine)</v>
      </c>
      <c r="I2202" s="17" t="s">
        <v>2383</v>
      </c>
      <c r="J2202" s="17" t="s">
        <v>2383</v>
      </c>
      <c r="K2202" s="17" t="s">
        <v>2383</v>
      </c>
    </row>
    <row r="2203" spans="1:11" x14ac:dyDescent="0.35">
      <c r="A2203" s="10" t="s">
        <v>1185</v>
      </c>
      <c r="B2203" s="255">
        <v>223</v>
      </c>
      <c r="C2203" s="10" t="s">
        <v>204</v>
      </c>
      <c r="D2203" s="10">
        <v>1</v>
      </c>
      <c r="E2203" s="10">
        <v>457</v>
      </c>
      <c r="F2203" s="10" t="s">
        <v>690</v>
      </c>
      <c r="G2203" s="10" t="s">
        <v>695</v>
      </c>
      <c r="H2203" s="10" t="str" cm="1">
        <f t="array" aca="1" ref="H2203" ca="1">IF(INDEX(I2203:Z2203,$H$1)=0,"",INDEX(I2203:Z2203,$H$1))</f>
        <v>Compressor: Reciprocating: (Stages 4) (Driver: Electric Motor)</v>
      </c>
      <c r="I2203" s="17" t="s">
        <v>3308</v>
      </c>
      <c r="J2203" s="17" t="s">
        <v>3308</v>
      </c>
      <c r="K2203" s="17" t="s">
        <v>3308</v>
      </c>
    </row>
    <row r="2204" spans="1:11" x14ac:dyDescent="0.35">
      <c r="A2204" s="10" t="s">
        <v>1185</v>
      </c>
      <c r="B2204" s="255">
        <v>224</v>
      </c>
      <c r="C2204" s="10" t="s">
        <v>204</v>
      </c>
      <c r="D2204" s="10">
        <v>1</v>
      </c>
      <c r="E2204" s="10">
        <v>458</v>
      </c>
      <c r="F2204" s="10" t="s">
        <v>690</v>
      </c>
      <c r="G2204" s="10" t="s">
        <v>695</v>
      </c>
      <c r="H2204" s="10" t="str" cm="1">
        <f t="array" aca="1" ref="H2204" ca="1">IF(INDEX(I2204:Z2204,$H$1)=0,"",INDEX(I2204:Z2204,$H$1))</f>
        <v>Compressor: Reciprocating: (Stages 4) (Driver: Recip Engine)</v>
      </c>
      <c r="I2204" s="17" t="s">
        <v>3307</v>
      </c>
      <c r="J2204" s="17" t="s">
        <v>3307</v>
      </c>
      <c r="K2204" s="17" t="s">
        <v>3307</v>
      </c>
    </row>
    <row r="2205" spans="1:11" x14ac:dyDescent="0.35">
      <c r="A2205" s="10" t="s">
        <v>1185</v>
      </c>
      <c r="B2205" s="255">
        <v>225</v>
      </c>
      <c r="C2205" s="10" t="s">
        <v>204</v>
      </c>
      <c r="D2205" s="10">
        <v>1</v>
      </c>
      <c r="E2205" s="10">
        <v>459</v>
      </c>
      <c r="F2205" s="10" t="s">
        <v>690</v>
      </c>
      <c r="G2205" s="10" t="s">
        <v>695</v>
      </c>
      <c r="H2205" s="10" t="str" cm="1">
        <f t="array" aca="1" ref="H2205" ca="1">IF(INDEX(I2205:Z2205,$H$1)=0,"",INDEX(I2205:Z2205,$H$1))</f>
        <v>Drain Tank</v>
      </c>
      <c r="I2205" s="17" t="s">
        <v>2431</v>
      </c>
      <c r="J2205" s="17" t="s">
        <v>2431</v>
      </c>
      <c r="K2205" s="17" t="s">
        <v>2431</v>
      </c>
    </row>
    <row r="2206" spans="1:11" x14ac:dyDescent="0.35">
      <c r="A2206" s="10" t="s">
        <v>1185</v>
      </c>
      <c r="B2206" s="255">
        <v>226</v>
      </c>
      <c r="C2206" s="10" t="s">
        <v>204</v>
      </c>
      <c r="D2206" s="10">
        <v>1</v>
      </c>
      <c r="E2206" s="10">
        <v>460</v>
      </c>
      <c r="F2206" s="10" t="s">
        <v>690</v>
      </c>
      <c r="G2206" s="10" t="s">
        <v>695</v>
      </c>
      <c r="H2206" s="10" t="str" cm="1">
        <f t="array" aca="1" ref="H2206" ca="1">IF(INDEX(I2206:Z2206,$H$1)=0,"",INDEX(I2206:Z2206,$H$1))</f>
        <v>Flare System: Generic (Including Knock-out Drum)</v>
      </c>
      <c r="I2206" s="17" t="s">
        <v>2390</v>
      </c>
      <c r="J2206" s="17" t="s">
        <v>2390</v>
      </c>
      <c r="K2206" s="17" t="s">
        <v>2390</v>
      </c>
    </row>
    <row r="2207" spans="1:11" x14ac:dyDescent="0.35">
      <c r="A2207" s="10" t="s">
        <v>1185</v>
      </c>
      <c r="B2207" s="255">
        <v>227</v>
      </c>
      <c r="C2207" s="10" t="s">
        <v>204</v>
      </c>
      <c r="D2207" s="10">
        <v>1</v>
      </c>
      <c r="E2207" s="10">
        <v>461</v>
      </c>
      <c r="F2207" s="10" t="s">
        <v>690</v>
      </c>
      <c r="G2207" s="10" t="s">
        <v>695</v>
      </c>
      <c r="H2207" s="10" t="str" cm="1">
        <f t="array" aca="1" ref="H2207" ca="1">IF(INDEX(I2207:Z2207,$H$1)=0,"",INDEX(I2207:Z2207,$H$1))</f>
        <v>Heater/Boiler/Reboiler: Line (Burner Assemblies: 1)</v>
      </c>
      <c r="I2207" s="17" t="s">
        <v>2671</v>
      </c>
      <c r="J2207" s="17" t="s">
        <v>2671</v>
      </c>
      <c r="K2207" s="17" t="s">
        <v>2671</v>
      </c>
    </row>
    <row r="2208" spans="1:11" x14ac:dyDescent="0.35">
      <c r="A2208" s="10" t="s">
        <v>1185</v>
      </c>
      <c r="B2208" s="255">
        <v>228</v>
      </c>
      <c r="C2208" s="10" t="s">
        <v>204</v>
      </c>
      <c r="D2208" s="10">
        <v>1</v>
      </c>
      <c r="E2208" s="10">
        <v>462</v>
      </c>
      <c r="F2208" s="10" t="s">
        <v>690</v>
      </c>
      <c r="G2208" s="10" t="s">
        <v>695</v>
      </c>
      <c r="H2208" s="10" t="str" cm="1">
        <f t="array" aca="1" ref="H2208" ca="1">IF(INDEX(I2208:Z2208,$H$1)=0,"",INDEX(I2208:Z2208,$H$1))</f>
        <v>Heater/Boiler/Reboiler: Line (Burner Assemblies: 2)</v>
      </c>
      <c r="I2208" s="17" t="s">
        <v>2672</v>
      </c>
      <c r="J2208" s="17" t="s">
        <v>2672</v>
      </c>
      <c r="K2208" s="17" t="s">
        <v>2672</v>
      </c>
    </row>
    <row r="2209" spans="1:11" x14ac:dyDescent="0.35">
      <c r="A2209" s="10" t="s">
        <v>1185</v>
      </c>
      <c r="B2209" s="255">
        <v>229</v>
      </c>
      <c r="C2209" s="10" t="s">
        <v>204</v>
      </c>
      <c r="D2209" s="10">
        <v>1</v>
      </c>
      <c r="E2209" s="10">
        <v>463</v>
      </c>
      <c r="F2209" s="10" t="s">
        <v>690</v>
      </c>
      <c r="G2209" s="10" t="s">
        <v>695</v>
      </c>
      <c r="H2209" s="10" t="str" cm="1">
        <f t="array" aca="1" ref="H2209" ca="1">IF(INDEX(I2209:Z2209,$H$1)=0,"",INDEX(I2209:Z2209,$H$1))</f>
        <v>Heater/Boiler/Reboiler: Line (Burner Assemblies: 3)</v>
      </c>
      <c r="I2209" s="17" t="s">
        <v>2673</v>
      </c>
      <c r="J2209" s="17" t="s">
        <v>2673</v>
      </c>
      <c r="K2209" s="17" t="s">
        <v>2673</v>
      </c>
    </row>
    <row r="2210" spans="1:11" x14ac:dyDescent="0.35">
      <c r="A2210" s="10" t="s">
        <v>1185</v>
      </c>
      <c r="B2210" s="255">
        <v>230</v>
      </c>
      <c r="C2210" s="10" t="s">
        <v>204</v>
      </c>
      <c r="D2210" s="10">
        <v>1</v>
      </c>
      <c r="E2210" s="10">
        <v>464</v>
      </c>
      <c r="F2210" s="10" t="s">
        <v>690</v>
      </c>
      <c r="G2210" s="10" t="s">
        <v>695</v>
      </c>
      <c r="H2210" s="10" t="str" cm="1">
        <f t="array" aca="1" ref="H2210" ca="1">IF(INDEX(I2210:Z2210,$H$1)=0,"",INDEX(I2210:Z2210,$H$1))</f>
        <v>Inlet/Outlet Header: Gas Facilities (Fittings Per Pipeline)</v>
      </c>
      <c r="I2210" s="17" t="s">
        <v>2729</v>
      </c>
      <c r="J2210" s="17" t="s">
        <v>2729</v>
      </c>
      <c r="K2210" s="17" t="s">
        <v>2729</v>
      </c>
    </row>
    <row r="2211" spans="1:11" x14ac:dyDescent="0.35">
      <c r="A2211" s="10" t="s">
        <v>1185</v>
      </c>
      <c r="B2211" s="255">
        <v>231</v>
      </c>
      <c r="C2211" s="10" t="s">
        <v>204</v>
      </c>
      <c r="D2211" s="10">
        <v>1</v>
      </c>
      <c r="E2211" s="10">
        <v>465</v>
      </c>
      <c r="F2211" s="10" t="s">
        <v>690</v>
      </c>
      <c r="G2211" s="10" t="s">
        <v>695</v>
      </c>
      <c r="H2211" s="10" t="str" cm="1">
        <f t="array" aca="1" ref="H2211" ca="1">IF(INDEX(I2211:Z2211,$H$1)=0,"",INDEX(I2211:Z2211,$H$1))</f>
        <v>Mainline Block Valve</v>
      </c>
      <c r="I2211" s="17" t="s">
        <v>208</v>
      </c>
      <c r="J2211" s="17" t="s">
        <v>208</v>
      </c>
      <c r="K2211" s="17" t="s">
        <v>208</v>
      </c>
    </row>
    <row r="2212" spans="1:11" x14ac:dyDescent="0.35">
      <c r="A2212" s="10" t="s">
        <v>1185</v>
      </c>
      <c r="B2212" s="255">
        <v>232</v>
      </c>
      <c r="C2212" s="10" t="s">
        <v>204</v>
      </c>
      <c r="D2212" s="10">
        <v>1</v>
      </c>
      <c r="E2212" s="10">
        <v>466</v>
      </c>
      <c r="F2212" s="10" t="s">
        <v>690</v>
      </c>
      <c r="G2212" s="10" t="s">
        <v>695</v>
      </c>
      <c r="H2212" s="10" t="str" cm="1">
        <f t="array" aca="1" ref="H2212" ca="1">IF(INDEX(I2212:Z2212,$H$1)=0,"",INDEX(I2212:Z2212,$H$1))</f>
        <v>Meter Run: Generic</v>
      </c>
      <c r="I2212" s="17" t="s">
        <v>2432</v>
      </c>
      <c r="J2212" s="17" t="s">
        <v>2432</v>
      </c>
      <c r="K2212" s="17" t="s">
        <v>2432</v>
      </c>
    </row>
    <row r="2213" spans="1:11" x14ac:dyDescent="0.35">
      <c r="A2213" s="10" t="s">
        <v>1185</v>
      </c>
      <c r="B2213" s="255">
        <v>233</v>
      </c>
      <c r="C2213" s="10" t="s">
        <v>204</v>
      </c>
      <c r="D2213" s="10">
        <v>1</v>
      </c>
      <c r="E2213" s="10">
        <v>467</v>
      </c>
      <c r="F2213" s="10" t="s">
        <v>690</v>
      </c>
      <c r="G2213" s="10" t="s">
        <v>695</v>
      </c>
      <c r="H2213" s="10" t="str" cm="1">
        <f t="array" aca="1" ref="H2213" ca="1">IF(INDEX(I2213:Z2213,$H$1)=0,"",INDEX(I2213:Z2213,$H$1))</f>
        <v>Meter Set: Commercial</v>
      </c>
      <c r="I2213" s="17" t="s">
        <v>2433</v>
      </c>
      <c r="J2213" s="17" t="s">
        <v>2433</v>
      </c>
      <c r="K2213" s="17" t="s">
        <v>2433</v>
      </c>
    </row>
    <row r="2214" spans="1:11" x14ac:dyDescent="0.35">
      <c r="A2214" s="10" t="s">
        <v>1185</v>
      </c>
      <c r="B2214" s="255">
        <v>234</v>
      </c>
      <c r="C2214" s="10" t="s">
        <v>204</v>
      </c>
      <c r="D2214" s="10">
        <v>1</v>
      </c>
      <c r="E2214" s="10">
        <v>468</v>
      </c>
      <c r="F2214" s="10" t="s">
        <v>690</v>
      </c>
      <c r="G2214" s="10" t="s">
        <v>695</v>
      </c>
      <c r="H2214" s="10" t="str" cm="1">
        <f t="array" aca="1" ref="H2214" ca="1">IF(INDEX(I2214:Z2214,$H$1)=0,"",INDEX(I2214:Z2214,$H$1))</f>
        <v>Meter Set: Farm Tap</v>
      </c>
      <c r="I2214" s="17" t="s">
        <v>2434</v>
      </c>
      <c r="J2214" s="17" t="s">
        <v>2434</v>
      </c>
      <c r="K2214" s="17" t="s">
        <v>2434</v>
      </c>
    </row>
    <row r="2215" spans="1:11" x14ac:dyDescent="0.35">
      <c r="A2215" s="10" t="s">
        <v>1185</v>
      </c>
      <c r="B2215" s="255">
        <v>235</v>
      </c>
      <c r="C2215" s="10" t="s">
        <v>204</v>
      </c>
      <c r="D2215" s="10">
        <v>1</v>
      </c>
      <c r="E2215" s="10">
        <v>469</v>
      </c>
      <c r="F2215" s="10" t="s">
        <v>690</v>
      </c>
      <c r="G2215" s="10" t="s">
        <v>695</v>
      </c>
      <c r="H2215" s="10" t="str" cm="1">
        <f t="array" aca="1" ref="H2215" ca="1">IF(INDEX(I2215:Z2215,$H$1)=0,"",INDEX(I2215:Z2215,$H$1))</f>
        <v>Meter Set: Industrial</v>
      </c>
      <c r="I2215" s="17" t="s">
        <v>2435</v>
      </c>
      <c r="J2215" s="17" t="s">
        <v>2435</v>
      </c>
      <c r="K2215" s="17" t="s">
        <v>2435</v>
      </c>
    </row>
    <row r="2216" spans="1:11" x14ac:dyDescent="0.35">
      <c r="A2216" s="10" t="s">
        <v>1185</v>
      </c>
      <c r="B2216" s="255">
        <v>236</v>
      </c>
      <c r="C2216" s="10" t="s">
        <v>204</v>
      </c>
      <c r="D2216" s="10">
        <v>1</v>
      </c>
      <c r="E2216" s="10">
        <v>470</v>
      </c>
      <c r="F2216" s="10" t="s">
        <v>690</v>
      </c>
      <c r="G2216" s="10" t="s">
        <v>695</v>
      </c>
      <c r="H2216" s="10" t="str" cm="1">
        <f t="array" aca="1" ref="H2216" ca="1">IF(INDEX(I2216:Z2216,$H$1)=0,"",INDEX(I2216:Z2216,$H$1))</f>
        <v>Meter Station: Border</v>
      </c>
      <c r="I2216" s="17" t="s">
        <v>2436</v>
      </c>
      <c r="J2216" s="17" t="s">
        <v>2436</v>
      </c>
      <c r="K2216" s="17" t="s">
        <v>2436</v>
      </c>
    </row>
    <row r="2217" spans="1:11" x14ac:dyDescent="0.35">
      <c r="A2217" s="10" t="s">
        <v>1185</v>
      </c>
      <c r="B2217" s="255">
        <v>237</v>
      </c>
      <c r="C2217" s="10" t="s">
        <v>204</v>
      </c>
      <c r="D2217" s="10">
        <v>1</v>
      </c>
      <c r="E2217" s="10">
        <v>471</v>
      </c>
      <c r="F2217" s="10" t="s">
        <v>690</v>
      </c>
      <c r="G2217" s="10" t="s">
        <v>695</v>
      </c>
      <c r="H2217" s="10" t="str" cm="1">
        <f t="array" aca="1" ref="H2217" ca="1">IF(INDEX(I2217:Z2217,$H$1)=0,"",INDEX(I2217:Z2217,$H$1))</f>
        <v>Meter Station: Receipt/Sales</v>
      </c>
      <c r="I2217" s="17" t="s">
        <v>2437</v>
      </c>
      <c r="J2217" s="17" t="s">
        <v>2437</v>
      </c>
      <c r="K2217" s="17" t="s">
        <v>2437</v>
      </c>
    </row>
    <row r="2218" spans="1:11" x14ac:dyDescent="0.35">
      <c r="A2218" s="10" t="s">
        <v>1185</v>
      </c>
      <c r="B2218" s="255">
        <v>238</v>
      </c>
      <c r="C2218" s="10" t="s">
        <v>204</v>
      </c>
      <c r="D2218" s="10">
        <v>1</v>
      </c>
      <c r="E2218" s="10">
        <v>472</v>
      </c>
      <c r="F2218" s="10" t="s">
        <v>690</v>
      </c>
      <c r="G2218" s="10" t="s">
        <v>695</v>
      </c>
      <c r="H2218" s="10" t="str" cm="1">
        <f t="array" aca="1" ref="H2218" ca="1">IF(INDEX(I2218:Z2218,$H$1)=0,"",INDEX(I2218:Z2218,$H$1))</f>
        <v>PIG Receiver or Sender</v>
      </c>
      <c r="I2218" s="17" t="s">
        <v>230</v>
      </c>
      <c r="J2218" s="17" t="s">
        <v>230</v>
      </c>
      <c r="K2218" s="17" t="s">
        <v>230</v>
      </c>
    </row>
    <row r="2219" spans="1:11" x14ac:dyDescent="0.35">
      <c r="A2219" s="10" t="s">
        <v>1185</v>
      </c>
      <c r="B2219" s="255">
        <v>239</v>
      </c>
      <c r="C2219" s="10" t="s">
        <v>204</v>
      </c>
      <c r="D2219" s="10">
        <v>1</v>
      </c>
      <c r="E2219" s="10">
        <v>473</v>
      </c>
      <c r="F2219" s="10" t="s">
        <v>690</v>
      </c>
      <c r="G2219" s="10" t="s">
        <v>695</v>
      </c>
      <c r="H2219" s="10" t="str" cm="1">
        <f t="array" aca="1" ref="H2219" ca="1">IF(INDEX(I2219:Z2219,$H$1)=0,"",INDEX(I2219:Z2219,$H$1))</f>
        <v>Power Generator: Natural Gas Fuelled (Driver: Gas Turbine)</v>
      </c>
      <c r="I2219" s="17" t="s">
        <v>2674</v>
      </c>
      <c r="J2219" s="17" t="s">
        <v>2674</v>
      </c>
      <c r="K2219" s="17" t="s">
        <v>2674</v>
      </c>
    </row>
    <row r="2220" spans="1:11" x14ac:dyDescent="0.35">
      <c r="A2220" s="10" t="s">
        <v>1185</v>
      </c>
      <c r="B2220" s="255">
        <v>240</v>
      </c>
      <c r="C2220" s="10" t="s">
        <v>204</v>
      </c>
      <c r="D2220" s="10">
        <v>1</v>
      </c>
      <c r="E2220" s="10">
        <v>474</v>
      </c>
      <c r="F2220" s="10" t="s">
        <v>690</v>
      </c>
      <c r="G2220" s="10" t="s">
        <v>695</v>
      </c>
      <c r="H2220" s="10" t="str" cm="1">
        <f t="array" aca="1" ref="H2220" ca="1">IF(INDEX(I2220:Z2220,$H$1)=0,"",INDEX(I2220:Z2220,$H$1))</f>
        <v>Power Generator: Natural Gas Fuelled (Driver: Recip. Engine)</v>
      </c>
      <c r="I2220" s="17" t="s">
        <v>2403</v>
      </c>
      <c r="J2220" s="17" t="s">
        <v>2403</v>
      </c>
      <c r="K2220" s="17" t="s">
        <v>2403</v>
      </c>
    </row>
    <row r="2221" spans="1:11" x14ac:dyDescent="0.35">
      <c r="A2221" s="10" t="s">
        <v>1185</v>
      </c>
      <c r="B2221" s="255">
        <v>241</v>
      </c>
      <c r="C2221" s="10" t="s">
        <v>204</v>
      </c>
      <c r="D2221" s="10">
        <v>1</v>
      </c>
      <c r="E2221" s="10">
        <v>475</v>
      </c>
      <c r="F2221" s="10" t="s">
        <v>690</v>
      </c>
      <c r="G2221" s="10" t="s">
        <v>695</v>
      </c>
      <c r="H2221" s="10" t="str" cm="1">
        <f t="array" aca="1" ref="H2221" ca="1">IF(INDEX(I2221:Z2221,$H$1)=0,"",INDEX(I2221:Z2221,$H$1))</f>
        <v>Separator: Filter Separator</v>
      </c>
      <c r="I2221" s="17" t="s">
        <v>2404</v>
      </c>
      <c r="J2221" s="17" t="s">
        <v>2404</v>
      </c>
      <c r="K2221" s="17" t="s">
        <v>2404</v>
      </c>
    </row>
    <row r="2222" spans="1:11" x14ac:dyDescent="0.35">
      <c r="A2222" s="10" t="s">
        <v>1185</v>
      </c>
      <c r="B2222" s="255">
        <v>242</v>
      </c>
      <c r="C2222" s="10" t="s">
        <v>204</v>
      </c>
      <c r="D2222" s="10">
        <v>1</v>
      </c>
      <c r="E2222" s="10">
        <v>476</v>
      </c>
      <c r="F2222" s="10" t="s">
        <v>690</v>
      </c>
      <c r="G2222" s="10" t="s">
        <v>695</v>
      </c>
      <c r="H2222" s="10" t="str" cm="1">
        <f t="array" aca="1" ref="H2222" ca="1">IF(INDEX(I2222:Z2222,$H$1)=0,"",INDEX(I2222:Z2222,$H$1))</f>
        <v>Separator: Horizontal (Phases: 2)</v>
      </c>
      <c r="I2222" s="17" t="s">
        <v>2405</v>
      </c>
      <c r="J2222" s="17" t="s">
        <v>2405</v>
      </c>
      <c r="K2222" s="17" t="s">
        <v>2405</v>
      </c>
    </row>
    <row r="2223" spans="1:11" x14ac:dyDescent="0.35">
      <c r="A2223" s="10" t="s">
        <v>1185</v>
      </c>
      <c r="B2223" s="255">
        <v>243</v>
      </c>
      <c r="C2223" s="10" t="s">
        <v>204</v>
      </c>
      <c r="D2223" s="10">
        <v>1</v>
      </c>
      <c r="E2223" s="10">
        <v>477</v>
      </c>
      <c r="F2223" s="10" t="s">
        <v>690</v>
      </c>
      <c r="G2223" s="10" t="s">
        <v>695</v>
      </c>
      <c r="H2223" s="10" t="str" cm="1">
        <f t="array" aca="1" ref="H2223" ca="1">IF(INDEX(I2223:Z2223,$H$1)=0,"",INDEX(I2223:Z2223,$H$1))</f>
        <v>Separator: Horizontal (Phases: 3)</v>
      </c>
      <c r="I2223" s="17" t="s">
        <v>2406</v>
      </c>
      <c r="J2223" s="17" t="s">
        <v>2406</v>
      </c>
      <c r="K2223" s="17" t="s">
        <v>2406</v>
      </c>
    </row>
    <row r="2224" spans="1:11" x14ac:dyDescent="0.35">
      <c r="A2224" s="10" t="s">
        <v>1185</v>
      </c>
      <c r="B2224" s="255">
        <v>244</v>
      </c>
      <c r="C2224" s="10" t="s">
        <v>204</v>
      </c>
      <c r="D2224" s="10">
        <v>1</v>
      </c>
      <c r="E2224" s="10">
        <v>478</v>
      </c>
      <c r="F2224" s="10" t="s">
        <v>690</v>
      </c>
      <c r="G2224" s="10" t="s">
        <v>695</v>
      </c>
      <c r="H2224" s="10" t="str" cm="1">
        <f t="array" aca="1" ref="H2224" ca="1">IF(INDEX(I2224:Z2224,$H$1)=0,"",INDEX(I2224:Z2224,$H$1))</f>
        <v>Separator: Vertical (Phases: 2)</v>
      </c>
      <c r="I2224" s="17" t="s">
        <v>2407</v>
      </c>
      <c r="J2224" s="17" t="s">
        <v>2407</v>
      </c>
      <c r="K2224" s="17" t="s">
        <v>2407</v>
      </c>
    </row>
    <row r="2225" spans="1:11" x14ac:dyDescent="0.35">
      <c r="A2225" s="10" t="s">
        <v>1185</v>
      </c>
      <c r="B2225" s="255">
        <v>245</v>
      </c>
      <c r="C2225" s="10" t="s">
        <v>204</v>
      </c>
      <c r="D2225" s="10">
        <v>1</v>
      </c>
      <c r="E2225" s="10">
        <v>479</v>
      </c>
      <c r="F2225" s="10" t="s">
        <v>690</v>
      </c>
      <c r="G2225" s="10" t="s">
        <v>695</v>
      </c>
      <c r="H2225" s="10" t="str" cm="1">
        <f t="array" aca="1" ref="H2225" ca="1">IF(INDEX(I2225:Z2225,$H$1)=0,"",INDEX(I2225:Z2225,$H$1))</f>
        <v>Separator: Vertical (Phases: 3)</v>
      </c>
      <c r="I2225" s="17" t="s">
        <v>2408</v>
      </c>
      <c r="J2225" s="17" t="s">
        <v>2408</v>
      </c>
      <c r="K2225" s="17" t="s">
        <v>2408</v>
      </c>
    </row>
    <row r="2226" spans="1:11" x14ac:dyDescent="0.35">
      <c r="A2226" s="10" t="s">
        <v>1185</v>
      </c>
      <c r="B2226" s="255">
        <v>246</v>
      </c>
      <c r="C2226" s="10" t="s">
        <v>204</v>
      </c>
      <c r="D2226" s="10">
        <v>1</v>
      </c>
      <c r="E2226" s="10">
        <v>480</v>
      </c>
      <c r="F2226" s="10" t="s">
        <v>690</v>
      </c>
      <c r="G2226" s="10" t="s">
        <v>695</v>
      </c>
      <c r="H2226" s="10" t="str" cm="1">
        <f t="array" aca="1" ref="H2226" ca="1">IF(INDEX(I2226:Z2226,$H$1)=0,"",INDEX(I2226:Z2226,$H$1))</f>
        <v>Blowdown System: Generic (Pit or Vent)</v>
      </c>
      <c r="I2226" s="17" t="s">
        <v>2374</v>
      </c>
      <c r="J2226" s="17" t="s">
        <v>2374</v>
      </c>
      <c r="K2226" s="17" t="s">
        <v>2374</v>
      </c>
    </row>
    <row r="2227" spans="1:11" x14ac:dyDescent="0.35">
      <c r="A2227" s="10" t="s">
        <v>1185</v>
      </c>
      <c r="B2227" s="255">
        <v>247</v>
      </c>
      <c r="C2227" s="10" t="s">
        <v>204</v>
      </c>
      <c r="D2227" s="10">
        <v>1</v>
      </c>
      <c r="E2227" s="10">
        <v>481</v>
      </c>
      <c r="F2227" s="10" t="s">
        <v>690</v>
      </c>
      <c r="G2227" s="10" t="s">
        <v>695</v>
      </c>
      <c r="H2227" s="10" t="str" cm="1">
        <f t="array" aca="1" ref="H2227" ca="1">IF(INDEX(I2227:Z2227,$H$1)=0,"",INDEX(I2227:Z2227,$H$1))</f>
        <v>Aerial Cooler: Natural Gas Service</v>
      </c>
      <c r="I2227" s="17" t="s">
        <v>3396</v>
      </c>
      <c r="J2227" s="17" t="s">
        <v>3396</v>
      </c>
      <c r="K2227" s="17" t="s">
        <v>3396</v>
      </c>
    </row>
    <row r="2228" spans="1:11" x14ac:dyDescent="0.35">
      <c r="A2228" s="10" t="s">
        <v>1185</v>
      </c>
      <c r="B2228" s="255">
        <v>248</v>
      </c>
      <c r="C2228" s="10" t="s">
        <v>204</v>
      </c>
      <c r="D2228" s="10">
        <v>1</v>
      </c>
      <c r="E2228" s="10">
        <v>482</v>
      </c>
      <c r="F2228" s="10" t="s">
        <v>690</v>
      </c>
      <c r="G2228" s="10" t="s">
        <v>695</v>
      </c>
      <c r="H2228" s="10" t="str" cm="1">
        <f t="array" aca="1" ref="H2228" ca="1">IF(INDEX(I2228:Z2228,$H$1)=0,"",INDEX(I2228:Z2228,$H$1))</f>
        <v>Aerial Cooler: Hydrocarbon Liquid Service</v>
      </c>
      <c r="I2228" s="17" t="s">
        <v>3403</v>
      </c>
      <c r="J2228" s="17" t="s">
        <v>3403</v>
      </c>
      <c r="K2228" s="17" t="s">
        <v>3403</v>
      </c>
    </row>
    <row r="2229" spans="1:11" x14ac:dyDescent="0.35">
      <c r="A2229" s="10" t="s">
        <v>1185</v>
      </c>
      <c r="B2229" s="255">
        <v>249</v>
      </c>
      <c r="C2229" s="10" t="s">
        <v>204</v>
      </c>
      <c r="D2229" s="10">
        <v>1</v>
      </c>
      <c r="E2229" s="10">
        <v>483</v>
      </c>
      <c r="F2229" s="10" t="s">
        <v>690</v>
      </c>
      <c r="G2229" s="10" t="s">
        <v>695</v>
      </c>
      <c r="H2229" s="10" t="str" cm="1">
        <f t="array" aca="1" ref="H2229" ca="1">IF(INDEX(I2229:Z2229,$H$1)=0,"",INDEX(I2229:Z2229,$H$1))</f>
        <v>Chemical Injection Pump: Pneumatic (Diaphragm Type)</v>
      </c>
      <c r="I2229" s="17" t="s">
        <v>2375</v>
      </c>
      <c r="J2229" s="17" t="s">
        <v>2375</v>
      </c>
      <c r="K2229" s="17" t="s">
        <v>2375</v>
      </c>
    </row>
    <row r="2230" spans="1:11" x14ac:dyDescent="0.35">
      <c r="A2230" s="10" t="s">
        <v>1185</v>
      </c>
      <c r="B2230" s="255">
        <v>250</v>
      </c>
      <c r="C2230" s="10" t="s">
        <v>204</v>
      </c>
      <c r="D2230" s="10">
        <v>1</v>
      </c>
      <c r="E2230" s="10">
        <v>484</v>
      </c>
      <c r="F2230" s="10" t="s">
        <v>690</v>
      </c>
      <c r="G2230" s="10" t="s">
        <v>695</v>
      </c>
      <c r="H2230" s="10" t="str" cm="1">
        <f t="array" aca="1" ref="H2230" ca="1">IF(INDEX(I2230:Z2230,$H$1)=0,"",INDEX(I2230:Z2230,$H$1))</f>
        <v>Chemical Injection Pump: Pneumatic (Piston Type)</v>
      </c>
      <c r="I2230" s="17" t="s">
        <v>2376</v>
      </c>
      <c r="J2230" s="17" t="s">
        <v>2376</v>
      </c>
      <c r="K2230" s="17" t="s">
        <v>2376</v>
      </c>
    </row>
    <row r="2231" spans="1:11" x14ac:dyDescent="0.35">
      <c r="A2231" s="10" t="s">
        <v>1185</v>
      </c>
      <c r="B2231" s="255">
        <v>251</v>
      </c>
      <c r="C2231" s="10" t="s">
        <v>204</v>
      </c>
      <c r="D2231" s="10">
        <v>1</v>
      </c>
      <c r="E2231" s="10">
        <v>485</v>
      </c>
      <c r="F2231" s="10" t="s">
        <v>690</v>
      </c>
      <c r="G2231" s="10" t="s">
        <v>695</v>
      </c>
      <c r="H2231" s="10" t="str" cm="1">
        <f t="array" aca="1" ref="H2231" ca="1">IF(INDEX(I2231:Z2231,$H$1)=0,"",INDEX(I2231:Z2231,$H$1))</f>
        <v>Chemical Injection Pump: Pneumatic (Unknown Type)</v>
      </c>
      <c r="I2231" s="17" t="s">
        <v>2377</v>
      </c>
      <c r="J2231" s="17" t="s">
        <v>2377</v>
      </c>
      <c r="K2231" s="17" t="s">
        <v>2377</v>
      </c>
    </row>
    <row r="2232" spans="1:11" x14ac:dyDescent="0.35">
      <c r="A2232" s="10" t="s">
        <v>1185</v>
      </c>
      <c r="B2232" s="255">
        <v>252</v>
      </c>
      <c r="C2232" s="10" t="s">
        <v>204</v>
      </c>
      <c r="D2232" s="10">
        <v>1</v>
      </c>
      <c r="E2232" s="10">
        <v>486</v>
      </c>
      <c r="F2232" s="10" t="s">
        <v>690</v>
      </c>
      <c r="G2232" s="10" t="s">
        <v>695</v>
      </c>
      <c r="H2232" s="10" t="str" cm="1">
        <f t="array" aca="1" ref="H2232" ca="1">IF(INDEX(I2232:Z2232,$H$1)=0,"",INDEX(I2232:Z2232,$H$1))</f>
        <v>Compressor: Centrifugal: (Stages: 1) (Seals: Wet) (Driver: Electric Motor)</v>
      </c>
      <c r="I2232" s="17" t="s">
        <v>3219</v>
      </c>
      <c r="J2232" s="17" t="s">
        <v>3219</v>
      </c>
      <c r="K2232" s="17" t="s">
        <v>3219</v>
      </c>
    </row>
    <row r="2233" spans="1:11" x14ac:dyDescent="0.35">
      <c r="A2233" s="10" t="s">
        <v>1185</v>
      </c>
      <c r="B2233" s="255">
        <v>253</v>
      </c>
      <c r="C2233" s="10" t="s">
        <v>204</v>
      </c>
      <c r="D2233" s="10">
        <v>1</v>
      </c>
      <c r="E2233" s="10">
        <v>487</v>
      </c>
      <c r="F2233" s="10" t="s">
        <v>690</v>
      </c>
      <c r="G2233" s="10" t="s">
        <v>695</v>
      </c>
      <c r="H2233" s="10" t="str" cm="1">
        <f t="array" aca="1" ref="H2233" ca="1">IF(INDEX(I2233:Z2233,$H$1)=0,"",INDEX(I2233:Z2233,$H$1))</f>
        <v>Compressor: Centrifugal: (Stages: 1) (Seals: Wet) (Driver: Gas Turbine)</v>
      </c>
      <c r="I2233" s="17" t="s">
        <v>3220</v>
      </c>
      <c r="J2233" s="17" t="s">
        <v>3220</v>
      </c>
      <c r="K2233" s="17" t="s">
        <v>3220</v>
      </c>
    </row>
    <row r="2234" spans="1:11" x14ac:dyDescent="0.35">
      <c r="A2234" s="10" t="s">
        <v>1185</v>
      </c>
      <c r="B2234" s="255">
        <v>254</v>
      </c>
      <c r="C2234" s="10" t="s">
        <v>204</v>
      </c>
      <c r="D2234" s="10">
        <v>1</v>
      </c>
      <c r="E2234" s="10">
        <v>488</v>
      </c>
      <c r="F2234" s="10" t="s">
        <v>690</v>
      </c>
      <c r="G2234" s="10" t="s">
        <v>695</v>
      </c>
      <c r="H2234" s="10" t="str" cm="1">
        <f t="array" aca="1" ref="H2234" ca="1">IF(INDEX(I2234:Z2234,$H$1)=0,"",INDEX(I2234:Z2234,$H$1))</f>
        <v>Compressor: Centrifugal: (Stages: 2) (Seals: Wet) (Driver: Electric Motor)</v>
      </c>
      <c r="I2234" s="17" t="s">
        <v>3221</v>
      </c>
      <c r="J2234" s="17" t="s">
        <v>3221</v>
      </c>
      <c r="K2234" s="17" t="s">
        <v>3221</v>
      </c>
    </row>
    <row r="2235" spans="1:11" x14ac:dyDescent="0.35">
      <c r="A2235" s="10" t="s">
        <v>1185</v>
      </c>
      <c r="B2235" s="255">
        <v>255</v>
      </c>
      <c r="C2235" s="10" t="s">
        <v>204</v>
      </c>
      <c r="D2235" s="10">
        <v>1</v>
      </c>
      <c r="E2235" s="10">
        <v>489</v>
      </c>
      <c r="F2235" s="10" t="s">
        <v>690</v>
      </c>
      <c r="G2235" s="10" t="s">
        <v>695</v>
      </c>
      <c r="H2235" s="10" t="str" cm="1">
        <f t="array" aca="1" ref="H2235" ca="1">IF(INDEX(I2235:Z2235,$H$1)=0,"",INDEX(I2235:Z2235,$H$1))</f>
        <v>Compressor: Centrifugal: (Stages: 2) (Seals: Wet) (Driver: Gas Turbine)</v>
      </c>
      <c r="I2235" s="17" t="s">
        <v>3222</v>
      </c>
      <c r="J2235" s="17" t="s">
        <v>3222</v>
      </c>
      <c r="K2235" s="17" t="s">
        <v>3222</v>
      </c>
    </row>
    <row r="2236" spans="1:11" x14ac:dyDescent="0.35">
      <c r="A2236" s="10" t="s">
        <v>1185</v>
      </c>
      <c r="B2236" s="255">
        <v>256</v>
      </c>
      <c r="C2236" s="10" t="s">
        <v>204</v>
      </c>
      <c r="D2236" s="10">
        <v>1</v>
      </c>
      <c r="E2236" s="10">
        <v>490</v>
      </c>
      <c r="F2236" s="10" t="s">
        <v>690</v>
      </c>
      <c r="G2236" s="10" t="s">
        <v>695</v>
      </c>
      <c r="H2236" s="10" t="str" cm="1">
        <f t="array" aca="1" ref="H2236" ca="1">IF(INDEX(I2236:Z2236,$H$1)=0,"",INDEX(I2236:Z2236,$H$1))</f>
        <v>Compressor: Centrifugal: (Stages: 1) (Seals: Dry) (Driver: Electric Motor)</v>
      </c>
      <c r="I2236" s="17" t="s">
        <v>3223</v>
      </c>
      <c r="J2236" s="17" t="s">
        <v>3223</v>
      </c>
      <c r="K2236" s="17" t="s">
        <v>3223</v>
      </c>
    </row>
    <row r="2237" spans="1:11" x14ac:dyDescent="0.35">
      <c r="A2237" s="10" t="s">
        <v>1185</v>
      </c>
      <c r="B2237" s="255">
        <v>257</v>
      </c>
      <c r="C2237" s="10" t="s">
        <v>204</v>
      </c>
      <c r="D2237" s="10">
        <v>1</v>
      </c>
      <c r="E2237" s="10">
        <v>491</v>
      </c>
      <c r="F2237" s="10" t="s">
        <v>690</v>
      </c>
      <c r="G2237" s="10" t="s">
        <v>695</v>
      </c>
      <c r="H2237" s="10" t="str" cm="1">
        <f t="array" aca="1" ref="H2237" ca="1">IF(INDEX(I2237:Z2237,$H$1)=0,"",INDEX(I2237:Z2237,$H$1))</f>
        <v>Compressor: Centrifugal: (Stages: 1) (Seals: Dry) (Driver: Gas Turbine)</v>
      </c>
      <c r="I2237" s="17" t="s">
        <v>3224</v>
      </c>
      <c r="J2237" s="17" t="s">
        <v>3224</v>
      </c>
      <c r="K2237" s="17" t="s">
        <v>3224</v>
      </c>
    </row>
    <row r="2238" spans="1:11" x14ac:dyDescent="0.35">
      <c r="A2238" s="10" t="s">
        <v>1185</v>
      </c>
      <c r="B2238" s="255">
        <v>258</v>
      </c>
      <c r="C2238" s="10" t="s">
        <v>204</v>
      </c>
      <c r="D2238" s="10">
        <v>1</v>
      </c>
      <c r="E2238" s="10">
        <v>492</v>
      </c>
      <c r="F2238" s="10" t="s">
        <v>690</v>
      </c>
      <c r="G2238" s="10" t="s">
        <v>695</v>
      </c>
      <c r="H2238" s="10" t="str" cm="1">
        <f t="array" aca="1" ref="H2238" ca="1">IF(INDEX(I2238:Z2238,$H$1)=0,"",INDEX(I2238:Z2238,$H$1))</f>
        <v>Compressor: Centrifugal: (Stages: 2) (Seals: Dry) (Driver: Electric Motor)</v>
      </c>
      <c r="I2238" s="17" t="s">
        <v>3225</v>
      </c>
      <c r="J2238" s="17" t="s">
        <v>3225</v>
      </c>
      <c r="K2238" s="17" t="s">
        <v>3225</v>
      </c>
    </row>
    <row r="2239" spans="1:11" x14ac:dyDescent="0.35">
      <c r="A2239" s="10" t="s">
        <v>1185</v>
      </c>
      <c r="B2239" s="255">
        <v>259</v>
      </c>
      <c r="C2239" s="10" t="s">
        <v>204</v>
      </c>
      <c r="D2239" s="10">
        <v>1</v>
      </c>
      <c r="E2239" s="10">
        <v>493</v>
      </c>
      <c r="F2239" s="10" t="s">
        <v>690</v>
      </c>
      <c r="G2239" s="10" t="s">
        <v>695</v>
      </c>
      <c r="H2239" s="10" t="str" cm="1">
        <f t="array" aca="1" ref="H2239" ca="1">IF(INDEX(I2239:Z2239,$H$1)=0,"",INDEX(I2239:Z2239,$H$1))</f>
        <v>Compressor: Centrifugal: (Stages: 2) (Seals: Dry) (Driver: Gas Turbine)</v>
      </c>
      <c r="I2239" s="17" t="s">
        <v>3226</v>
      </c>
      <c r="J2239" s="17" t="s">
        <v>3226</v>
      </c>
      <c r="K2239" s="17" t="s">
        <v>3226</v>
      </c>
    </row>
    <row r="2240" spans="1:11" x14ac:dyDescent="0.35">
      <c r="A2240" s="10" t="s">
        <v>1185</v>
      </c>
      <c r="B2240" s="255">
        <v>260</v>
      </c>
      <c r="C2240" s="10" t="s">
        <v>204</v>
      </c>
      <c r="D2240" s="10">
        <v>1</v>
      </c>
      <c r="E2240" s="10">
        <v>494</v>
      </c>
      <c r="F2240" s="10" t="s">
        <v>690</v>
      </c>
      <c r="G2240" s="10" t="s">
        <v>695</v>
      </c>
      <c r="H2240" s="10" t="str" cm="1">
        <f t="array" aca="1" ref="H2240" ca="1">IF(INDEX(I2240:Z2240,$H$1)=0,"",INDEX(I2240:Z2240,$H$1))</f>
        <v>Compressor: Reciprocating: (Stages: 1) (Driver: Electric Motor)</v>
      </c>
      <c r="I2240" s="17" t="s">
        <v>2378</v>
      </c>
      <c r="J2240" s="17" t="s">
        <v>2378</v>
      </c>
      <c r="K2240" s="17" t="s">
        <v>2378</v>
      </c>
    </row>
    <row r="2241" spans="1:11" x14ac:dyDescent="0.35">
      <c r="A2241" s="10" t="s">
        <v>1185</v>
      </c>
      <c r="B2241" s="255">
        <v>261</v>
      </c>
      <c r="C2241" s="10" t="s">
        <v>204</v>
      </c>
      <c r="D2241" s="10">
        <v>1</v>
      </c>
      <c r="E2241" s="10">
        <v>495</v>
      </c>
      <c r="F2241" s="10" t="s">
        <v>690</v>
      </c>
      <c r="G2241" s="10" t="s">
        <v>695</v>
      </c>
      <c r="H2241" s="10" t="str" cm="1">
        <f t="array" aca="1" ref="H2241" ca="1">IF(INDEX(I2241:Z2241,$H$1)=0,"",INDEX(I2241:Z2241,$H$1))</f>
        <v>Compressor: Reciprocating: (Stages: 1) (Driver: Recip Engine)</v>
      </c>
      <c r="I2241" s="17" t="s">
        <v>2379</v>
      </c>
      <c r="J2241" s="17" t="s">
        <v>2379</v>
      </c>
      <c r="K2241" s="17" t="s">
        <v>2379</v>
      </c>
    </row>
    <row r="2242" spans="1:11" x14ac:dyDescent="0.35">
      <c r="A2242" s="10" t="s">
        <v>1185</v>
      </c>
      <c r="B2242" s="255">
        <v>262</v>
      </c>
      <c r="C2242" s="10" t="s">
        <v>204</v>
      </c>
      <c r="D2242" s="10">
        <v>1</v>
      </c>
      <c r="E2242" s="10">
        <v>496</v>
      </c>
      <c r="F2242" s="10" t="s">
        <v>690</v>
      </c>
      <c r="G2242" s="10" t="s">
        <v>695</v>
      </c>
      <c r="H2242" s="10" t="str" cm="1">
        <f t="array" aca="1" ref="H2242" ca="1">IF(INDEX(I2242:Z2242,$H$1)=0,"",INDEX(I2242:Z2242,$H$1))</f>
        <v>Compressor: Reciprocating: (Stages: 2) (Driver: Electric Motor)</v>
      </c>
      <c r="I2242" s="17" t="s">
        <v>2380</v>
      </c>
      <c r="J2242" s="17" t="s">
        <v>2380</v>
      </c>
      <c r="K2242" s="17" t="s">
        <v>2380</v>
      </c>
    </row>
    <row r="2243" spans="1:11" x14ac:dyDescent="0.35">
      <c r="A2243" s="10" t="s">
        <v>1185</v>
      </c>
      <c r="B2243" s="255">
        <v>263</v>
      </c>
      <c r="C2243" s="10" t="s">
        <v>204</v>
      </c>
      <c r="D2243" s="10">
        <v>1</v>
      </c>
      <c r="E2243" s="10">
        <v>497</v>
      </c>
      <c r="F2243" s="10" t="s">
        <v>690</v>
      </c>
      <c r="G2243" s="10" t="s">
        <v>695</v>
      </c>
      <c r="H2243" s="10" t="str" cm="1">
        <f t="array" aca="1" ref="H2243" ca="1">IF(INDEX(I2243:Z2243,$H$1)=0,"",INDEX(I2243:Z2243,$H$1))</f>
        <v>Compressor: Reciprocating: (Stages: 2) (Driver: Recip Engine)</v>
      </c>
      <c r="I2243" s="17" t="s">
        <v>2381</v>
      </c>
      <c r="J2243" s="17" t="s">
        <v>2381</v>
      </c>
      <c r="K2243" s="17" t="s">
        <v>2381</v>
      </c>
    </row>
    <row r="2244" spans="1:11" x14ac:dyDescent="0.35">
      <c r="A2244" s="10" t="s">
        <v>1185</v>
      </c>
      <c r="B2244" s="255">
        <v>264</v>
      </c>
      <c r="C2244" s="10" t="s">
        <v>204</v>
      </c>
      <c r="D2244" s="10">
        <v>1</v>
      </c>
      <c r="E2244" s="10">
        <v>498</v>
      </c>
      <c r="F2244" s="10" t="s">
        <v>690</v>
      </c>
      <c r="G2244" s="10" t="s">
        <v>695</v>
      </c>
      <c r="H2244" s="10" t="str" cm="1">
        <f t="array" aca="1" ref="H2244" ca="1">IF(INDEX(I2244:Z2244,$H$1)=0,"",INDEX(I2244:Z2244,$H$1))</f>
        <v>Compressor: Reciprocating: (Stages: 3) (Driver: Electric Motor)</v>
      </c>
      <c r="I2244" s="17" t="s">
        <v>2382</v>
      </c>
      <c r="J2244" s="17" t="s">
        <v>2382</v>
      </c>
      <c r="K2244" s="17" t="s">
        <v>2382</v>
      </c>
    </row>
    <row r="2245" spans="1:11" x14ac:dyDescent="0.35">
      <c r="A2245" s="10" t="s">
        <v>1185</v>
      </c>
      <c r="B2245" s="255">
        <v>265</v>
      </c>
      <c r="C2245" s="10" t="s">
        <v>204</v>
      </c>
      <c r="D2245" s="10">
        <v>1</v>
      </c>
      <c r="E2245" s="10">
        <v>499</v>
      </c>
      <c r="F2245" s="10" t="s">
        <v>690</v>
      </c>
      <c r="G2245" s="10" t="s">
        <v>695</v>
      </c>
      <c r="H2245" s="10" t="str" cm="1">
        <f t="array" aca="1" ref="H2245" ca="1">IF(INDEX(I2245:Z2245,$H$1)=0,"",INDEX(I2245:Z2245,$H$1))</f>
        <v>Compressor: Reciprocating: (Stages: 3) (Driver: Recip Engine)</v>
      </c>
      <c r="I2245" s="17" t="s">
        <v>2383</v>
      </c>
      <c r="J2245" s="17" t="s">
        <v>2383</v>
      </c>
      <c r="K2245" s="17" t="s">
        <v>2383</v>
      </c>
    </row>
    <row r="2246" spans="1:11" x14ac:dyDescent="0.35">
      <c r="A2246" s="10" t="s">
        <v>1185</v>
      </c>
      <c r="B2246" s="255">
        <v>266</v>
      </c>
      <c r="C2246" s="10" t="s">
        <v>204</v>
      </c>
      <c r="D2246" s="10">
        <v>1</v>
      </c>
      <c r="E2246" s="10">
        <v>500</v>
      </c>
      <c r="F2246" s="10" t="s">
        <v>690</v>
      </c>
      <c r="G2246" s="10" t="s">
        <v>695</v>
      </c>
      <c r="H2246" s="10" t="str" cm="1">
        <f t="array" aca="1" ref="H2246" ca="1">IF(INDEX(I2246:Z2246,$H$1)=0,"",INDEX(I2246:Z2246,$H$1))</f>
        <v>Compressor: Reciprocating: (Stages 4) (Driver: Electric Motor)</v>
      </c>
      <c r="I2246" s="17" t="s">
        <v>3308</v>
      </c>
      <c r="J2246" s="17" t="s">
        <v>3308</v>
      </c>
      <c r="K2246" s="17" t="s">
        <v>3308</v>
      </c>
    </row>
    <row r="2247" spans="1:11" x14ac:dyDescent="0.35">
      <c r="A2247" s="10" t="s">
        <v>1185</v>
      </c>
      <c r="B2247" s="255">
        <v>267</v>
      </c>
      <c r="C2247" s="10" t="s">
        <v>204</v>
      </c>
      <c r="D2247" s="10">
        <v>1</v>
      </c>
      <c r="E2247" s="10">
        <v>501</v>
      </c>
      <c r="F2247" s="10" t="s">
        <v>690</v>
      </c>
      <c r="G2247" s="10" t="s">
        <v>695</v>
      </c>
      <c r="H2247" s="10" t="str" cm="1">
        <f t="array" aca="1" ref="H2247" ca="1">IF(INDEX(I2247:Z2247,$H$1)=0,"",INDEX(I2247:Z2247,$H$1))</f>
        <v>Compressor: Reciprocating: (Stages 4) (Driver: Recip Engine)</v>
      </c>
      <c r="I2247" s="17" t="s">
        <v>3307</v>
      </c>
      <c r="J2247" s="17" t="s">
        <v>3307</v>
      </c>
      <c r="K2247" s="17" t="s">
        <v>3307</v>
      </c>
    </row>
    <row r="2248" spans="1:11" x14ac:dyDescent="0.35">
      <c r="A2248" s="10" t="s">
        <v>1185</v>
      </c>
      <c r="B2248" s="255">
        <v>268</v>
      </c>
      <c r="C2248" s="10" t="s">
        <v>204</v>
      </c>
      <c r="D2248" s="10">
        <v>1</v>
      </c>
      <c r="E2248" s="10">
        <v>502</v>
      </c>
      <c r="F2248" s="10" t="s">
        <v>690</v>
      </c>
      <c r="G2248" s="10" t="s">
        <v>695</v>
      </c>
      <c r="H2248" s="10" t="str" cm="1">
        <f t="array" aca="1" ref="H2248" ca="1">IF(INDEX(I2248:Z2248,$H$1)=0,"",INDEX(I2248:Z2248,$H$1))</f>
        <v>Dehydration: Desiccant (Adsorber Columns: 2)</v>
      </c>
      <c r="I2248" s="17" t="s">
        <v>2386</v>
      </c>
      <c r="J2248" s="17" t="s">
        <v>2386</v>
      </c>
      <c r="K2248" s="17" t="s">
        <v>2386</v>
      </c>
    </row>
    <row r="2249" spans="1:11" x14ac:dyDescent="0.35">
      <c r="A2249" s="10" t="s">
        <v>1185</v>
      </c>
      <c r="B2249" s="255">
        <v>269</v>
      </c>
      <c r="C2249" s="10" t="s">
        <v>204</v>
      </c>
      <c r="D2249" s="10">
        <v>1</v>
      </c>
      <c r="E2249" s="10">
        <v>503</v>
      </c>
      <c r="F2249" s="10" t="s">
        <v>690</v>
      </c>
      <c r="G2249" s="10" t="s">
        <v>695</v>
      </c>
      <c r="H2249" s="10" t="str" cm="1">
        <f t="array" aca="1" ref="H2249" ca="1">IF(INDEX(I2249:Z2249,$H$1)=0,"",INDEX(I2249:Z2249,$H$1))</f>
        <v>Dehydration: Desiccant (Adsorber Columns: 3)</v>
      </c>
      <c r="I2249" s="17" t="s">
        <v>2387</v>
      </c>
      <c r="J2249" s="17" t="s">
        <v>2387</v>
      </c>
      <c r="K2249" s="17" t="s">
        <v>2387</v>
      </c>
    </row>
    <row r="2250" spans="1:11" x14ac:dyDescent="0.35">
      <c r="A2250" s="10" t="s">
        <v>1185</v>
      </c>
      <c r="B2250" s="255">
        <v>270</v>
      </c>
      <c r="C2250" s="10" t="s">
        <v>204</v>
      </c>
      <c r="D2250" s="10">
        <v>1</v>
      </c>
      <c r="E2250" s="10">
        <v>504</v>
      </c>
      <c r="F2250" s="10" t="s">
        <v>690</v>
      </c>
      <c r="G2250" s="10" t="s">
        <v>695</v>
      </c>
      <c r="H2250" s="10" t="str" cm="1">
        <f t="array" aca="1" ref="H2250" ca="1">IF(INDEX(I2250:Z2250,$H$1)=0,"",INDEX(I2250:Z2250,$H$1))</f>
        <v>Dehydration: Glycol (with Gas-assisted Pump)</v>
      </c>
      <c r="I2250" s="17" t="s">
        <v>2388</v>
      </c>
      <c r="J2250" s="17" t="s">
        <v>2388</v>
      </c>
      <c r="K2250" s="17" t="s">
        <v>2388</v>
      </c>
    </row>
    <row r="2251" spans="1:11" x14ac:dyDescent="0.35">
      <c r="A2251" s="10" t="s">
        <v>1185</v>
      </c>
      <c r="B2251" s="255">
        <v>271</v>
      </c>
      <c r="C2251" s="10" t="s">
        <v>204</v>
      </c>
      <c r="D2251" s="10">
        <v>1</v>
      </c>
      <c r="E2251" s="10">
        <v>505</v>
      </c>
      <c r="F2251" s="10" t="s">
        <v>690</v>
      </c>
      <c r="G2251" s="10" t="s">
        <v>695</v>
      </c>
      <c r="H2251" s="10" t="str" cm="1">
        <f t="array" aca="1" ref="H2251" ca="1">IF(INDEX(I2251:Z2251,$H$1)=0,"",INDEX(I2251:Z2251,$H$1))</f>
        <v>Dehydration: Glycol (without Gas-assisted Pump)</v>
      </c>
      <c r="I2251" s="17" t="s">
        <v>2389</v>
      </c>
      <c r="J2251" s="17" t="s">
        <v>2389</v>
      </c>
      <c r="K2251" s="17" t="s">
        <v>2389</v>
      </c>
    </row>
    <row r="2252" spans="1:11" x14ac:dyDescent="0.35">
      <c r="A2252" s="10" t="s">
        <v>1185</v>
      </c>
      <c r="B2252" s="255">
        <v>272</v>
      </c>
      <c r="C2252" s="10" t="s">
        <v>204</v>
      </c>
      <c r="D2252" s="10">
        <v>1</v>
      </c>
      <c r="E2252" s="10">
        <v>506</v>
      </c>
      <c r="F2252" s="10" t="s">
        <v>690</v>
      </c>
      <c r="G2252" s="10" t="s">
        <v>695</v>
      </c>
      <c r="H2252" s="10" t="str" cm="1">
        <f t="array" aca="1" ref="H2252" ca="1">IF(INDEX(I2252:Z2252,$H$1)=0,"",INDEX(I2252:Z2252,$H$1))</f>
        <v>Drain Tank</v>
      </c>
      <c r="I2252" s="17" t="s">
        <v>2431</v>
      </c>
      <c r="J2252" s="17" t="s">
        <v>2431</v>
      </c>
      <c r="K2252" s="17" t="s">
        <v>2431</v>
      </c>
    </row>
    <row r="2253" spans="1:11" x14ac:dyDescent="0.35">
      <c r="A2253" s="10" t="s">
        <v>1185</v>
      </c>
      <c r="B2253" s="255">
        <v>273</v>
      </c>
      <c r="C2253" s="10" t="s">
        <v>204</v>
      </c>
      <c r="D2253" s="10">
        <v>1</v>
      </c>
      <c r="E2253" s="10">
        <v>507</v>
      </c>
      <c r="F2253" s="10" t="s">
        <v>690</v>
      </c>
      <c r="G2253" s="10" t="s">
        <v>695</v>
      </c>
      <c r="H2253" s="10" t="str" cm="1">
        <f t="array" aca="1" ref="H2253" ca="1">IF(INDEX(I2253:Z2253,$H$1)=0,"",INDEX(I2253:Z2253,$H$1))</f>
        <v>Flare System: Generic (Including Knock-out Drum)</v>
      </c>
      <c r="I2253" s="17" t="s">
        <v>2390</v>
      </c>
      <c r="J2253" s="17" t="s">
        <v>2390</v>
      </c>
      <c r="K2253" s="17" t="s">
        <v>2390</v>
      </c>
    </row>
    <row r="2254" spans="1:11" x14ac:dyDescent="0.35">
      <c r="A2254" s="10" t="s">
        <v>1185</v>
      </c>
      <c r="B2254" s="255">
        <v>274</v>
      </c>
      <c r="C2254" s="10" t="s">
        <v>204</v>
      </c>
      <c r="D2254" s="10">
        <v>1</v>
      </c>
      <c r="E2254" s="10">
        <v>508</v>
      </c>
      <c r="F2254" s="10" t="s">
        <v>690</v>
      </c>
      <c r="G2254" s="10" t="s">
        <v>695</v>
      </c>
      <c r="H2254" s="10" t="str" cm="1">
        <f t="array" aca="1" ref="H2254" ca="1">IF(INDEX(I2254:Z2254,$H$1)=0,"",INDEX(I2254:Z2254,$H$1))</f>
        <v>Heater/Boiler/Reboiler: Line (Burner Assemblies: 1)</v>
      </c>
      <c r="I2254" s="17" t="s">
        <v>2671</v>
      </c>
      <c r="J2254" s="17" t="s">
        <v>2671</v>
      </c>
      <c r="K2254" s="17" t="s">
        <v>2671</v>
      </c>
    </row>
    <row r="2255" spans="1:11" x14ac:dyDescent="0.35">
      <c r="A2255" s="10" t="s">
        <v>1185</v>
      </c>
      <c r="B2255" s="255">
        <v>275</v>
      </c>
      <c r="C2255" s="10" t="s">
        <v>204</v>
      </c>
      <c r="D2255" s="10">
        <v>1</v>
      </c>
      <c r="E2255" s="10">
        <v>509</v>
      </c>
      <c r="F2255" s="10" t="s">
        <v>690</v>
      </c>
      <c r="G2255" s="10" t="s">
        <v>695</v>
      </c>
      <c r="H2255" s="10" t="str" cm="1">
        <f t="array" aca="1" ref="H2255" ca="1">IF(INDEX(I2255:Z2255,$H$1)=0,"",INDEX(I2255:Z2255,$H$1))</f>
        <v>Heater/Boiler/Reboiler: Line (Burner Assemblies: 2)</v>
      </c>
      <c r="I2255" s="17" t="s">
        <v>2672</v>
      </c>
      <c r="J2255" s="17" t="s">
        <v>2672</v>
      </c>
      <c r="K2255" s="17" t="s">
        <v>2672</v>
      </c>
    </row>
    <row r="2256" spans="1:11" x14ac:dyDescent="0.35">
      <c r="A2256" s="10" t="s">
        <v>1185</v>
      </c>
      <c r="B2256" s="255">
        <v>276</v>
      </c>
      <c r="C2256" s="10" t="s">
        <v>204</v>
      </c>
      <c r="D2256" s="10">
        <v>1</v>
      </c>
      <c r="E2256" s="10">
        <v>510</v>
      </c>
      <c r="F2256" s="10" t="s">
        <v>690</v>
      </c>
      <c r="G2256" s="10" t="s">
        <v>695</v>
      </c>
      <c r="H2256" s="10" t="str" cm="1">
        <f t="array" aca="1" ref="H2256" ca="1">IF(INDEX(I2256:Z2256,$H$1)=0,"",INDEX(I2256:Z2256,$H$1))</f>
        <v>Heater/Boiler/Reboiler: Line (Burner Assemblies: 3)</v>
      </c>
      <c r="I2256" s="17" t="s">
        <v>2673</v>
      </c>
      <c r="J2256" s="17" t="s">
        <v>2673</v>
      </c>
      <c r="K2256" s="17" t="s">
        <v>2673</v>
      </c>
    </row>
    <row r="2257" spans="1:11" x14ac:dyDescent="0.35">
      <c r="A2257" s="10" t="s">
        <v>1185</v>
      </c>
      <c r="B2257" s="255">
        <v>277</v>
      </c>
      <c r="C2257" s="10" t="s">
        <v>204</v>
      </c>
      <c r="D2257" s="10">
        <v>1</v>
      </c>
      <c r="E2257" s="10">
        <v>511</v>
      </c>
      <c r="F2257" s="10" t="s">
        <v>690</v>
      </c>
      <c r="G2257" s="10" t="s">
        <v>695</v>
      </c>
      <c r="H2257" s="10" t="str" cm="1">
        <f t="array" aca="1" ref="H2257" ca="1">IF(INDEX(I2257:Z2257,$H$1)=0,"",INDEX(I2257:Z2257,$H$1))</f>
        <v>Inlet/Outlet Header: Gas Facilities (Fittings Per Pipeline)</v>
      </c>
      <c r="I2257" s="17" t="s">
        <v>2729</v>
      </c>
      <c r="J2257" s="17" t="s">
        <v>2729</v>
      </c>
      <c r="K2257" s="17" t="s">
        <v>2729</v>
      </c>
    </row>
    <row r="2258" spans="1:11" x14ac:dyDescent="0.35">
      <c r="A2258" s="10" t="s">
        <v>1185</v>
      </c>
      <c r="B2258" s="255">
        <v>278</v>
      </c>
      <c r="C2258" s="10" t="s">
        <v>204</v>
      </c>
      <c r="D2258" s="10">
        <v>1</v>
      </c>
      <c r="E2258" s="10">
        <v>512</v>
      </c>
      <c r="F2258" s="10" t="s">
        <v>690</v>
      </c>
      <c r="G2258" s="10" t="s">
        <v>695</v>
      </c>
      <c r="H2258" s="10" t="str" cm="1">
        <f t="array" aca="1" ref="H2258" ca="1">IF(INDEX(I2258:Z2258,$H$1)=0,"",INDEX(I2258:Z2258,$H$1))</f>
        <v>Mainline Block Valve</v>
      </c>
      <c r="I2258" s="17" t="s">
        <v>208</v>
      </c>
      <c r="J2258" s="17" t="s">
        <v>208</v>
      </c>
      <c r="K2258" s="17" t="s">
        <v>208</v>
      </c>
    </row>
    <row r="2259" spans="1:11" x14ac:dyDescent="0.35">
      <c r="A2259" s="10" t="s">
        <v>1185</v>
      </c>
      <c r="B2259" s="255">
        <v>279</v>
      </c>
      <c r="C2259" s="10" t="s">
        <v>204</v>
      </c>
      <c r="D2259" s="10">
        <v>1</v>
      </c>
      <c r="E2259" s="10">
        <v>513</v>
      </c>
      <c r="F2259" s="10" t="s">
        <v>690</v>
      </c>
      <c r="G2259" s="10" t="s">
        <v>695</v>
      </c>
      <c r="H2259" s="10" t="str" cm="1">
        <f t="array" aca="1" ref="H2259" ca="1">IF(INDEX(I2259:Z2259,$H$1)=0,"",INDEX(I2259:Z2259,$H$1))</f>
        <v>Meter Run: Generic</v>
      </c>
      <c r="I2259" s="17" t="s">
        <v>2432</v>
      </c>
      <c r="J2259" s="17" t="s">
        <v>2432</v>
      </c>
      <c r="K2259" s="17" t="s">
        <v>2432</v>
      </c>
    </row>
    <row r="2260" spans="1:11" x14ac:dyDescent="0.35">
      <c r="A2260" s="10" t="s">
        <v>1185</v>
      </c>
      <c r="B2260" s="255">
        <v>280</v>
      </c>
      <c r="C2260" s="10" t="s">
        <v>204</v>
      </c>
      <c r="D2260" s="10">
        <v>1</v>
      </c>
      <c r="E2260" s="10">
        <v>514</v>
      </c>
      <c r="F2260" s="10" t="s">
        <v>690</v>
      </c>
      <c r="G2260" s="10" t="s">
        <v>695</v>
      </c>
      <c r="H2260" s="10" t="str" cm="1">
        <f t="array" aca="1" ref="H2260" ca="1">IF(INDEX(I2260:Z2260,$H$1)=0,"",INDEX(I2260:Z2260,$H$1))</f>
        <v>PIG Receiver or Sender</v>
      </c>
      <c r="I2260" s="17" t="s">
        <v>230</v>
      </c>
      <c r="J2260" s="17" t="s">
        <v>230</v>
      </c>
      <c r="K2260" s="17" t="s">
        <v>230</v>
      </c>
    </row>
    <row r="2261" spans="1:11" x14ac:dyDescent="0.35">
      <c r="A2261" s="10" t="s">
        <v>1185</v>
      </c>
      <c r="B2261" s="255">
        <v>281</v>
      </c>
      <c r="C2261" s="10" t="s">
        <v>204</v>
      </c>
      <c r="D2261" s="10">
        <v>1</v>
      </c>
      <c r="E2261" s="10">
        <v>515</v>
      </c>
      <c r="F2261" s="10" t="s">
        <v>690</v>
      </c>
      <c r="G2261" s="10" t="s">
        <v>695</v>
      </c>
      <c r="H2261" s="10" t="str" cm="1">
        <f t="array" aca="1" ref="H2261" ca="1">IF(INDEX(I2261:Z2261,$H$1)=0,"",INDEX(I2261:Z2261,$H$1))</f>
        <v>Power Generator: Natural Gas Fuelled (Driver: Gas Turbine)</v>
      </c>
      <c r="I2261" s="17" t="s">
        <v>2674</v>
      </c>
      <c r="J2261" s="17" t="s">
        <v>2674</v>
      </c>
      <c r="K2261" s="17" t="s">
        <v>2674</v>
      </c>
    </row>
    <row r="2262" spans="1:11" x14ac:dyDescent="0.35">
      <c r="A2262" s="10" t="s">
        <v>1185</v>
      </c>
      <c r="B2262" s="255">
        <v>282</v>
      </c>
      <c r="C2262" s="10" t="s">
        <v>204</v>
      </c>
      <c r="D2262" s="10">
        <v>1</v>
      </c>
      <c r="E2262" s="10">
        <v>516</v>
      </c>
      <c r="F2262" s="10" t="s">
        <v>690</v>
      </c>
      <c r="G2262" s="10" t="s">
        <v>695</v>
      </c>
      <c r="H2262" s="10" t="str" cm="1">
        <f t="array" aca="1" ref="H2262" ca="1">IF(INDEX(I2262:Z2262,$H$1)=0,"",INDEX(I2262:Z2262,$H$1))</f>
        <v>Power Generator: Natural Gas Fuelled (Driver: Recip. Engine)</v>
      </c>
      <c r="I2262" s="17" t="s">
        <v>2403</v>
      </c>
      <c r="J2262" s="17" t="s">
        <v>2403</v>
      </c>
      <c r="K2262" s="17" t="s">
        <v>2403</v>
      </c>
    </row>
    <row r="2263" spans="1:11" x14ac:dyDescent="0.35">
      <c r="A2263" s="10" t="s">
        <v>1185</v>
      </c>
      <c r="B2263" s="255">
        <v>283</v>
      </c>
      <c r="C2263" s="10" t="s">
        <v>204</v>
      </c>
      <c r="D2263" s="10">
        <v>1</v>
      </c>
      <c r="E2263" s="10">
        <v>517</v>
      </c>
      <c r="F2263" s="10" t="s">
        <v>690</v>
      </c>
      <c r="G2263" s="10" t="s">
        <v>695</v>
      </c>
      <c r="H2263" s="10" t="str" cm="1">
        <f t="array" aca="1" ref="H2263" ca="1">IF(INDEX(I2263:Z2263,$H$1)=0,"",INDEX(I2263:Z2263,$H$1))</f>
        <v>Separator: Filter Separator</v>
      </c>
      <c r="I2263" s="17" t="s">
        <v>2404</v>
      </c>
      <c r="J2263" s="17" t="s">
        <v>2404</v>
      </c>
      <c r="K2263" s="17" t="s">
        <v>2404</v>
      </c>
    </row>
    <row r="2264" spans="1:11" x14ac:dyDescent="0.35">
      <c r="A2264" s="10" t="s">
        <v>1185</v>
      </c>
      <c r="B2264" s="255">
        <v>284</v>
      </c>
      <c r="C2264" s="10" t="s">
        <v>204</v>
      </c>
      <c r="D2264" s="10">
        <v>1</v>
      </c>
      <c r="E2264" s="10">
        <v>518</v>
      </c>
      <c r="F2264" s="10" t="s">
        <v>690</v>
      </c>
      <c r="G2264" s="10" t="s">
        <v>695</v>
      </c>
      <c r="H2264" s="10" t="str" cm="1">
        <f t="array" aca="1" ref="H2264" ca="1">IF(INDEX(I2264:Z2264,$H$1)=0,"",INDEX(I2264:Z2264,$H$1))</f>
        <v>Separator: Horizontal (Phases: 2)</v>
      </c>
      <c r="I2264" s="17" t="s">
        <v>2405</v>
      </c>
      <c r="J2264" s="17" t="s">
        <v>2405</v>
      </c>
      <c r="K2264" s="17" t="s">
        <v>2405</v>
      </c>
    </row>
    <row r="2265" spans="1:11" x14ac:dyDescent="0.35">
      <c r="A2265" s="10" t="s">
        <v>1185</v>
      </c>
      <c r="B2265" s="255">
        <v>285</v>
      </c>
      <c r="C2265" s="10" t="s">
        <v>204</v>
      </c>
      <c r="D2265" s="10">
        <v>1</v>
      </c>
      <c r="E2265" s="10">
        <v>519</v>
      </c>
      <c r="F2265" s="10" t="s">
        <v>690</v>
      </c>
      <c r="G2265" s="10" t="s">
        <v>695</v>
      </c>
      <c r="H2265" s="10" t="str" cm="1">
        <f t="array" aca="1" ref="H2265" ca="1">IF(INDEX(I2265:Z2265,$H$1)=0,"",INDEX(I2265:Z2265,$H$1))</f>
        <v>Separator: Horizontal (Phases: 3)</v>
      </c>
      <c r="I2265" s="17" t="s">
        <v>2406</v>
      </c>
      <c r="J2265" s="17" t="s">
        <v>2406</v>
      </c>
      <c r="K2265" s="17" t="s">
        <v>2406</v>
      </c>
    </row>
    <row r="2266" spans="1:11" x14ac:dyDescent="0.35">
      <c r="A2266" s="10" t="s">
        <v>1185</v>
      </c>
      <c r="B2266" s="255">
        <v>286</v>
      </c>
      <c r="C2266" s="10" t="s">
        <v>204</v>
      </c>
      <c r="D2266" s="10">
        <v>1</v>
      </c>
      <c r="E2266" s="10">
        <v>520</v>
      </c>
      <c r="F2266" s="10" t="s">
        <v>690</v>
      </c>
      <c r="G2266" s="10" t="s">
        <v>695</v>
      </c>
      <c r="H2266" s="10" t="str" cm="1">
        <f t="array" aca="1" ref="H2266" ca="1">IF(INDEX(I2266:Z2266,$H$1)=0,"",INDEX(I2266:Z2266,$H$1))</f>
        <v>Separator: Vertical (Phases: 2)</v>
      </c>
      <c r="I2266" s="17" t="s">
        <v>2407</v>
      </c>
      <c r="J2266" s="17" t="s">
        <v>2407</v>
      </c>
      <c r="K2266" s="17" t="s">
        <v>2407</v>
      </c>
    </row>
    <row r="2267" spans="1:11" x14ac:dyDescent="0.35">
      <c r="A2267" s="10" t="s">
        <v>1185</v>
      </c>
      <c r="B2267" s="255">
        <v>287</v>
      </c>
      <c r="C2267" s="10" t="s">
        <v>204</v>
      </c>
      <c r="D2267" s="10">
        <v>1</v>
      </c>
      <c r="E2267" s="10">
        <v>521</v>
      </c>
      <c r="F2267" s="10" t="s">
        <v>690</v>
      </c>
      <c r="G2267" s="10" t="s">
        <v>695</v>
      </c>
      <c r="H2267" s="10" t="str" cm="1">
        <f t="array" aca="1" ref="H2267" ca="1">IF(INDEX(I2267:Z2267,$H$1)=0,"",INDEX(I2267:Z2267,$H$1))</f>
        <v>Separator: Vertical (Phases: 3)</v>
      </c>
      <c r="I2267" s="17" t="s">
        <v>2408</v>
      </c>
      <c r="J2267" s="17" t="s">
        <v>2408</v>
      </c>
      <c r="K2267" s="17" t="s">
        <v>2408</v>
      </c>
    </row>
    <row r="2268" spans="1:11" x14ac:dyDescent="0.35">
      <c r="A2268" s="10" t="s">
        <v>1185</v>
      </c>
      <c r="B2268" s="255">
        <v>288</v>
      </c>
      <c r="C2268" s="10" t="s">
        <v>204</v>
      </c>
      <c r="D2268" s="10">
        <v>1</v>
      </c>
      <c r="E2268" s="10">
        <v>522</v>
      </c>
      <c r="F2268" s="10" t="s">
        <v>690</v>
      </c>
      <c r="G2268" s="10" t="s">
        <v>695</v>
      </c>
      <c r="H2268" s="10" t="str" cm="1">
        <f t="array" aca="1" ref="H2268" ca="1">IF(INDEX(I2268:Z2268,$H$1)=0,"",INDEX(I2268:Z2268,$H$1))</f>
        <v>Blowdown System: Generic (Pit or Vent)</v>
      </c>
      <c r="I2268" s="17" t="s">
        <v>2374</v>
      </c>
      <c r="J2268" s="17" t="s">
        <v>2374</v>
      </c>
      <c r="K2268" s="17" t="s">
        <v>2374</v>
      </c>
    </row>
    <row r="2269" spans="1:11" x14ac:dyDescent="0.35">
      <c r="A2269" s="10" t="s">
        <v>1185</v>
      </c>
      <c r="B2269" s="255">
        <v>289</v>
      </c>
      <c r="C2269" s="10" t="s">
        <v>204</v>
      </c>
      <c r="D2269" s="10">
        <v>1</v>
      </c>
      <c r="E2269" s="10">
        <v>523</v>
      </c>
      <c r="F2269" s="10" t="s">
        <v>690</v>
      </c>
      <c r="G2269" s="10" t="s">
        <v>695</v>
      </c>
      <c r="H2269" s="10" t="str" cm="1">
        <f t="array" aca="1" ref="H2269" ca="1">IF(INDEX(I2269:Z2269,$H$1)=0,"",INDEX(I2269:Z2269,$H$1))</f>
        <v>Aerial Cooler: Natural Gas Service</v>
      </c>
      <c r="I2269" s="17" t="s">
        <v>3396</v>
      </c>
      <c r="J2269" s="17" t="s">
        <v>3396</v>
      </c>
      <c r="K2269" s="17" t="s">
        <v>3396</v>
      </c>
    </row>
    <row r="2270" spans="1:11" x14ac:dyDescent="0.35">
      <c r="A2270" s="10" t="s">
        <v>1185</v>
      </c>
      <c r="B2270" s="255">
        <v>290</v>
      </c>
      <c r="C2270" s="10" t="s">
        <v>204</v>
      </c>
      <c r="D2270" s="10">
        <v>1</v>
      </c>
      <c r="E2270" s="10">
        <v>524</v>
      </c>
      <c r="F2270" s="10" t="s">
        <v>690</v>
      </c>
      <c r="G2270" s="10" t="s">
        <v>695</v>
      </c>
      <c r="H2270" s="10" t="str" cm="1">
        <f t="array" aca="1" ref="H2270" ca="1">IF(INDEX(I2270:Z2270,$H$1)=0,"",INDEX(I2270:Z2270,$H$1))</f>
        <v>Aerial Cooler: Hydrocarbon Liquid Service</v>
      </c>
      <c r="I2270" s="17" t="s">
        <v>3403</v>
      </c>
      <c r="J2270" s="17" t="s">
        <v>3403</v>
      </c>
      <c r="K2270" s="17" t="s">
        <v>3403</v>
      </c>
    </row>
    <row r="2271" spans="1:11" x14ac:dyDescent="0.35">
      <c r="A2271" s="10" t="s">
        <v>1185</v>
      </c>
      <c r="B2271" s="255">
        <v>291</v>
      </c>
      <c r="C2271" s="10" t="s">
        <v>204</v>
      </c>
      <c r="D2271" s="10">
        <v>1</v>
      </c>
      <c r="E2271" s="10">
        <v>525</v>
      </c>
      <c r="F2271" s="10" t="s">
        <v>690</v>
      </c>
      <c r="G2271" s="10" t="s">
        <v>695</v>
      </c>
      <c r="H2271" s="10" t="str" cm="1">
        <f t="array" aca="1" ref="H2271" ca="1">IF(INDEX(I2271:Z2271,$H$1)=0,"",INDEX(I2271:Z2271,$H$1))</f>
        <v>Compressor: Centrifugal: (Stages: 1) (Seals: Wet) (Driver: Electric Motor)</v>
      </c>
      <c r="I2271" s="17" t="s">
        <v>3219</v>
      </c>
      <c r="J2271" s="17" t="s">
        <v>3219</v>
      </c>
      <c r="K2271" s="17" t="s">
        <v>3219</v>
      </c>
    </row>
    <row r="2272" spans="1:11" x14ac:dyDescent="0.35">
      <c r="A2272" s="10" t="s">
        <v>1185</v>
      </c>
      <c r="B2272" s="255">
        <v>292</v>
      </c>
      <c r="C2272" s="10" t="s">
        <v>204</v>
      </c>
      <c r="D2272" s="10">
        <v>1</v>
      </c>
      <c r="E2272" s="10">
        <v>526</v>
      </c>
      <c r="F2272" s="10" t="s">
        <v>690</v>
      </c>
      <c r="G2272" s="10" t="s">
        <v>695</v>
      </c>
      <c r="H2272" s="10" t="str" cm="1">
        <f t="array" aca="1" ref="H2272" ca="1">IF(INDEX(I2272:Z2272,$H$1)=0,"",INDEX(I2272:Z2272,$H$1))</f>
        <v>Compressor: Centrifugal: (Stages: 1) (Seals: Wet) (Driver: Gas Turbine)</v>
      </c>
      <c r="I2272" s="17" t="s">
        <v>3220</v>
      </c>
      <c r="J2272" s="17" t="s">
        <v>3220</v>
      </c>
      <c r="K2272" s="17" t="s">
        <v>3220</v>
      </c>
    </row>
    <row r="2273" spans="1:11" x14ac:dyDescent="0.35">
      <c r="A2273" s="10" t="s">
        <v>1185</v>
      </c>
      <c r="B2273" s="255">
        <v>293</v>
      </c>
      <c r="C2273" s="10" t="s">
        <v>204</v>
      </c>
      <c r="D2273" s="10">
        <v>1</v>
      </c>
      <c r="E2273" s="10">
        <v>527</v>
      </c>
      <c r="F2273" s="10" t="s">
        <v>690</v>
      </c>
      <c r="G2273" s="10" t="s">
        <v>695</v>
      </c>
      <c r="H2273" s="10" t="str" cm="1">
        <f t="array" aca="1" ref="H2273" ca="1">IF(INDEX(I2273:Z2273,$H$1)=0,"",INDEX(I2273:Z2273,$H$1))</f>
        <v>Compressor: Centrifugal: (Stages: 2) (Seals: Wet) (Driver: Electric Motor)</v>
      </c>
      <c r="I2273" s="17" t="s">
        <v>3221</v>
      </c>
      <c r="J2273" s="17" t="s">
        <v>3221</v>
      </c>
      <c r="K2273" s="17" t="s">
        <v>3221</v>
      </c>
    </row>
    <row r="2274" spans="1:11" x14ac:dyDescent="0.35">
      <c r="A2274" s="10" t="s">
        <v>1185</v>
      </c>
      <c r="B2274" s="255">
        <v>294</v>
      </c>
      <c r="C2274" s="10" t="s">
        <v>204</v>
      </c>
      <c r="D2274" s="10">
        <v>1</v>
      </c>
      <c r="E2274" s="10">
        <v>528</v>
      </c>
      <c r="F2274" s="10" t="s">
        <v>690</v>
      </c>
      <c r="G2274" s="10" t="s">
        <v>695</v>
      </c>
      <c r="H2274" s="10" t="str" cm="1">
        <f t="array" aca="1" ref="H2274" ca="1">IF(INDEX(I2274:Z2274,$H$1)=0,"",INDEX(I2274:Z2274,$H$1))</f>
        <v>Compressor: Centrifugal: (Stages: 2) (Seals: Wet) (Driver: Gas Turbine)</v>
      </c>
      <c r="I2274" s="17" t="s">
        <v>3222</v>
      </c>
      <c r="J2274" s="17" t="s">
        <v>3222</v>
      </c>
      <c r="K2274" s="17" t="s">
        <v>3222</v>
      </c>
    </row>
    <row r="2275" spans="1:11" x14ac:dyDescent="0.35">
      <c r="A2275" s="10" t="s">
        <v>1185</v>
      </c>
      <c r="B2275" s="255">
        <v>295</v>
      </c>
      <c r="C2275" s="10" t="s">
        <v>204</v>
      </c>
      <c r="D2275" s="10">
        <v>1</v>
      </c>
      <c r="E2275" s="10">
        <v>529</v>
      </c>
      <c r="F2275" s="10" t="s">
        <v>690</v>
      </c>
      <c r="G2275" s="10" t="s">
        <v>695</v>
      </c>
      <c r="H2275" s="10" t="str" cm="1">
        <f t="array" aca="1" ref="H2275" ca="1">IF(INDEX(I2275:Z2275,$H$1)=0,"",INDEX(I2275:Z2275,$H$1))</f>
        <v>Compressor: Centrifugal: (Stages: 1) (Seals: Dry) (Driver: Electric Motor)</v>
      </c>
      <c r="I2275" s="17" t="s">
        <v>3223</v>
      </c>
      <c r="J2275" s="17" t="s">
        <v>3223</v>
      </c>
      <c r="K2275" s="17" t="s">
        <v>3223</v>
      </c>
    </row>
    <row r="2276" spans="1:11" x14ac:dyDescent="0.35">
      <c r="A2276" s="10" t="s">
        <v>1185</v>
      </c>
      <c r="B2276" s="255">
        <v>296</v>
      </c>
      <c r="C2276" s="10" t="s">
        <v>204</v>
      </c>
      <c r="D2276" s="10">
        <v>1</v>
      </c>
      <c r="E2276" s="10">
        <v>530</v>
      </c>
      <c r="F2276" s="10" t="s">
        <v>690</v>
      </c>
      <c r="G2276" s="10" t="s">
        <v>695</v>
      </c>
      <c r="H2276" s="10" t="str" cm="1">
        <f t="array" aca="1" ref="H2276" ca="1">IF(INDEX(I2276:Z2276,$H$1)=0,"",INDEX(I2276:Z2276,$H$1))</f>
        <v>Compressor: Centrifugal: (Stages: 1) (Seals: Dry) (Driver: Gas Turbine)</v>
      </c>
      <c r="I2276" s="17" t="s">
        <v>3224</v>
      </c>
      <c r="J2276" s="17" t="s">
        <v>3224</v>
      </c>
      <c r="K2276" s="17" t="s">
        <v>3224</v>
      </c>
    </row>
    <row r="2277" spans="1:11" x14ac:dyDescent="0.35">
      <c r="A2277" s="10" t="s">
        <v>1185</v>
      </c>
      <c r="B2277" s="255">
        <v>297</v>
      </c>
      <c r="C2277" s="10" t="s">
        <v>204</v>
      </c>
      <c r="D2277" s="10">
        <v>1</v>
      </c>
      <c r="E2277" s="10">
        <v>531</v>
      </c>
      <c r="F2277" s="10" t="s">
        <v>690</v>
      </c>
      <c r="G2277" s="10" t="s">
        <v>695</v>
      </c>
      <c r="H2277" s="10" t="str" cm="1">
        <f t="array" aca="1" ref="H2277" ca="1">IF(INDEX(I2277:Z2277,$H$1)=0,"",INDEX(I2277:Z2277,$H$1))</f>
        <v>Compressor: Centrifugal: (Stages: 2) (Seals: Dry) (Driver: Electric Motor)</v>
      </c>
      <c r="I2277" s="17" t="s">
        <v>3225</v>
      </c>
      <c r="J2277" s="17" t="s">
        <v>3225</v>
      </c>
      <c r="K2277" s="17" t="s">
        <v>3225</v>
      </c>
    </row>
    <row r="2278" spans="1:11" x14ac:dyDescent="0.35">
      <c r="A2278" s="10" t="s">
        <v>1185</v>
      </c>
      <c r="B2278" s="255">
        <v>298</v>
      </c>
      <c r="C2278" s="10" t="s">
        <v>204</v>
      </c>
      <c r="D2278" s="10">
        <v>1</v>
      </c>
      <c r="E2278" s="10">
        <v>532</v>
      </c>
      <c r="F2278" s="10" t="s">
        <v>690</v>
      </c>
      <c r="G2278" s="10" t="s">
        <v>695</v>
      </c>
      <c r="H2278" s="10" t="str" cm="1">
        <f t="array" aca="1" ref="H2278" ca="1">IF(INDEX(I2278:Z2278,$H$1)=0,"",INDEX(I2278:Z2278,$H$1))</f>
        <v>Compressor: Centrifugal: (Stages: 2) (Seals: Dry) (Driver: Gas Turbine)</v>
      </c>
      <c r="I2278" s="17" t="s">
        <v>3226</v>
      </c>
      <c r="J2278" s="17" t="s">
        <v>3226</v>
      </c>
      <c r="K2278" s="17" t="s">
        <v>3226</v>
      </c>
    </row>
    <row r="2279" spans="1:11" x14ac:dyDescent="0.35">
      <c r="A2279" s="10" t="s">
        <v>1185</v>
      </c>
      <c r="B2279" s="255">
        <v>299</v>
      </c>
      <c r="C2279" s="10" t="s">
        <v>204</v>
      </c>
      <c r="D2279" s="10">
        <v>1</v>
      </c>
      <c r="E2279" s="10">
        <v>533</v>
      </c>
      <c r="F2279" s="10" t="s">
        <v>690</v>
      </c>
      <c r="G2279" s="10" t="s">
        <v>695</v>
      </c>
      <c r="H2279" s="10" t="str" cm="1">
        <f t="array" aca="1" ref="H2279" ca="1">IF(INDEX(I2279:Z2279,$H$1)=0,"",INDEX(I2279:Z2279,$H$1))</f>
        <v>Compressor: Reciprocating: (Stages: 1) (Driver: Electric Motor)</v>
      </c>
      <c r="I2279" s="17" t="s">
        <v>2378</v>
      </c>
      <c r="J2279" s="17" t="s">
        <v>2378</v>
      </c>
      <c r="K2279" s="17" t="s">
        <v>2378</v>
      </c>
    </row>
    <row r="2280" spans="1:11" x14ac:dyDescent="0.35">
      <c r="A2280" s="10" t="s">
        <v>1185</v>
      </c>
      <c r="B2280" s="255">
        <v>300</v>
      </c>
      <c r="C2280" s="10" t="s">
        <v>204</v>
      </c>
      <c r="D2280" s="10">
        <v>1</v>
      </c>
      <c r="E2280" s="10">
        <v>534</v>
      </c>
      <c r="F2280" s="10" t="s">
        <v>690</v>
      </c>
      <c r="G2280" s="10" t="s">
        <v>695</v>
      </c>
      <c r="H2280" s="10" t="str" cm="1">
        <f t="array" aca="1" ref="H2280" ca="1">IF(INDEX(I2280:Z2280,$H$1)=0,"",INDEX(I2280:Z2280,$H$1))</f>
        <v>Compressor: Reciprocating: (Stages: 1) (Driver: Recip Engine)</v>
      </c>
      <c r="I2280" s="17" t="s">
        <v>2379</v>
      </c>
      <c r="J2280" s="17" t="s">
        <v>2379</v>
      </c>
      <c r="K2280" s="17" t="s">
        <v>2379</v>
      </c>
    </row>
    <row r="2281" spans="1:11" x14ac:dyDescent="0.35">
      <c r="A2281" s="10" t="s">
        <v>1185</v>
      </c>
      <c r="B2281" s="255">
        <v>301</v>
      </c>
      <c r="C2281" s="10" t="s">
        <v>204</v>
      </c>
      <c r="D2281" s="10">
        <v>1</v>
      </c>
      <c r="E2281" s="10">
        <v>535</v>
      </c>
      <c r="F2281" s="10" t="s">
        <v>690</v>
      </c>
      <c r="G2281" s="10" t="s">
        <v>695</v>
      </c>
      <c r="H2281" s="10" t="str" cm="1">
        <f t="array" aca="1" ref="H2281" ca="1">IF(INDEX(I2281:Z2281,$H$1)=0,"",INDEX(I2281:Z2281,$H$1))</f>
        <v>Compressor: Reciprocating: (Stages: 2) (Driver: Electric Motor)</v>
      </c>
      <c r="I2281" s="17" t="s">
        <v>2380</v>
      </c>
      <c r="J2281" s="17" t="s">
        <v>2380</v>
      </c>
      <c r="K2281" s="17" t="s">
        <v>2380</v>
      </c>
    </row>
    <row r="2282" spans="1:11" x14ac:dyDescent="0.35">
      <c r="A2282" s="10" t="s">
        <v>1185</v>
      </c>
      <c r="B2282" s="255">
        <v>302</v>
      </c>
      <c r="C2282" s="10" t="s">
        <v>204</v>
      </c>
      <c r="D2282" s="10">
        <v>1</v>
      </c>
      <c r="E2282" s="10">
        <v>536</v>
      </c>
      <c r="F2282" s="10" t="s">
        <v>690</v>
      </c>
      <c r="G2282" s="10" t="s">
        <v>695</v>
      </c>
      <c r="H2282" s="10" t="str" cm="1">
        <f t="array" aca="1" ref="H2282" ca="1">IF(INDEX(I2282:Z2282,$H$1)=0,"",INDEX(I2282:Z2282,$H$1))</f>
        <v>Compressor: Reciprocating: (Stages: 2) (Driver: Recip Engine)</v>
      </c>
      <c r="I2282" s="17" t="s">
        <v>2381</v>
      </c>
      <c r="J2282" s="17" t="s">
        <v>2381</v>
      </c>
      <c r="K2282" s="17" t="s">
        <v>2381</v>
      </c>
    </row>
    <row r="2283" spans="1:11" x14ac:dyDescent="0.35">
      <c r="A2283" s="10" t="s">
        <v>1185</v>
      </c>
      <c r="B2283" s="255">
        <v>303</v>
      </c>
      <c r="C2283" s="10" t="s">
        <v>204</v>
      </c>
      <c r="D2283" s="10">
        <v>1</v>
      </c>
      <c r="E2283" s="10">
        <v>537</v>
      </c>
      <c r="F2283" s="10" t="s">
        <v>690</v>
      </c>
      <c r="G2283" s="10" t="s">
        <v>695</v>
      </c>
      <c r="H2283" s="10" t="str" cm="1">
        <f t="array" aca="1" ref="H2283" ca="1">IF(INDEX(I2283:Z2283,$H$1)=0,"",INDEX(I2283:Z2283,$H$1))</f>
        <v>Compressor: Reciprocating: (Stages: 3) (Driver: Electric Motor)</v>
      </c>
      <c r="I2283" s="17" t="s">
        <v>2382</v>
      </c>
      <c r="J2283" s="17" t="s">
        <v>2382</v>
      </c>
      <c r="K2283" s="17" t="s">
        <v>2382</v>
      </c>
    </row>
    <row r="2284" spans="1:11" x14ac:dyDescent="0.35">
      <c r="A2284" s="10" t="s">
        <v>1185</v>
      </c>
      <c r="B2284" s="255">
        <v>304</v>
      </c>
      <c r="C2284" s="10" t="s">
        <v>204</v>
      </c>
      <c r="D2284" s="10">
        <v>1</v>
      </c>
      <c r="E2284" s="10">
        <v>538</v>
      </c>
      <c r="F2284" s="10" t="s">
        <v>690</v>
      </c>
      <c r="G2284" s="10" t="s">
        <v>695</v>
      </c>
      <c r="H2284" s="10" t="str" cm="1">
        <f t="array" aca="1" ref="H2284" ca="1">IF(INDEX(I2284:Z2284,$H$1)=0,"",INDEX(I2284:Z2284,$H$1))</f>
        <v>Compressor: Reciprocating: (Stages: 3) (Driver: Recip Engine)</v>
      </c>
      <c r="I2284" s="17" t="s">
        <v>2383</v>
      </c>
      <c r="J2284" s="17" t="s">
        <v>2383</v>
      </c>
      <c r="K2284" s="17" t="s">
        <v>2383</v>
      </c>
    </row>
    <row r="2285" spans="1:11" x14ac:dyDescent="0.35">
      <c r="A2285" s="10" t="s">
        <v>1185</v>
      </c>
      <c r="B2285" s="255">
        <v>305</v>
      </c>
      <c r="C2285" s="10" t="s">
        <v>204</v>
      </c>
      <c r="D2285" s="10">
        <v>1</v>
      </c>
      <c r="E2285" s="10">
        <v>539</v>
      </c>
      <c r="F2285" s="10" t="s">
        <v>690</v>
      </c>
      <c r="G2285" s="10" t="s">
        <v>695</v>
      </c>
      <c r="H2285" s="10" t="str" cm="1">
        <f t="array" aca="1" ref="H2285" ca="1">IF(INDEX(I2285:Z2285,$H$1)=0,"",INDEX(I2285:Z2285,$H$1))</f>
        <v>Compressor: Reciprocating: (Stages 4) (Driver: Electric Motor)</v>
      </c>
      <c r="I2285" s="17" t="s">
        <v>3308</v>
      </c>
      <c r="J2285" s="17" t="s">
        <v>3308</v>
      </c>
      <c r="K2285" s="17" t="s">
        <v>3308</v>
      </c>
    </row>
    <row r="2286" spans="1:11" x14ac:dyDescent="0.35">
      <c r="A2286" s="10" t="s">
        <v>1185</v>
      </c>
      <c r="B2286" s="255">
        <v>306</v>
      </c>
      <c r="C2286" s="10" t="s">
        <v>204</v>
      </c>
      <c r="D2286" s="10">
        <v>1</v>
      </c>
      <c r="E2286" s="10">
        <v>540</v>
      </c>
      <c r="F2286" s="10" t="s">
        <v>690</v>
      </c>
      <c r="G2286" s="10" t="s">
        <v>695</v>
      </c>
      <c r="H2286" s="10" t="str" cm="1">
        <f t="array" aca="1" ref="H2286" ca="1">IF(INDEX(I2286:Z2286,$H$1)=0,"",INDEX(I2286:Z2286,$H$1))</f>
        <v>Compressor: Reciprocating: (Stages 4) (Driver: Recip Engine)</v>
      </c>
      <c r="I2286" s="17" t="s">
        <v>3307</v>
      </c>
      <c r="J2286" s="17" t="s">
        <v>3307</v>
      </c>
      <c r="K2286" s="17" t="s">
        <v>3307</v>
      </c>
    </row>
    <row r="2287" spans="1:11" x14ac:dyDescent="0.35">
      <c r="A2287" s="10" t="s">
        <v>1185</v>
      </c>
      <c r="B2287" s="255">
        <v>307</v>
      </c>
      <c r="C2287" s="10" t="s">
        <v>204</v>
      </c>
      <c r="D2287" s="10">
        <v>1</v>
      </c>
      <c r="E2287" s="10">
        <v>541</v>
      </c>
      <c r="F2287" s="10" t="s">
        <v>690</v>
      </c>
      <c r="G2287" s="10" t="s">
        <v>695</v>
      </c>
      <c r="H2287" s="10" t="str" cm="1">
        <f t="array" aca="1" ref="H2287" ca="1">IF(INDEX(I2287:Z2287,$H$1)=0,"",INDEX(I2287:Z2287,$H$1))</f>
        <v>District Regulating Station</v>
      </c>
      <c r="I2287" s="17" t="s">
        <v>216</v>
      </c>
      <c r="J2287" s="17" t="s">
        <v>216</v>
      </c>
      <c r="K2287" s="17" t="s">
        <v>216</v>
      </c>
    </row>
    <row r="2288" spans="1:11" x14ac:dyDescent="0.35">
      <c r="A2288" s="10" t="s">
        <v>1185</v>
      </c>
      <c r="B2288" s="255">
        <v>308</v>
      </c>
      <c r="C2288" s="10" t="s">
        <v>204</v>
      </c>
      <c r="D2288" s="10">
        <v>1</v>
      </c>
      <c r="E2288" s="10">
        <v>542</v>
      </c>
      <c r="F2288" s="10" t="s">
        <v>690</v>
      </c>
      <c r="G2288" s="10" t="s">
        <v>695</v>
      </c>
      <c r="H2288" s="10" t="str" cm="1">
        <f t="array" aca="1" ref="H2288" ca="1">IF(INDEX(I2288:Z2288,$H$1)=0,"",INDEX(I2288:Z2288,$H$1))</f>
        <v>Drain Tank</v>
      </c>
      <c r="I2288" s="17" t="s">
        <v>2431</v>
      </c>
      <c r="J2288" s="17" t="s">
        <v>2431</v>
      </c>
      <c r="K2288" s="17" t="s">
        <v>2431</v>
      </c>
    </row>
    <row r="2289" spans="1:11" x14ac:dyDescent="0.35">
      <c r="A2289" s="10" t="s">
        <v>1185</v>
      </c>
      <c r="B2289" s="255">
        <v>309</v>
      </c>
      <c r="C2289" s="10" t="s">
        <v>204</v>
      </c>
      <c r="D2289" s="10">
        <v>1</v>
      </c>
      <c r="E2289" s="10">
        <v>543</v>
      </c>
      <c r="F2289" s="10" t="s">
        <v>690</v>
      </c>
      <c r="G2289" s="10" t="s">
        <v>695</v>
      </c>
      <c r="H2289" s="10" t="str" cm="1">
        <f t="array" aca="1" ref="H2289" ca="1">IF(INDEX(I2289:Z2289,$H$1)=0,"",INDEX(I2289:Z2289,$H$1))</f>
        <v>Flare System: Generic (Including Knock-out Drum)</v>
      </c>
      <c r="I2289" s="17" t="s">
        <v>2390</v>
      </c>
      <c r="J2289" s="17" t="s">
        <v>2390</v>
      </c>
      <c r="K2289" s="17" t="s">
        <v>2390</v>
      </c>
    </row>
    <row r="2290" spans="1:11" x14ac:dyDescent="0.35">
      <c r="A2290" s="10" t="s">
        <v>1185</v>
      </c>
      <c r="B2290" s="255">
        <v>310</v>
      </c>
      <c r="C2290" s="10" t="s">
        <v>204</v>
      </c>
      <c r="D2290" s="10">
        <v>1</v>
      </c>
      <c r="E2290" s="10">
        <v>544</v>
      </c>
      <c r="F2290" s="10" t="s">
        <v>690</v>
      </c>
      <c r="G2290" s="10" t="s">
        <v>695</v>
      </c>
      <c r="H2290" s="10" t="str" cm="1">
        <f t="array" aca="1" ref="H2290" ca="1">IF(INDEX(I2290:Z2290,$H$1)=0,"",INDEX(I2290:Z2290,$H$1))</f>
        <v>Gate Station</v>
      </c>
      <c r="I2290" s="17" t="s">
        <v>215</v>
      </c>
      <c r="J2290" s="17" t="s">
        <v>215</v>
      </c>
      <c r="K2290" s="17" t="s">
        <v>215</v>
      </c>
    </row>
    <row r="2291" spans="1:11" x14ac:dyDescent="0.35">
      <c r="A2291" s="10" t="s">
        <v>1185</v>
      </c>
      <c r="B2291" s="255">
        <v>311</v>
      </c>
      <c r="C2291" s="10" t="s">
        <v>204</v>
      </c>
      <c r="D2291" s="10">
        <v>1</v>
      </c>
      <c r="E2291" s="10">
        <v>545</v>
      </c>
      <c r="F2291" s="10" t="s">
        <v>690</v>
      </c>
      <c r="G2291" s="10" t="s">
        <v>695</v>
      </c>
      <c r="H2291" s="10" t="str" cm="1">
        <f t="array" aca="1" ref="H2291" ca="1">IF(INDEX(I2291:Z2291,$H$1)=0,"",INDEX(I2291:Z2291,$H$1))</f>
        <v>Heater/Boiler/Reboiler: Line (Burner Assemblies: 1)</v>
      </c>
      <c r="I2291" s="17" t="s">
        <v>2671</v>
      </c>
      <c r="J2291" s="17" t="s">
        <v>2671</v>
      </c>
      <c r="K2291" s="17" t="s">
        <v>2671</v>
      </c>
    </row>
    <row r="2292" spans="1:11" x14ac:dyDescent="0.35">
      <c r="A2292" s="10" t="s">
        <v>1185</v>
      </c>
      <c r="B2292" s="255">
        <v>312</v>
      </c>
      <c r="C2292" s="10" t="s">
        <v>204</v>
      </c>
      <c r="D2292" s="10">
        <v>1</v>
      </c>
      <c r="E2292" s="10">
        <v>546</v>
      </c>
      <c r="F2292" s="10" t="s">
        <v>690</v>
      </c>
      <c r="G2292" s="10" t="s">
        <v>695</v>
      </c>
      <c r="H2292" s="10" t="str" cm="1">
        <f t="array" aca="1" ref="H2292" ca="1">IF(INDEX(I2292:Z2292,$H$1)=0,"",INDEX(I2292:Z2292,$H$1))</f>
        <v>Heater/Boiler/Reboiler: Line (Burner Assemblies: 2)</v>
      </c>
      <c r="I2292" s="17" t="s">
        <v>2672</v>
      </c>
      <c r="J2292" s="17" t="s">
        <v>2672</v>
      </c>
      <c r="K2292" s="17" t="s">
        <v>2672</v>
      </c>
    </row>
    <row r="2293" spans="1:11" x14ac:dyDescent="0.35">
      <c r="A2293" s="10" t="s">
        <v>1185</v>
      </c>
      <c r="B2293" s="255">
        <v>313</v>
      </c>
      <c r="C2293" s="10" t="s">
        <v>204</v>
      </c>
      <c r="D2293" s="10">
        <v>1</v>
      </c>
      <c r="E2293" s="10">
        <v>547</v>
      </c>
      <c r="F2293" s="10" t="s">
        <v>690</v>
      </c>
      <c r="G2293" s="10" t="s">
        <v>695</v>
      </c>
      <c r="H2293" s="10" t="str" cm="1">
        <f t="array" aca="1" ref="H2293" ca="1">IF(INDEX(I2293:Z2293,$H$1)=0,"",INDEX(I2293:Z2293,$H$1))</f>
        <v>Heater/Boiler/Reboiler: Line (Burner Assemblies: 3)</v>
      </c>
      <c r="I2293" s="17" t="s">
        <v>2673</v>
      </c>
      <c r="J2293" s="17" t="s">
        <v>2673</v>
      </c>
      <c r="K2293" s="17" t="s">
        <v>2673</v>
      </c>
    </row>
    <row r="2294" spans="1:11" x14ac:dyDescent="0.35">
      <c r="A2294" s="10" t="s">
        <v>1185</v>
      </c>
      <c r="B2294" s="255">
        <v>314</v>
      </c>
      <c r="C2294" s="10" t="s">
        <v>204</v>
      </c>
      <c r="D2294" s="10">
        <v>1</v>
      </c>
      <c r="E2294" s="10">
        <v>548</v>
      </c>
      <c r="F2294" s="10" t="s">
        <v>690</v>
      </c>
      <c r="G2294" s="10" t="s">
        <v>695</v>
      </c>
      <c r="H2294" s="10" t="str" cm="1">
        <f t="array" aca="1" ref="H2294" ca="1">IF(INDEX(I2294:Z2294,$H$1)=0,"",INDEX(I2294:Z2294,$H$1))</f>
        <v>Inlet/Outlet Header: Gas Facilities (Fittings Per Pipeline)</v>
      </c>
      <c r="I2294" s="17" t="s">
        <v>2729</v>
      </c>
      <c r="J2294" s="17" t="s">
        <v>2729</v>
      </c>
      <c r="K2294" s="17" t="s">
        <v>2729</v>
      </c>
    </row>
    <row r="2295" spans="1:11" x14ac:dyDescent="0.35">
      <c r="A2295" s="10" t="s">
        <v>1185</v>
      </c>
      <c r="B2295" s="255">
        <v>315</v>
      </c>
      <c r="C2295" s="10" t="s">
        <v>204</v>
      </c>
      <c r="D2295" s="10">
        <v>1</v>
      </c>
      <c r="E2295" s="10">
        <v>549</v>
      </c>
      <c r="F2295" s="10" t="s">
        <v>690</v>
      </c>
      <c r="G2295" s="10" t="s">
        <v>695</v>
      </c>
      <c r="H2295" s="10" t="str" cm="1">
        <f t="array" aca="1" ref="H2295" ca="1">IF(INDEX(I2295:Z2295,$H$1)=0,"",INDEX(I2295:Z2295,$H$1))</f>
        <v>Isolation Block Valve</v>
      </c>
      <c r="I2295" s="17" t="s">
        <v>2475</v>
      </c>
      <c r="J2295" s="17" t="s">
        <v>2475</v>
      </c>
      <c r="K2295" s="17" t="s">
        <v>2475</v>
      </c>
    </row>
    <row r="2296" spans="1:11" x14ac:dyDescent="0.35">
      <c r="A2296" s="10" t="s">
        <v>1185</v>
      </c>
      <c r="B2296" s="255">
        <v>316</v>
      </c>
      <c r="C2296" s="10" t="s">
        <v>204</v>
      </c>
      <c r="D2296" s="10">
        <v>1</v>
      </c>
      <c r="E2296" s="10">
        <v>550</v>
      </c>
      <c r="F2296" s="10" t="s">
        <v>690</v>
      </c>
      <c r="G2296" s="10" t="s">
        <v>695</v>
      </c>
      <c r="H2296" s="10" t="str" cm="1">
        <f t="array" aca="1" ref="H2296" ca="1">IF(INDEX(I2296:Z2296,$H$1)=0,"",INDEX(I2296:Z2296,$H$1))</f>
        <v>Mainline Block Valve</v>
      </c>
      <c r="I2296" s="17" t="s">
        <v>208</v>
      </c>
      <c r="J2296" s="17" t="s">
        <v>208</v>
      </c>
      <c r="K2296" s="17" t="s">
        <v>208</v>
      </c>
    </row>
    <row r="2297" spans="1:11" x14ac:dyDescent="0.35">
      <c r="A2297" s="10" t="s">
        <v>1185</v>
      </c>
      <c r="B2297" s="255">
        <v>317</v>
      </c>
      <c r="C2297" s="10" t="s">
        <v>204</v>
      </c>
      <c r="D2297" s="10">
        <v>1</v>
      </c>
      <c r="E2297" s="10">
        <v>551</v>
      </c>
      <c r="F2297" s="10" t="s">
        <v>690</v>
      </c>
      <c r="G2297" s="10" t="s">
        <v>695</v>
      </c>
      <c r="H2297" s="10" t="str" cm="1">
        <f t="array" aca="1" ref="H2297" ca="1">IF(INDEX(I2297:Z2297,$H$1)=0,"",INDEX(I2297:Z2297,$H$1))</f>
        <v>Meter Set: Commercial</v>
      </c>
      <c r="I2297" s="17" t="s">
        <v>2433</v>
      </c>
      <c r="J2297" s="17" t="s">
        <v>2433</v>
      </c>
      <c r="K2297" s="17" t="s">
        <v>2433</v>
      </c>
    </row>
    <row r="2298" spans="1:11" x14ac:dyDescent="0.35">
      <c r="A2298" s="10" t="s">
        <v>1185</v>
      </c>
      <c r="B2298" s="255">
        <v>318</v>
      </c>
      <c r="C2298" s="10" t="s">
        <v>204</v>
      </c>
      <c r="D2298" s="10">
        <v>1</v>
      </c>
      <c r="E2298" s="10">
        <v>552</v>
      </c>
      <c r="F2298" s="10" t="s">
        <v>690</v>
      </c>
      <c r="G2298" s="10" t="s">
        <v>695</v>
      </c>
      <c r="H2298" s="10" t="str" cm="1">
        <f t="array" aca="1" ref="H2298" ca="1">IF(INDEX(I2298:Z2298,$H$1)=0,"",INDEX(I2298:Z2298,$H$1))</f>
        <v>Meter Set: Farm Tap</v>
      </c>
      <c r="I2298" s="17" t="s">
        <v>2434</v>
      </c>
      <c r="J2298" s="17" t="s">
        <v>2434</v>
      </c>
      <c r="K2298" s="17" t="s">
        <v>2434</v>
      </c>
    </row>
    <row r="2299" spans="1:11" x14ac:dyDescent="0.35">
      <c r="A2299" s="10" t="s">
        <v>1185</v>
      </c>
      <c r="B2299" s="255">
        <v>319</v>
      </c>
      <c r="C2299" s="10" t="s">
        <v>204</v>
      </c>
      <c r="D2299" s="10">
        <v>1</v>
      </c>
      <c r="E2299" s="10">
        <v>553</v>
      </c>
      <c r="F2299" s="10" t="s">
        <v>690</v>
      </c>
      <c r="G2299" s="10" t="s">
        <v>695</v>
      </c>
      <c r="H2299" s="10" t="str" cm="1">
        <f t="array" aca="1" ref="H2299" ca="1">IF(INDEX(I2299:Z2299,$H$1)=0,"",INDEX(I2299:Z2299,$H$1))</f>
        <v>Meter Set: Industrial</v>
      </c>
      <c r="I2299" s="17" t="s">
        <v>2435</v>
      </c>
      <c r="J2299" s="17" t="s">
        <v>2435</v>
      </c>
      <c r="K2299" s="17" t="s">
        <v>2435</v>
      </c>
    </row>
    <row r="2300" spans="1:11" x14ac:dyDescent="0.35">
      <c r="A2300" s="10" t="s">
        <v>1185</v>
      </c>
      <c r="B2300" s="255">
        <v>320</v>
      </c>
      <c r="C2300" s="10" t="s">
        <v>204</v>
      </c>
      <c r="D2300" s="10">
        <v>1</v>
      </c>
      <c r="E2300" s="10">
        <v>554</v>
      </c>
      <c r="F2300" s="10" t="s">
        <v>690</v>
      </c>
      <c r="G2300" s="10" t="s">
        <v>695</v>
      </c>
      <c r="H2300" s="10" t="str" cm="1">
        <f t="array" aca="1" ref="H2300" ca="1">IF(INDEX(I2300:Z2300,$H$1)=0,"",INDEX(I2300:Z2300,$H$1))</f>
        <v>Meter Set: Residential</v>
      </c>
      <c r="I2300" s="17" t="s">
        <v>2438</v>
      </c>
      <c r="J2300" s="17" t="s">
        <v>2438</v>
      </c>
      <c r="K2300" s="17" t="s">
        <v>2438</v>
      </c>
    </row>
    <row r="2301" spans="1:11" x14ac:dyDescent="0.35">
      <c r="A2301" s="10" t="s">
        <v>1185</v>
      </c>
      <c r="B2301" s="255">
        <v>321</v>
      </c>
      <c r="C2301" s="10" t="s">
        <v>204</v>
      </c>
      <c r="D2301" s="10">
        <v>1</v>
      </c>
      <c r="E2301" s="10">
        <v>555</v>
      </c>
      <c r="F2301" s="10" t="s">
        <v>690</v>
      </c>
      <c r="G2301" s="10" t="s">
        <v>695</v>
      </c>
      <c r="H2301" s="10" t="str" cm="1">
        <f t="array" aca="1" ref="H2301" ca="1">IF(INDEX(I2301:Z2301,$H$1)=0,"",INDEX(I2301:Z2301,$H$1))</f>
        <v>Blowdown System: Generic (Pit or Vent)</v>
      </c>
      <c r="I2301" s="17" t="s">
        <v>2374</v>
      </c>
      <c r="J2301" s="17" t="s">
        <v>2374</v>
      </c>
      <c r="K2301" s="17" t="s">
        <v>2374</v>
      </c>
    </row>
    <row r="2302" spans="1:11" x14ac:dyDescent="0.35">
      <c r="A2302" s="10" t="s">
        <v>1185</v>
      </c>
      <c r="B2302" s="255">
        <v>322</v>
      </c>
      <c r="C2302" s="10" t="s">
        <v>204</v>
      </c>
      <c r="D2302" s="10">
        <v>1</v>
      </c>
      <c r="E2302" s="10">
        <v>556</v>
      </c>
      <c r="F2302" s="10" t="s">
        <v>690</v>
      </c>
      <c r="G2302" s="10" t="s">
        <v>695</v>
      </c>
      <c r="H2302" s="10" t="str" cm="1">
        <f t="array" aca="1" ref="H2302" ca="1">IF(INDEX(I2302:Z2302,$H$1)=0,"",INDEX(I2302:Z2302,$H$1))</f>
        <v>Aerial Cooler: Natural Gas Service</v>
      </c>
      <c r="I2302" s="17" t="s">
        <v>3396</v>
      </c>
      <c r="J2302" s="17" t="s">
        <v>3396</v>
      </c>
      <c r="K2302" s="17" t="s">
        <v>3396</v>
      </c>
    </row>
    <row r="2303" spans="1:11" x14ac:dyDescent="0.35">
      <c r="A2303" s="10" t="s">
        <v>1185</v>
      </c>
      <c r="B2303" s="255">
        <v>323</v>
      </c>
      <c r="C2303" s="10" t="s">
        <v>204</v>
      </c>
      <c r="D2303" s="10">
        <v>1</v>
      </c>
      <c r="E2303" s="10">
        <v>557</v>
      </c>
      <c r="F2303" s="10" t="s">
        <v>690</v>
      </c>
      <c r="G2303" s="10" t="s">
        <v>695</v>
      </c>
      <c r="H2303" s="10" t="str" cm="1">
        <f t="array" aca="1" ref="H2303" ca="1">IF(INDEX(I2303:Z2303,$H$1)=0,"",INDEX(I2303:Z2303,$H$1))</f>
        <v>Aerial Cooler: Hydrocarbon Liquid Service</v>
      </c>
      <c r="I2303" s="17" t="s">
        <v>3403</v>
      </c>
      <c r="J2303" s="17" t="s">
        <v>3403</v>
      </c>
      <c r="K2303" s="17" t="s">
        <v>3403</v>
      </c>
    </row>
    <row r="2304" spans="1:11" x14ac:dyDescent="0.35">
      <c r="A2304" s="10" t="s">
        <v>1185</v>
      </c>
      <c r="B2304" s="255">
        <v>324</v>
      </c>
      <c r="C2304" s="10" t="s">
        <v>204</v>
      </c>
      <c r="D2304" s="10">
        <v>1</v>
      </c>
      <c r="E2304" s="10">
        <v>558</v>
      </c>
      <c r="F2304" s="10" t="s">
        <v>690</v>
      </c>
      <c r="G2304" s="10" t="s">
        <v>695</v>
      </c>
      <c r="H2304" s="10" t="str" cm="1">
        <f t="array" aca="1" ref="H2304" ca="1">IF(INDEX(I2304:Z2304,$H$1)=0,"",INDEX(I2304:Z2304,$H$1))</f>
        <v>Chemical Injection Pump: Pneumatic (Diaphragm Type)</v>
      </c>
      <c r="I2304" s="17" t="s">
        <v>2375</v>
      </c>
      <c r="J2304" s="17" t="s">
        <v>2375</v>
      </c>
      <c r="K2304" s="17" t="s">
        <v>2375</v>
      </c>
    </row>
    <row r="2305" spans="1:11" x14ac:dyDescent="0.35">
      <c r="A2305" s="10" t="s">
        <v>1185</v>
      </c>
      <c r="B2305" s="255">
        <v>325</v>
      </c>
      <c r="C2305" s="10" t="s">
        <v>204</v>
      </c>
      <c r="D2305" s="10">
        <v>1</v>
      </c>
      <c r="E2305" s="10">
        <v>559</v>
      </c>
      <c r="F2305" s="10" t="s">
        <v>690</v>
      </c>
      <c r="G2305" s="10" t="s">
        <v>695</v>
      </c>
      <c r="H2305" s="10" t="str" cm="1">
        <f t="array" aca="1" ref="H2305" ca="1">IF(INDEX(I2305:Z2305,$H$1)=0,"",INDEX(I2305:Z2305,$H$1))</f>
        <v>Chemical Injection Pump: Pneumatic (Piston Type)</v>
      </c>
      <c r="I2305" s="17" t="s">
        <v>2376</v>
      </c>
      <c r="J2305" s="17" t="s">
        <v>2376</v>
      </c>
      <c r="K2305" s="17" t="s">
        <v>2376</v>
      </c>
    </row>
    <row r="2306" spans="1:11" x14ac:dyDescent="0.35">
      <c r="A2306" s="10" t="s">
        <v>1185</v>
      </c>
      <c r="B2306" s="255">
        <v>326</v>
      </c>
      <c r="C2306" s="10" t="s">
        <v>204</v>
      </c>
      <c r="D2306" s="10">
        <v>1</v>
      </c>
      <c r="E2306" s="10">
        <v>560</v>
      </c>
      <c r="F2306" s="10" t="s">
        <v>690</v>
      </c>
      <c r="G2306" s="10" t="s">
        <v>695</v>
      </c>
      <c r="H2306" s="10" t="str" cm="1">
        <f t="array" aca="1" ref="H2306" ca="1">IF(INDEX(I2306:Z2306,$H$1)=0,"",INDEX(I2306:Z2306,$H$1))</f>
        <v>Chemical Injection Pump: Pneumatic (Unknown Type)</v>
      </c>
      <c r="I2306" s="17" t="s">
        <v>2377</v>
      </c>
      <c r="J2306" s="17" t="s">
        <v>2377</v>
      </c>
      <c r="K2306" s="17" t="s">
        <v>2377</v>
      </c>
    </row>
    <row r="2307" spans="1:11" x14ac:dyDescent="0.35">
      <c r="A2307" s="10" t="s">
        <v>1185</v>
      </c>
      <c r="B2307" s="255">
        <v>327</v>
      </c>
      <c r="C2307" s="10" t="s">
        <v>204</v>
      </c>
      <c r="D2307" s="10">
        <v>1</v>
      </c>
      <c r="E2307" s="10">
        <v>561</v>
      </c>
      <c r="F2307" s="10" t="s">
        <v>690</v>
      </c>
      <c r="G2307" s="10" t="s">
        <v>695</v>
      </c>
      <c r="H2307" s="10" t="str" cm="1">
        <f t="array" aca="1" ref="H2307" ca="1">IF(INDEX(I2307:Z2307,$H$1)=0,"",INDEX(I2307:Z2307,$H$1))</f>
        <v>Compressor: Centrifugal: (Stages: 1) (Seals: Wet) (Driver: Electric Motor)</v>
      </c>
      <c r="I2307" s="17" t="s">
        <v>3219</v>
      </c>
      <c r="J2307" s="17" t="s">
        <v>3219</v>
      </c>
      <c r="K2307" s="17" t="s">
        <v>3219</v>
      </c>
    </row>
    <row r="2308" spans="1:11" x14ac:dyDescent="0.35">
      <c r="A2308" s="10" t="s">
        <v>1185</v>
      </c>
      <c r="B2308" s="255">
        <v>328</v>
      </c>
      <c r="C2308" s="10" t="s">
        <v>204</v>
      </c>
      <c r="D2308" s="10">
        <v>1</v>
      </c>
      <c r="E2308" s="10">
        <v>562</v>
      </c>
      <c r="F2308" s="10" t="s">
        <v>690</v>
      </c>
      <c r="G2308" s="10" t="s">
        <v>695</v>
      </c>
      <c r="H2308" s="10" t="str" cm="1">
        <f t="array" aca="1" ref="H2308" ca="1">IF(INDEX(I2308:Z2308,$H$1)=0,"",INDEX(I2308:Z2308,$H$1))</f>
        <v>Compressor: Centrifugal: (Stages: 1) (Seals: Wet) (Driver: Gas Turbine)</v>
      </c>
      <c r="I2308" s="17" t="s">
        <v>3220</v>
      </c>
      <c r="J2308" s="17" t="s">
        <v>3220</v>
      </c>
      <c r="K2308" s="17" t="s">
        <v>3220</v>
      </c>
    </row>
    <row r="2309" spans="1:11" x14ac:dyDescent="0.35">
      <c r="A2309" s="10" t="s">
        <v>1185</v>
      </c>
      <c r="B2309" s="255">
        <v>329</v>
      </c>
      <c r="C2309" s="10" t="s">
        <v>204</v>
      </c>
      <c r="D2309" s="10">
        <v>1</v>
      </c>
      <c r="E2309" s="10">
        <v>563</v>
      </c>
      <c r="F2309" s="10" t="s">
        <v>690</v>
      </c>
      <c r="G2309" s="10" t="s">
        <v>695</v>
      </c>
      <c r="H2309" s="10" t="str" cm="1">
        <f t="array" aca="1" ref="H2309" ca="1">IF(INDEX(I2309:Z2309,$H$1)=0,"",INDEX(I2309:Z2309,$H$1))</f>
        <v>Compressor: Centrifugal: (Stages: 2) (Seals: Wet) (Driver: Electric Motor)</v>
      </c>
      <c r="I2309" s="17" t="s">
        <v>3221</v>
      </c>
      <c r="J2309" s="17" t="s">
        <v>3221</v>
      </c>
      <c r="K2309" s="17" t="s">
        <v>3221</v>
      </c>
    </row>
    <row r="2310" spans="1:11" x14ac:dyDescent="0.35">
      <c r="A2310" s="10" t="s">
        <v>1185</v>
      </c>
      <c r="B2310" s="255">
        <v>330</v>
      </c>
      <c r="C2310" s="10" t="s">
        <v>204</v>
      </c>
      <c r="D2310" s="10">
        <v>1</v>
      </c>
      <c r="E2310" s="10">
        <v>564</v>
      </c>
      <c r="F2310" s="10" t="s">
        <v>690</v>
      </c>
      <c r="G2310" s="10" t="s">
        <v>695</v>
      </c>
      <c r="H2310" s="10" t="str" cm="1">
        <f t="array" aca="1" ref="H2310" ca="1">IF(INDEX(I2310:Z2310,$H$1)=0,"",INDEX(I2310:Z2310,$H$1))</f>
        <v>Compressor: Centrifugal: (Stages: 2) (Seals: Wet) (Driver: Gas Turbine)</v>
      </c>
      <c r="I2310" s="17" t="s">
        <v>3222</v>
      </c>
      <c r="J2310" s="17" t="s">
        <v>3222</v>
      </c>
      <c r="K2310" s="17" t="s">
        <v>3222</v>
      </c>
    </row>
    <row r="2311" spans="1:11" x14ac:dyDescent="0.35">
      <c r="A2311" s="10" t="s">
        <v>1185</v>
      </c>
      <c r="B2311" s="255">
        <v>331</v>
      </c>
      <c r="C2311" s="10" t="s">
        <v>204</v>
      </c>
      <c r="D2311" s="10">
        <v>1</v>
      </c>
      <c r="E2311" s="10">
        <v>565</v>
      </c>
      <c r="F2311" s="10" t="s">
        <v>690</v>
      </c>
      <c r="G2311" s="10" t="s">
        <v>695</v>
      </c>
      <c r="H2311" s="10" t="str" cm="1">
        <f t="array" aca="1" ref="H2311" ca="1">IF(INDEX(I2311:Z2311,$H$1)=0,"",INDEX(I2311:Z2311,$H$1))</f>
        <v>Compressor: Centrifugal: (Stages: 1) (Seals: Dry) (Driver: Electric Motor)</v>
      </c>
      <c r="I2311" s="17" t="s">
        <v>3223</v>
      </c>
      <c r="J2311" s="17" t="s">
        <v>3223</v>
      </c>
      <c r="K2311" s="17" t="s">
        <v>3223</v>
      </c>
    </row>
    <row r="2312" spans="1:11" x14ac:dyDescent="0.35">
      <c r="A2312" s="10" t="s">
        <v>1185</v>
      </c>
      <c r="B2312" s="255">
        <v>332</v>
      </c>
      <c r="C2312" s="10" t="s">
        <v>204</v>
      </c>
      <c r="D2312" s="10">
        <v>1</v>
      </c>
      <c r="E2312" s="10">
        <v>566</v>
      </c>
      <c r="F2312" s="10" t="s">
        <v>690</v>
      </c>
      <c r="G2312" s="10" t="s">
        <v>695</v>
      </c>
      <c r="H2312" s="10" t="str" cm="1">
        <f t="array" aca="1" ref="H2312" ca="1">IF(INDEX(I2312:Z2312,$H$1)=0,"",INDEX(I2312:Z2312,$H$1))</f>
        <v>Compressor: Centrifugal: (Stages: 1) (Seals: Dry) (Driver: Gas Turbine)</v>
      </c>
      <c r="I2312" s="17" t="s">
        <v>3224</v>
      </c>
      <c r="J2312" s="17" t="s">
        <v>3224</v>
      </c>
      <c r="K2312" s="17" t="s">
        <v>3224</v>
      </c>
    </row>
    <row r="2313" spans="1:11" x14ac:dyDescent="0.35">
      <c r="A2313" s="10" t="s">
        <v>1185</v>
      </c>
      <c r="B2313" s="255">
        <v>333</v>
      </c>
      <c r="C2313" s="10" t="s">
        <v>204</v>
      </c>
      <c r="D2313" s="10">
        <v>1</v>
      </c>
      <c r="E2313" s="10">
        <v>567</v>
      </c>
      <c r="F2313" s="10" t="s">
        <v>690</v>
      </c>
      <c r="G2313" s="10" t="s">
        <v>695</v>
      </c>
      <c r="H2313" s="10" t="str" cm="1">
        <f t="array" aca="1" ref="H2313" ca="1">IF(INDEX(I2313:Z2313,$H$1)=0,"",INDEX(I2313:Z2313,$H$1))</f>
        <v>Compressor: Centrifugal: (Stages: 2) (Seals: Dry) (Driver: Electric Motor)</v>
      </c>
      <c r="I2313" s="17" t="s">
        <v>3225</v>
      </c>
      <c r="J2313" s="17" t="s">
        <v>3225</v>
      </c>
      <c r="K2313" s="17" t="s">
        <v>3225</v>
      </c>
    </row>
    <row r="2314" spans="1:11" x14ac:dyDescent="0.35">
      <c r="A2314" s="10" t="s">
        <v>1185</v>
      </c>
      <c r="B2314" s="255">
        <v>334</v>
      </c>
      <c r="C2314" s="10" t="s">
        <v>204</v>
      </c>
      <c r="D2314" s="10">
        <v>1</v>
      </c>
      <c r="E2314" s="10">
        <v>568</v>
      </c>
      <c r="F2314" s="10" t="s">
        <v>690</v>
      </c>
      <c r="G2314" s="10" t="s">
        <v>695</v>
      </c>
      <c r="H2314" s="10" t="str" cm="1">
        <f t="array" aca="1" ref="H2314" ca="1">IF(INDEX(I2314:Z2314,$H$1)=0,"",INDEX(I2314:Z2314,$H$1))</f>
        <v>Compressor: Centrifugal: (Stages: 2) (Seals: Dry) (Driver: Gas Turbine)</v>
      </c>
      <c r="I2314" s="17" t="s">
        <v>3226</v>
      </c>
      <c r="J2314" s="17" t="s">
        <v>3226</v>
      </c>
      <c r="K2314" s="17" t="s">
        <v>3226</v>
      </c>
    </row>
    <row r="2315" spans="1:11" x14ac:dyDescent="0.35">
      <c r="A2315" s="10" t="s">
        <v>1185</v>
      </c>
      <c r="B2315" s="255">
        <v>335</v>
      </c>
      <c r="C2315" s="10" t="s">
        <v>204</v>
      </c>
      <c r="D2315" s="10">
        <v>1</v>
      </c>
      <c r="E2315" s="10">
        <v>569</v>
      </c>
      <c r="F2315" s="10" t="s">
        <v>690</v>
      </c>
      <c r="G2315" s="10" t="s">
        <v>695</v>
      </c>
      <c r="H2315" s="10" t="str" cm="1">
        <f t="array" aca="1" ref="H2315" ca="1">IF(INDEX(I2315:Z2315,$H$1)=0,"",INDEX(I2315:Z2315,$H$1))</f>
        <v>Compressor: Reciprocating: (Stages: 1) (Driver: Electric Motor)</v>
      </c>
      <c r="I2315" s="17" t="s">
        <v>2378</v>
      </c>
      <c r="J2315" s="17" t="s">
        <v>2378</v>
      </c>
      <c r="K2315" s="17" t="s">
        <v>2378</v>
      </c>
    </row>
    <row r="2316" spans="1:11" x14ac:dyDescent="0.35">
      <c r="A2316" s="10" t="s">
        <v>1185</v>
      </c>
      <c r="B2316" s="255">
        <v>336</v>
      </c>
      <c r="C2316" s="10" t="s">
        <v>204</v>
      </c>
      <c r="D2316" s="10">
        <v>1</v>
      </c>
      <c r="E2316" s="10">
        <v>570</v>
      </c>
      <c r="F2316" s="10" t="s">
        <v>690</v>
      </c>
      <c r="G2316" s="10" t="s">
        <v>695</v>
      </c>
      <c r="H2316" s="10" t="str" cm="1">
        <f t="array" aca="1" ref="H2316" ca="1">IF(INDEX(I2316:Z2316,$H$1)=0,"",INDEX(I2316:Z2316,$H$1))</f>
        <v>Compressor: Reciprocating: (Stages: 1) (Driver: Recip Engine)</v>
      </c>
      <c r="I2316" s="17" t="s">
        <v>2379</v>
      </c>
      <c r="J2316" s="17" t="s">
        <v>2379</v>
      </c>
      <c r="K2316" s="17" t="s">
        <v>2379</v>
      </c>
    </row>
    <row r="2317" spans="1:11" x14ac:dyDescent="0.35">
      <c r="A2317" s="10" t="s">
        <v>1185</v>
      </c>
      <c r="B2317" s="255">
        <v>337</v>
      </c>
      <c r="C2317" s="10" t="s">
        <v>204</v>
      </c>
      <c r="D2317" s="10">
        <v>1</v>
      </c>
      <c r="E2317" s="10">
        <v>571</v>
      </c>
      <c r="F2317" s="10" t="s">
        <v>690</v>
      </c>
      <c r="G2317" s="10" t="s">
        <v>695</v>
      </c>
      <c r="H2317" s="10" t="str" cm="1">
        <f t="array" aca="1" ref="H2317" ca="1">IF(INDEX(I2317:Z2317,$H$1)=0,"",INDEX(I2317:Z2317,$H$1))</f>
        <v>Compressor: Reciprocating: (Stages: 2) (Driver: Electric Motor)</v>
      </c>
      <c r="I2317" s="17" t="s">
        <v>2380</v>
      </c>
      <c r="J2317" s="17" t="s">
        <v>2380</v>
      </c>
      <c r="K2317" s="17" t="s">
        <v>2380</v>
      </c>
    </row>
    <row r="2318" spans="1:11" x14ac:dyDescent="0.35">
      <c r="A2318" s="10" t="s">
        <v>1185</v>
      </c>
      <c r="B2318" s="255">
        <v>338</v>
      </c>
      <c r="C2318" s="10" t="s">
        <v>204</v>
      </c>
      <c r="D2318" s="10">
        <v>1</v>
      </c>
      <c r="E2318" s="10">
        <v>572</v>
      </c>
      <c r="F2318" s="10" t="s">
        <v>690</v>
      </c>
      <c r="G2318" s="10" t="s">
        <v>695</v>
      </c>
      <c r="H2318" s="10" t="str" cm="1">
        <f t="array" aca="1" ref="H2318" ca="1">IF(INDEX(I2318:Z2318,$H$1)=0,"",INDEX(I2318:Z2318,$H$1))</f>
        <v>Compressor: Reciprocating: (Stages: 2) (Driver: Recip Engine)</v>
      </c>
      <c r="I2318" s="17" t="s">
        <v>2381</v>
      </c>
      <c r="J2318" s="17" t="s">
        <v>2381</v>
      </c>
      <c r="K2318" s="17" t="s">
        <v>2381</v>
      </c>
    </row>
    <row r="2319" spans="1:11" x14ac:dyDescent="0.35">
      <c r="A2319" s="10" t="s">
        <v>1185</v>
      </c>
      <c r="B2319" s="255">
        <v>339</v>
      </c>
      <c r="C2319" s="10" t="s">
        <v>204</v>
      </c>
      <c r="D2319" s="10">
        <v>1</v>
      </c>
      <c r="E2319" s="10">
        <v>573</v>
      </c>
      <c r="F2319" s="10" t="s">
        <v>690</v>
      </c>
      <c r="G2319" s="10" t="s">
        <v>695</v>
      </c>
      <c r="H2319" s="10" t="str" cm="1">
        <f t="array" aca="1" ref="H2319" ca="1">IF(INDEX(I2319:Z2319,$H$1)=0,"",INDEX(I2319:Z2319,$H$1))</f>
        <v>Compressor: Reciprocating: (Stages: 3) (Driver: Electric Motor)</v>
      </c>
      <c r="I2319" s="17" t="s">
        <v>2382</v>
      </c>
      <c r="J2319" s="17" t="s">
        <v>2382</v>
      </c>
      <c r="K2319" s="17" t="s">
        <v>2382</v>
      </c>
    </row>
    <row r="2320" spans="1:11" x14ac:dyDescent="0.35">
      <c r="A2320" s="10" t="s">
        <v>1185</v>
      </c>
      <c r="B2320" s="255">
        <v>340</v>
      </c>
      <c r="C2320" s="10" t="s">
        <v>204</v>
      </c>
      <c r="D2320" s="10">
        <v>1</v>
      </c>
      <c r="E2320" s="10">
        <v>574</v>
      </c>
      <c r="F2320" s="10" t="s">
        <v>690</v>
      </c>
      <c r="G2320" s="10" t="s">
        <v>695</v>
      </c>
      <c r="H2320" s="10" t="str" cm="1">
        <f t="array" aca="1" ref="H2320" ca="1">IF(INDEX(I2320:Z2320,$H$1)=0,"",INDEX(I2320:Z2320,$H$1))</f>
        <v>Compressor: Reciprocating: (Stages: 3) (Driver: Recip Engine)</v>
      </c>
      <c r="I2320" s="17" t="s">
        <v>2383</v>
      </c>
      <c r="J2320" s="17" t="s">
        <v>2383</v>
      </c>
      <c r="K2320" s="17" t="s">
        <v>2383</v>
      </c>
    </row>
    <row r="2321" spans="1:11" x14ac:dyDescent="0.35">
      <c r="A2321" s="10" t="s">
        <v>1185</v>
      </c>
      <c r="B2321" s="255">
        <v>341</v>
      </c>
      <c r="C2321" s="10" t="s">
        <v>204</v>
      </c>
      <c r="D2321" s="10">
        <v>1</v>
      </c>
      <c r="E2321" s="10">
        <v>575</v>
      </c>
      <c r="F2321" s="10" t="s">
        <v>690</v>
      </c>
      <c r="G2321" s="10" t="s">
        <v>695</v>
      </c>
      <c r="H2321" s="10" t="str" cm="1">
        <f t="array" aca="1" ref="H2321" ca="1">IF(INDEX(I2321:Z2321,$H$1)=0,"",INDEX(I2321:Z2321,$H$1))</f>
        <v>Compressor: Reciprocating: (Stages 4) (Driver: Electric Motor)</v>
      </c>
      <c r="I2321" s="17" t="s">
        <v>3308</v>
      </c>
      <c r="J2321" s="17" t="s">
        <v>3308</v>
      </c>
      <c r="K2321" s="17" t="s">
        <v>3308</v>
      </c>
    </row>
    <row r="2322" spans="1:11" x14ac:dyDescent="0.35">
      <c r="A2322" s="10" t="s">
        <v>1185</v>
      </c>
      <c r="B2322" s="255">
        <v>342</v>
      </c>
      <c r="C2322" s="10" t="s">
        <v>204</v>
      </c>
      <c r="D2322" s="10">
        <v>1</v>
      </c>
      <c r="E2322" s="10">
        <v>576</v>
      </c>
      <c r="F2322" s="10" t="s">
        <v>690</v>
      </c>
      <c r="G2322" s="10" t="s">
        <v>695</v>
      </c>
      <c r="H2322" s="10" t="str" cm="1">
        <f t="array" aca="1" ref="H2322" ca="1">IF(INDEX(I2322:Z2322,$H$1)=0,"",INDEX(I2322:Z2322,$H$1))</f>
        <v>Compressor: Reciprocating: (Stages 4) (Driver: Recip Engine)</v>
      </c>
      <c r="I2322" s="17" t="s">
        <v>3307</v>
      </c>
      <c r="J2322" s="17" t="s">
        <v>3307</v>
      </c>
      <c r="K2322" s="17" t="s">
        <v>3307</v>
      </c>
    </row>
    <row r="2323" spans="1:11" x14ac:dyDescent="0.35">
      <c r="A2323" s="10" t="s">
        <v>1185</v>
      </c>
      <c r="B2323" s="255">
        <v>343</v>
      </c>
      <c r="C2323" s="10" t="s">
        <v>204</v>
      </c>
      <c r="D2323" s="10">
        <v>1</v>
      </c>
      <c r="E2323" s="10">
        <v>577</v>
      </c>
      <c r="F2323" s="10" t="s">
        <v>690</v>
      </c>
      <c r="G2323" s="10" t="s">
        <v>695</v>
      </c>
      <c r="H2323" s="10" t="str" cm="1">
        <f t="array" aca="1" ref="H2323" ca="1">IF(INDEX(I2323:Z2323,$H$1)=0,"",INDEX(I2323:Z2323,$H$1))</f>
        <v>Compressor: Screw (Driver: Electric Motor)</v>
      </c>
      <c r="I2323" s="17" t="s">
        <v>2384</v>
      </c>
      <c r="J2323" s="17" t="s">
        <v>2384</v>
      </c>
      <c r="K2323" s="17" t="s">
        <v>2384</v>
      </c>
    </row>
    <row r="2324" spans="1:11" x14ac:dyDescent="0.35">
      <c r="A2324" s="10" t="s">
        <v>1185</v>
      </c>
      <c r="B2324" s="255">
        <v>344</v>
      </c>
      <c r="C2324" s="10" t="s">
        <v>204</v>
      </c>
      <c r="D2324" s="10">
        <v>1</v>
      </c>
      <c r="E2324" s="10">
        <v>578</v>
      </c>
      <c r="F2324" s="10" t="s">
        <v>690</v>
      </c>
      <c r="G2324" s="10" t="s">
        <v>695</v>
      </c>
      <c r="H2324" s="10" t="str" cm="1">
        <f t="array" aca="1" ref="H2324" ca="1">IF(INDEX(I2324:Z2324,$H$1)=0,"",INDEX(I2324:Z2324,$H$1))</f>
        <v>Compressor: Screw (Driver: Recip Engine)</v>
      </c>
      <c r="I2324" s="17" t="s">
        <v>2385</v>
      </c>
      <c r="J2324" s="17" t="s">
        <v>2385</v>
      </c>
      <c r="K2324" s="17" t="s">
        <v>2385</v>
      </c>
    </row>
    <row r="2325" spans="1:11" x14ac:dyDescent="0.35">
      <c r="A2325" s="10" t="s">
        <v>1185</v>
      </c>
      <c r="B2325" s="255">
        <v>345</v>
      </c>
      <c r="C2325" s="10" t="s">
        <v>204</v>
      </c>
      <c r="D2325" s="10">
        <v>1</v>
      </c>
      <c r="E2325" s="10">
        <v>579</v>
      </c>
      <c r="F2325" s="10" t="s">
        <v>690</v>
      </c>
      <c r="G2325" s="10" t="s">
        <v>695</v>
      </c>
      <c r="H2325" s="10" t="str" cm="1">
        <f t="array" aca="1" ref="H2325" ca="1">IF(INDEX(I2325:Z2325,$H$1)=0,"",INDEX(I2325:Z2325,$H$1))</f>
        <v>Dehydration: Desiccant (Adsorber Columns: 2)</v>
      </c>
      <c r="I2325" s="17" t="s">
        <v>2386</v>
      </c>
      <c r="J2325" s="17" t="s">
        <v>2386</v>
      </c>
      <c r="K2325" s="17" t="s">
        <v>2386</v>
      </c>
    </row>
    <row r="2326" spans="1:11" x14ac:dyDescent="0.35">
      <c r="A2326" s="10" t="s">
        <v>1185</v>
      </c>
      <c r="B2326" s="255">
        <v>346</v>
      </c>
      <c r="C2326" s="10" t="s">
        <v>204</v>
      </c>
      <c r="D2326" s="10">
        <v>1</v>
      </c>
      <c r="E2326" s="10">
        <v>580</v>
      </c>
      <c r="F2326" s="10" t="s">
        <v>690</v>
      </c>
      <c r="G2326" s="10" t="s">
        <v>695</v>
      </c>
      <c r="H2326" s="10" t="str" cm="1">
        <f t="array" aca="1" ref="H2326" ca="1">IF(INDEX(I2326:Z2326,$H$1)=0,"",INDEX(I2326:Z2326,$H$1))</f>
        <v>Dehydration: Desiccant (Adsorber Columns: 3)</v>
      </c>
      <c r="I2326" s="17" t="s">
        <v>2387</v>
      </c>
      <c r="J2326" s="17" t="s">
        <v>2387</v>
      </c>
      <c r="K2326" s="17" t="s">
        <v>2387</v>
      </c>
    </row>
    <row r="2327" spans="1:11" x14ac:dyDescent="0.35">
      <c r="A2327" s="10" t="s">
        <v>1185</v>
      </c>
      <c r="B2327" s="255">
        <v>347</v>
      </c>
      <c r="C2327" s="10" t="s">
        <v>204</v>
      </c>
      <c r="D2327" s="10">
        <v>1</v>
      </c>
      <c r="E2327" s="10">
        <v>581</v>
      </c>
      <c r="F2327" s="10" t="s">
        <v>690</v>
      </c>
      <c r="G2327" s="10" t="s">
        <v>695</v>
      </c>
      <c r="H2327" s="10" t="str" cm="1">
        <f t="array" aca="1" ref="H2327" ca="1">IF(INDEX(I2327:Z2327,$H$1)=0,"",INDEX(I2327:Z2327,$H$1))</f>
        <v>Dehydration: Glycol (with Gas-assisted Pump)</v>
      </c>
      <c r="I2327" s="17" t="s">
        <v>2388</v>
      </c>
      <c r="J2327" s="17" t="s">
        <v>2388</v>
      </c>
      <c r="K2327" s="17" t="s">
        <v>2388</v>
      </c>
    </row>
    <row r="2328" spans="1:11" x14ac:dyDescent="0.35">
      <c r="A2328" s="10" t="s">
        <v>1185</v>
      </c>
      <c r="B2328" s="255">
        <v>348</v>
      </c>
      <c r="C2328" s="10" t="s">
        <v>204</v>
      </c>
      <c r="D2328" s="10">
        <v>1</v>
      </c>
      <c r="E2328" s="10">
        <v>582</v>
      </c>
      <c r="F2328" s="10" t="s">
        <v>690</v>
      </c>
      <c r="G2328" s="10" t="s">
        <v>695</v>
      </c>
      <c r="H2328" s="10" t="str" cm="1">
        <f t="array" aca="1" ref="H2328" ca="1">IF(INDEX(I2328:Z2328,$H$1)=0,"",INDEX(I2328:Z2328,$H$1))</f>
        <v>Dehydration: Glycol (without Gas-assisted Pump)</v>
      </c>
      <c r="I2328" s="17" t="s">
        <v>2389</v>
      </c>
      <c r="J2328" s="17" t="s">
        <v>2389</v>
      </c>
      <c r="K2328" s="17" t="s">
        <v>2389</v>
      </c>
    </row>
    <row r="2329" spans="1:11" x14ac:dyDescent="0.35">
      <c r="A2329" s="10" t="s">
        <v>1185</v>
      </c>
      <c r="B2329" s="255">
        <v>349</v>
      </c>
      <c r="C2329" s="10" t="s">
        <v>204</v>
      </c>
      <c r="D2329" s="10">
        <v>1</v>
      </c>
      <c r="E2329" s="10">
        <v>583</v>
      </c>
      <c r="F2329" s="10" t="s">
        <v>690</v>
      </c>
      <c r="G2329" s="10" t="s">
        <v>695</v>
      </c>
      <c r="H2329" s="10" t="str" cm="1">
        <f t="array" aca="1" ref="H2329" ca="1">IF(INDEX(I2329:Z2329,$H$1)=0,"",INDEX(I2329:Z2329,$H$1))</f>
        <v>Flare System: Generic (Including Knock-out Drum)</v>
      </c>
      <c r="I2329" s="17" t="s">
        <v>2390</v>
      </c>
      <c r="J2329" s="17" t="s">
        <v>2390</v>
      </c>
      <c r="K2329" s="17" t="s">
        <v>2390</v>
      </c>
    </row>
    <row r="2330" spans="1:11" x14ac:dyDescent="0.35">
      <c r="A2330" s="10" t="s">
        <v>1185</v>
      </c>
      <c r="B2330" s="255">
        <v>350</v>
      </c>
      <c r="C2330" s="10" t="s">
        <v>204</v>
      </c>
      <c r="D2330" s="10">
        <v>1</v>
      </c>
      <c r="E2330" s="10">
        <v>584</v>
      </c>
      <c r="F2330" s="10" t="s">
        <v>690</v>
      </c>
      <c r="G2330" s="10" t="s">
        <v>695</v>
      </c>
      <c r="H2330" s="10" t="str" cm="1">
        <f t="array" aca="1" ref="H2330" ca="1">IF(INDEX(I2330:Z2330,$H$1)=0,"",INDEX(I2330:Z2330,$H$1))</f>
        <v>Fractionation Tower: Crude Oil</v>
      </c>
      <c r="I2330" s="17" t="s">
        <v>3404</v>
      </c>
      <c r="J2330" s="17" t="s">
        <v>3404</v>
      </c>
      <c r="K2330" s="17" t="s">
        <v>3404</v>
      </c>
    </row>
    <row r="2331" spans="1:11" x14ac:dyDescent="0.35">
      <c r="A2331" s="10" t="s">
        <v>1185</v>
      </c>
      <c r="B2331" s="255">
        <v>351</v>
      </c>
      <c r="C2331" s="10" t="s">
        <v>204</v>
      </c>
      <c r="D2331" s="10">
        <v>1</v>
      </c>
      <c r="E2331" s="10">
        <v>585</v>
      </c>
      <c r="F2331" s="10" t="s">
        <v>690</v>
      </c>
      <c r="G2331" s="10" t="s">
        <v>695</v>
      </c>
      <c r="H2331" s="10" t="str" cm="1">
        <f t="array" aca="1" ref="H2331" ca="1">IF(INDEX(I2331:Z2331,$H$1)=0,"",INDEX(I2331:Z2331,$H$1))</f>
        <v>Heat Exchanger: Natural Gas/Steam</v>
      </c>
      <c r="I2331" s="17" t="s">
        <v>3399</v>
      </c>
      <c r="J2331" s="17" t="s">
        <v>3399</v>
      </c>
      <c r="K2331" s="17" t="s">
        <v>3399</v>
      </c>
    </row>
    <row r="2332" spans="1:11" x14ac:dyDescent="0.35">
      <c r="A2332" s="10" t="s">
        <v>1185</v>
      </c>
      <c r="B2332" s="255">
        <v>352</v>
      </c>
      <c r="C2332" s="10" t="s">
        <v>204</v>
      </c>
      <c r="D2332" s="10">
        <v>1</v>
      </c>
      <c r="E2332" s="10">
        <v>586</v>
      </c>
      <c r="F2332" s="10" t="s">
        <v>690</v>
      </c>
      <c r="G2332" s="10" t="s">
        <v>695</v>
      </c>
      <c r="H2332" s="10" t="str" cm="1">
        <f t="array" aca="1" ref="H2332" ca="1">IF(INDEX(I2332:Z2332,$H$1)=0,"",INDEX(I2332:Z2332,$H$1))</f>
        <v>Heat Exchanger: Natural Gas/Natural Gas</v>
      </c>
      <c r="I2332" s="17" t="s">
        <v>3398</v>
      </c>
      <c r="J2332" s="17" t="s">
        <v>3398</v>
      </c>
      <c r="K2332" s="17" t="s">
        <v>3398</v>
      </c>
    </row>
    <row r="2333" spans="1:11" x14ac:dyDescent="0.35">
      <c r="A2333" s="10" t="s">
        <v>1185</v>
      </c>
      <c r="B2333" s="255">
        <v>353</v>
      </c>
      <c r="C2333" s="10" t="s">
        <v>204</v>
      </c>
      <c r="D2333" s="10">
        <v>1</v>
      </c>
      <c r="E2333" s="10">
        <v>587</v>
      </c>
      <c r="F2333" s="10" t="s">
        <v>690</v>
      </c>
      <c r="G2333" s="10" t="s">
        <v>695</v>
      </c>
      <c r="H2333" s="10" t="str" cm="1">
        <f t="array" aca="1" ref="H2333" ca="1">IF(INDEX(I2333:Z2333,$H$1)=0,"",INDEX(I2333:Z2333,$H$1))</f>
        <v>Heat Exchanger: Natural Gas/Non-Hydrocarbon Liquid</v>
      </c>
      <c r="I2333" s="17" t="s">
        <v>3400</v>
      </c>
      <c r="J2333" s="17" t="s">
        <v>3400</v>
      </c>
      <c r="K2333" s="17" t="s">
        <v>3400</v>
      </c>
    </row>
    <row r="2334" spans="1:11" x14ac:dyDescent="0.35">
      <c r="A2334" s="10" t="s">
        <v>1185</v>
      </c>
      <c r="B2334" s="255">
        <v>354</v>
      </c>
      <c r="C2334" s="10" t="s">
        <v>204</v>
      </c>
      <c r="D2334" s="10">
        <v>1</v>
      </c>
      <c r="E2334" s="10">
        <v>588</v>
      </c>
      <c r="F2334" s="10" t="s">
        <v>690</v>
      </c>
      <c r="G2334" s="10" t="s">
        <v>695</v>
      </c>
      <c r="H2334" s="10" t="str" cm="1">
        <f t="array" aca="1" ref="H2334" ca="1">IF(INDEX(I2334:Z2334,$H$1)=0,"",INDEX(I2334:Z2334,$H$1))</f>
        <v>Heat Exchanger: Natural Gas/Hydrocarbon Liquid</v>
      </c>
      <c r="I2334" s="17" t="s">
        <v>3401</v>
      </c>
      <c r="J2334" s="17" t="s">
        <v>3401</v>
      </c>
      <c r="K2334" s="17" t="s">
        <v>3401</v>
      </c>
    </row>
    <row r="2335" spans="1:11" x14ac:dyDescent="0.35">
      <c r="A2335" s="10" t="s">
        <v>1185</v>
      </c>
      <c r="B2335" s="255">
        <v>355</v>
      </c>
      <c r="C2335" s="10" t="s">
        <v>204</v>
      </c>
      <c r="D2335" s="10">
        <v>1</v>
      </c>
      <c r="E2335" s="10">
        <v>589</v>
      </c>
      <c r="F2335" s="10" t="s">
        <v>690</v>
      </c>
      <c r="G2335" s="10" t="s">
        <v>695</v>
      </c>
      <c r="H2335" s="10" t="str" cm="1">
        <f t="array" aca="1" ref="H2335" ca="1">IF(INDEX(I2335:Z2335,$H$1)=0,"",INDEX(I2335:Z2335,$H$1))</f>
        <v>Heat Exchanger: Steam/Hydrocarbon Liquid</v>
      </c>
      <c r="I2335" s="17" t="s">
        <v>3402</v>
      </c>
      <c r="J2335" s="17" t="s">
        <v>3402</v>
      </c>
      <c r="K2335" s="17" t="s">
        <v>3402</v>
      </c>
    </row>
    <row r="2336" spans="1:11" x14ac:dyDescent="0.35">
      <c r="A2336" s="10" t="s">
        <v>1185</v>
      </c>
      <c r="B2336" s="255">
        <v>356</v>
      </c>
      <c r="C2336" s="10" t="s">
        <v>204</v>
      </c>
      <c r="D2336" s="10">
        <v>1</v>
      </c>
      <c r="E2336" s="10">
        <v>590</v>
      </c>
      <c r="F2336" s="10" t="s">
        <v>690</v>
      </c>
      <c r="G2336" s="10" t="s">
        <v>695</v>
      </c>
      <c r="H2336" s="10" t="str" cm="1">
        <f t="array" aca="1" ref="H2336" ca="1">IF(INDEX(I2336:Z2336,$H$1)=0,"",INDEX(I2336:Z2336,$H$1))</f>
        <v>Heat Exchanger: Hydrocarbon Liquid/Hydrocarbon Liquid</v>
      </c>
      <c r="I2336" s="17" t="s">
        <v>3397</v>
      </c>
      <c r="J2336" s="17" t="s">
        <v>3397</v>
      </c>
      <c r="K2336" s="17" t="s">
        <v>3397</v>
      </c>
    </row>
    <row r="2337" spans="1:11" x14ac:dyDescent="0.35">
      <c r="A2337" s="10" t="s">
        <v>1185</v>
      </c>
      <c r="B2337" s="255">
        <v>357</v>
      </c>
      <c r="C2337" s="10" t="s">
        <v>204</v>
      </c>
      <c r="D2337" s="10">
        <v>1</v>
      </c>
      <c r="E2337" s="10">
        <v>591</v>
      </c>
      <c r="F2337" s="10" t="s">
        <v>690</v>
      </c>
      <c r="G2337" s="10" t="s">
        <v>695</v>
      </c>
      <c r="H2337" s="10" t="str" cm="1">
        <f t="array" aca="1" ref="H2337" ca="1">IF(INDEX(I2337:Z2337,$H$1)=0,"",INDEX(I2337:Z2337,$H$1))</f>
        <v>Heater/Boiler/Reboiler: Generic (Burner Assemblies: 1)</v>
      </c>
      <c r="I2337" s="17" t="s">
        <v>2391</v>
      </c>
      <c r="J2337" s="17" t="s">
        <v>2391</v>
      </c>
      <c r="K2337" s="17" t="s">
        <v>2391</v>
      </c>
    </row>
    <row r="2338" spans="1:11" x14ac:dyDescent="0.35">
      <c r="A2338" s="10" t="s">
        <v>1185</v>
      </c>
      <c r="B2338" s="255">
        <v>358</v>
      </c>
      <c r="C2338" s="10" t="s">
        <v>204</v>
      </c>
      <c r="D2338" s="10">
        <v>1</v>
      </c>
      <c r="E2338" s="10">
        <v>592</v>
      </c>
      <c r="F2338" s="10" t="s">
        <v>690</v>
      </c>
      <c r="G2338" s="10" t="s">
        <v>695</v>
      </c>
      <c r="H2338" s="10" t="str" cm="1">
        <f t="array" aca="1" ref="H2338" ca="1">IF(INDEX(I2338:Z2338,$H$1)=0,"",INDEX(I2338:Z2338,$H$1))</f>
        <v>Heater/Boiler/Reboiler: Generic (Burner Assemblies: 2)</v>
      </c>
      <c r="I2338" s="17" t="s">
        <v>2392</v>
      </c>
      <c r="J2338" s="17" t="s">
        <v>2392</v>
      </c>
      <c r="K2338" s="17" t="s">
        <v>2392</v>
      </c>
    </row>
    <row r="2339" spans="1:11" x14ac:dyDescent="0.35">
      <c r="A2339" s="10" t="s">
        <v>1185</v>
      </c>
      <c r="B2339" s="255">
        <v>359</v>
      </c>
      <c r="C2339" s="10" t="s">
        <v>204</v>
      </c>
      <c r="D2339" s="10">
        <v>1</v>
      </c>
      <c r="E2339" s="10">
        <v>593</v>
      </c>
      <c r="F2339" s="10" t="s">
        <v>690</v>
      </c>
      <c r="G2339" s="10" t="s">
        <v>695</v>
      </c>
      <c r="H2339" s="10" t="str" cm="1">
        <f t="array" aca="1" ref="H2339" ca="1">IF(INDEX(I2339:Z2339,$H$1)=0,"",INDEX(I2339:Z2339,$H$1))</f>
        <v>Heater/Boiler/Reboiler: Generic (Burner Assemblies: 3)</v>
      </c>
      <c r="I2339" s="17" t="s">
        <v>2393</v>
      </c>
      <c r="J2339" s="17" t="s">
        <v>2393</v>
      </c>
      <c r="K2339" s="17" t="s">
        <v>2393</v>
      </c>
    </row>
    <row r="2340" spans="1:11" x14ac:dyDescent="0.35">
      <c r="A2340" s="10" t="s">
        <v>1185</v>
      </c>
      <c r="B2340" s="255">
        <v>360</v>
      </c>
      <c r="C2340" s="10" t="s">
        <v>204</v>
      </c>
      <c r="D2340" s="10">
        <v>1</v>
      </c>
      <c r="E2340" s="10">
        <v>594</v>
      </c>
      <c r="F2340" s="10" t="s">
        <v>690</v>
      </c>
      <c r="G2340" s="10" t="s">
        <v>695</v>
      </c>
      <c r="H2340" s="10" t="str" cm="1">
        <f t="array" aca="1" ref="H2340" ca="1">IF(INDEX(I2340:Z2340,$H$1)=0,"",INDEX(I2340:Z2340,$H$1))</f>
        <v>Heater/Boiler/Reboiler: Line (Burner Assemblies: 1)</v>
      </c>
      <c r="I2340" s="17" t="s">
        <v>2671</v>
      </c>
      <c r="J2340" s="17" t="s">
        <v>2671</v>
      </c>
      <c r="K2340" s="17" t="s">
        <v>2671</v>
      </c>
    </row>
    <row r="2341" spans="1:11" x14ac:dyDescent="0.35">
      <c r="A2341" s="10" t="s">
        <v>1185</v>
      </c>
      <c r="B2341" s="255">
        <v>361</v>
      </c>
      <c r="C2341" s="10" t="s">
        <v>204</v>
      </c>
      <c r="D2341" s="10">
        <v>1</v>
      </c>
      <c r="E2341" s="10">
        <v>595</v>
      </c>
      <c r="F2341" s="10" t="s">
        <v>690</v>
      </c>
      <c r="G2341" s="10" t="s">
        <v>695</v>
      </c>
      <c r="H2341" s="10" t="str" cm="1">
        <f t="array" aca="1" ref="H2341" ca="1">IF(INDEX(I2341:Z2341,$H$1)=0,"",INDEX(I2341:Z2341,$H$1))</f>
        <v>Heater/Boiler/Reboiler: Line (Burner Assemblies: 2)</v>
      </c>
      <c r="I2341" s="17" t="s">
        <v>2672</v>
      </c>
      <c r="J2341" s="17" t="s">
        <v>2672</v>
      </c>
      <c r="K2341" s="17" t="s">
        <v>2672</v>
      </c>
    </row>
    <row r="2342" spans="1:11" x14ac:dyDescent="0.35">
      <c r="A2342" s="10" t="s">
        <v>1185</v>
      </c>
      <c r="B2342" s="255">
        <v>362</v>
      </c>
      <c r="C2342" s="10" t="s">
        <v>204</v>
      </c>
      <c r="D2342" s="10">
        <v>1</v>
      </c>
      <c r="E2342" s="10">
        <v>596</v>
      </c>
      <c r="F2342" s="10" t="s">
        <v>690</v>
      </c>
      <c r="G2342" s="10" t="s">
        <v>695</v>
      </c>
      <c r="H2342" s="10" t="str" cm="1">
        <f t="array" aca="1" ref="H2342" ca="1">IF(INDEX(I2342:Z2342,$H$1)=0,"",INDEX(I2342:Z2342,$H$1))</f>
        <v>Heater/Boiler/Reboiler: Line (Burner Assemblies: 3)</v>
      </c>
      <c r="I2342" s="17" t="s">
        <v>2673</v>
      </c>
      <c r="J2342" s="17" t="s">
        <v>2673</v>
      </c>
      <c r="K2342" s="17" t="s">
        <v>2673</v>
      </c>
    </row>
    <row r="2343" spans="1:11" x14ac:dyDescent="0.35">
      <c r="A2343" s="10" t="s">
        <v>1185</v>
      </c>
      <c r="B2343" s="255">
        <v>363</v>
      </c>
      <c r="C2343" s="10" t="s">
        <v>204</v>
      </c>
      <c r="D2343" s="10">
        <v>1</v>
      </c>
      <c r="E2343" s="10">
        <v>597</v>
      </c>
      <c r="F2343" s="10" t="s">
        <v>690</v>
      </c>
      <c r="G2343" s="10" t="s">
        <v>695</v>
      </c>
      <c r="H2343" s="10" t="str" cm="1">
        <f t="array" aca="1" ref="H2343" ca="1">IF(INDEX(I2343:Z2343,$H$1)=0,"",INDEX(I2343:Z2343,$H$1))</f>
        <v>Heater/Boiler/Reboiler: Treater (Burner Assemblies: 1)</v>
      </c>
      <c r="I2343" s="17" t="s">
        <v>2394</v>
      </c>
      <c r="J2343" s="17" t="s">
        <v>2394</v>
      </c>
      <c r="K2343" s="17" t="s">
        <v>2394</v>
      </c>
    </row>
    <row r="2344" spans="1:11" x14ac:dyDescent="0.35">
      <c r="A2344" s="10" t="s">
        <v>1185</v>
      </c>
      <c r="B2344" s="255">
        <v>364</v>
      </c>
      <c r="C2344" s="10" t="s">
        <v>204</v>
      </c>
      <c r="D2344" s="10">
        <v>1</v>
      </c>
      <c r="E2344" s="10">
        <v>598</v>
      </c>
      <c r="F2344" s="10" t="s">
        <v>690</v>
      </c>
      <c r="G2344" s="10" t="s">
        <v>695</v>
      </c>
      <c r="H2344" s="10" t="str" cm="1">
        <f t="array" aca="1" ref="H2344" ca="1">IF(INDEX(I2344:Z2344,$H$1)=0,"",INDEX(I2344:Z2344,$H$1))</f>
        <v>Heater/Boiler/Reboiler: Treater (Burner Assemblies: 2)</v>
      </c>
      <c r="I2344" s="17" t="s">
        <v>2395</v>
      </c>
      <c r="J2344" s="17" t="s">
        <v>2395</v>
      </c>
      <c r="K2344" s="17" t="s">
        <v>2395</v>
      </c>
    </row>
    <row r="2345" spans="1:11" x14ac:dyDescent="0.35">
      <c r="A2345" s="10" t="s">
        <v>1185</v>
      </c>
      <c r="B2345" s="255">
        <v>365</v>
      </c>
      <c r="C2345" s="10" t="s">
        <v>204</v>
      </c>
      <c r="D2345" s="10">
        <v>1</v>
      </c>
      <c r="E2345" s="10">
        <v>599</v>
      </c>
      <c r="F2345" s="10" t="s">
        <v>690</v>
      </c>
      <c r="G2345" s="10" t="s">
        <v>695</v>
      </c>
      <c r="H2345" s="10" t="str" cm="1">
        <f t="array" aca="1" ref="H2345" ca="1">IF(INDEX(I2345:Z2345,$H$1)=0,"",INDEX(I2345:Z2345,$H$1))</f>
        <v>Heater/Boiler/Reboiler: Treater (Burner Assemblies: 3)</v>
      </c>
      <c r="I2345" s="17" t="s">
        <v>2396</v>
      </c>
      <c r="J2345" s="17" t="s">
        <v>2396</v>
      </c>
      <c r="K2345" s="17" t="s">
        <v>2396</v>
      </c>
    </row>
    <row r="2346" spans="1:11" x14ac:dyDescent="0.35">
      <c r="A2346" s="10" t="s">
        <v>1185</v>
      </c>
      <c r="B2346" s="255">
        <v>366</v>
      </c>
      <c r="C2346" s="10" t="s">
        <v>204</v>
      </c>
      <c r="D2346" s="10">
        <v>1</v>
      </c>
      <c r="E2346" s="10">
        <v>600</v>
      </c>
      <c r="F2346" s="10" t="s">
        <v>690</v>
      </c>
      <c r="G2346" s="10" t="s">
        <v>695</v>
      </c>
      <c r="H2346" s="10" t="str" cm="1">
        <f t="array" aca="1" ref="H2346" ca="1">IF(INDEX(I2346:Z2346,$H$1)=0,"",INDEX(I2346:Z2346,$H$1))</f>
        <v>Hydrocarbon Dewpoint Control: Joule-Thomson Unit (Excluding Compressor)</v>
      </c>
      <c r="I2346" s="17" t="s">
        <v>2397</v>
      </c>
      <c r="J2346" s="17" t="s">
        <v>2397</v>
      </c>
      <c r="K2346" s="17" t="s">
        <v>2397</v>
      </c>
    </row>
    <row r="2347" spans="1:11" x14ac:dyDescent="0.35">
      <c r="A2347" s="10" t="s">
        <v>1185</v>
      </c>
      <c r="B2347" s="255">
        <v>367</v>
      </c>
      <c r="C2347" s="10" t="s">
        <v>204</v>
      </c>
      <c r="D2347" s="10">
        <v>1</v>
      </c>
      <c r="E2347" s="10">
        <v>601</v>
      </c>
      <c r="F2347" s="10" t="s">
        <v>690</v>
      </c>
      <c r="G2347" s="10" t="s">
        <v>695</v>
      </c>
      <c r="H2347" s="10" t="str" cm="1">
        <f t="array" aca="1" ref="H2347" ca="1">IF(INDEX(I2347:Z2347,$H$1)=0,"",INDEX(I2347:Z2347,$H$1))</f>
        <v>Hydrocarbon Dewpoint Control: Propane Refrigeration</v>
      </c>
      <c r="I2347" s="17" t="s">
        <v>2398</v>
      </c>
      <c r="J2347" s="17" t="s">
        <v>2398</v>
      </c>
      <c r="K2347" s="17" t="s">
        <v>2398</v>
      </c>
    </row>
    <row r="2348" spans="1:11" x14ac:dyDescent="0.35">
      <c r="A2348" s="10" t="s">
        <v>1185</v>
      </c>
      <c r="B2348" s="255">
        <v>368</v>
      </c>
      <c r="C2348" s="10" t="s">
        <v>204</v>
      </c>
      <c r="D2348" s="10">
        <v>1</v>
      </c>
      <c r="E2348" s="10">
        <v>602</v>
      </c>
      <c r="F2348" s="10" t="s">
        <v>690</v>
      </c>
      <c r="G2348" s="10" t="s">
        <v>695</v>
      </c>
      <c r="H2348" s="10" t="str" cm="1">
        <f t="array" aca="1" ref="H2348" ca="1">IF(INDEX(I2348:Z2348,$H$1)=0,"",INDEX(I2348:Z2348,$H$1))</f>
        <v>Inlet/Outlet Header: Gas Facilities (Fittings Per Pipeline)</v>
      </c>
      <c r="I2348" s="17" t="s">
        <v>2729</v>
      </c>
      <c r="J2348" s="17" t="s">
        <v>2729</v>
      </c>
      <c r="K2348" s="17" t="s">
        <v>2729</v>
      </c>
    </row>
    <row r="2349" spans="1:11" x14ac:dyDescent="0.35">
      <c r="A2349" s="10" t="s">
        <v>1185</v>
      </c>
      <c r="B2349" s="255">
        <v>369</v>
      </c>
      <c r="C2349" s="10" t="s">
        <v>204</v>
      </c>
      <c r="D2349" s="10">
        <v>1</v>
      </c>
      <c r="E2349" s="10">
        <v>603</v>
      </c>
      <c r="F2349" s="10" t="s">
        <v>690</v>
      </c>
      <c r="G2349" s="10" t="s">
        <v>695</v>
      </c>
      <c r="H2349" s="10" t="str" cm="1">
        <f t="array" aca="1" ref="H2349" ca="1">IF(INDEX(I2349:Z2349,$H$1)=0,"",INDEX(I2349:Z2349,$H$1))</f>
        <v>Inlet/Outlet Header: Oil Facilities (Fittings Per Pipeline)</v>
      </c>
      <c r="I2349" s="17" t="s">
        <v>2728</v>
      </c>
      <c r="J2349" s="17" t="s">
        <v>2728</v>
      </c>
      <c r="K2349" s="17" t="s">
        <v>2728</v>
      </c>
    </row>
    <row r="2350" spans="1:11" x14ac:dyDescent="0.35">
      <c r="A2350" s="10" t="s">
        <v>1185</v>
      </c>
      <c r="B2350" s="255">
        <v>370</v>
      </c>
      <c r="C2350" s="10" t="s">
        <v>204</v>
      </c>
      <c r="D2350" s="10">
        <v>1</v>
      </c>
      <c r="E2350" s="10">
        <v>604</v>
      </c>
      <c r="F2350" s="10" t="s">
        <v>690</v>
      </c>
      <c r="G2350" s="10" t="s">
        <v>695</v>
      </c>
      <c r="H2350" s="10" t="str" cm="1">
        <f t="array" aca="1" ref="H2350" ca="1">IF(INDEX(I2350:Z2350,$H$1)=0,"",INDEX(I2350:Z2350,$H$1))</f>
        <v>LPG Extraction: Deepcut (C2 to C4)</v>
      </c>
      <c r="I2350" s="17" t="s">
        <v>2401</v>
      </c>
      <c r="J2350" s="17" t="s">
        <v>2401</v>
      </c>
      <c r="K2350" s="17" t="s">
        <v>2401</v>
      </c>
    </row>
    <row r="2351" spans="1:11" x14ac:dyDescent="0.35">
      <c r="A2351" s="10" t="s">
        <v>1185</v>
      </c>
      <c r="B2351" s="255">
        <v>371</v>
      </c>
      <c r="C2351" s="10" t="s">
        <v>204</v>
      </c>
      <c r="D2351" s="10">
        <v>1</v>
      </c>
      <c r="E2351" s="10">
        <v>605</v>
      </c>
      <c r="F2351" s="10" t="s">
        <v>690</v>
      </c>
      <c r="G2351" s="10" t="s">
        <v>695</v>
      </c>
      <c r="H2351" s="10" t="str" cm="1">
        <f t="array" aca="1" ref="H2351" ca="1">IF(INDEX(I2351:Z2351,$H$1)=0,"",INDEX(I2351:Z2351,$H$1))</f>
        <v>LPG Extraction: Shallow Cut (C3 to C4)</v>
      </c>
      <c r="I2351" s="17" t="s">
        <v>2402</v>
      </c>
      <c r="J2351" s="17" t="s">
        <v>2402</v>
      </c>
      <c r="K2351" s="17" t="s">
        <v>2402</v>
      </c>
    </row>
    <row r="2352" spans="1:11" x14ac:dyDescent="0.35">
      <c r="A2352" s="10" t="s">
        <v>1185</v>
      </c>
      <c r="B2352" s="255">
        <v>372</v>
      </c>
      <c r="C2352" s="10" t="s">
        <v>204</v>
      </c>
      <c r="D2352" s="10">
        <v>1</v>
      </c>
      <c r="E2352" s="10">
        <v>606</v>
      </c>
      <c r="F2352" s="10" t="s">
        <v>690</v>
      </c>
      <c r="G2352" s="10" t="s">
        <v>695</v>
      </c>
      <c r="H2352" s="10" t="str" cm="1">
        <f t="array" aca="1" ref="H2352" ca="1">IF(INDEX(I2352:Z2352,$H$1)=0,"",INDEX(I2352:Z2352,$H$1))</f>
        <v>NGL – Natural Gas Liquefaction</v>
      </c>
      <c r="I2352" s="17" t="s">
        <v>199</v>
      </c>
      <c r="J2352" s="17" t="s">
        <v>199</v>
      </c>
      <c r="K2352" s="17" t="s">
        <v>199</v>
      </c>
    </row>
    <row r="2353" spans="1:11" x14ac:dyDescent="0.35">
      <c r="A2353" s="10" t="s">
        <v>1185</v>
      </c>
      <c r="B2353" s="255">
        <v>373</v>
      </c>
      <c r="C2353" s="10" t="s">
        <v>204</v>
      </c>
      <c r="D2353" s="10">
        <v>1</v>
      </c>
      <c r="E2353" s="10">
        <v>607</v>
      </c>
      <c r="F2353" s="10" t="s">
        <v>690</v>
      </c>
      <c r="G2353" s="10" t="s">
        <v>695</v>
      </c>
      <c r="H2353" s="10" t="str" cm="1">
        <f t="array" aca="1" ref="H2353" ca="1">IF(INDEX(I2353:Z2353,$H$1)=0,"",INDEX(I2353:Z2353,$H$1))</f>
        <v>PIG Receiver or Sender</v>
      </c>
      <c r="I2353" s="17" t="s">
        <v>230</v>
      </c>
      <c r="J2353" s="17" t="s">
        <v>230</v>
      </c>
      <c r="K2353" s="17" t="s">
        <v>230</v>
      </c>
    </row>
    <row r="2354" spans="1:11" x14ac:dyDescent="0.35">
      <c r="A2354" s="10" t="s">
        <v>1185</v>
      </c>
      <c r="B2354" s="255">
        <v>374</v>
      </c>
      <c r="C2354" s="10" t="s">
        <v>204</v>
      </c>
      <c r="D2354" s="10">
        <v>1</v>
      </c>
      <c r="E2354" s="10">
        <v>608</v>
      </c>
      <c r="F2354" s="10" t="s">
        <v>690</v>
      </c>
      <c r="G2354" s="10" t="s">
        <v>695</v>
      </c>
      <c r="H2354" s="10" t="str" cm="1">
        <f t="array" aca="1" ref="H2354" ca="1">IF(INDEX(I2354:Z2354,$H$1)=0,"",INDEX(I2354:Z2354,$H$1))</f>
        <v>Power Generator: Natural Gas Fuelled (Driver: Gas Turbine)</v>
      </c>
      <c r="I2354" s="17" t="s">
        <v>2674</v>
      </c>
      <c r="J2354" s="17" t="s">
        <v>2674</v>
      </c>
      <c r="K2354" s="17" t="s">
        <v>2674</v>
      </c>
    </row>
    <row r="2355" spans="1:11" x14ac:dyDescent="0.35">
      <c r="A2355" s="10" t="s">
        <v>1185</v>
      </c>
      <c r="B2355" s="255">
        <v>375</v>
      </c>
      <c r="C2355" s="10" t="s">
        <v>204</v>
      </c>
      <c r="D2355" s="10">
        <v>1</v>
      </c>
      <c r="E2355" s="10">
        <v>609</v>
      </c>
      <c r="F2355" s="10" t="s">
        <v>690</v>
      </c>
      <c r="G2355" s="10" t="s">
        <v>695</v>
      </c>
      <c r="H2355" s="10" t="str" cm="1">
        <f t="array" aca="1" ref="H2355" ca="1">IF(INDEX(I2355:Z2355,$H$1)=0,"",INDEX(I2355:Z2355,$H$1))</f>
        <v>Power Generator: Natural Gas Fuelled (Driver: Recip. Engine)</v>
      </c>
      <c r="I2355" s="17" t="s">
        <v>2403</v>
      </c>
      <c r="J2355" s="17" t="s">
        <v>2403</v>
      </c>
      <c r="K2355" s="17" t="s">
        <v>2403</v>
      </c>
    </row>
    <row r="2356" spans="1:11" x14ac:dyDescent="0.35">
      <c r="A2356" s="10" t="s">
        <v>1185</v>
      </c>
      <c r="B2356" s="255">
        <v>376</v>
      </c>
      <c r="C2356" s="10" t="s">
        <v>204</v>
      </c>
      <c r="D2356" s="10">
        <v>1</v>
      </c>
      <c r="E2356" s="10">
        <v>610</v>
      </c>
      <c r="F2356" s="10" t="s">
        <v>690</v>
      </c>
      <c r="G2356" s="10" t="s">
        <v>695</v>
      </c>
      <c r="H2356" s="10" t="str" cm="1">
        <f t="array" aca="1" ref="H2356" ca="1">IF(INDEX(I2356:Z2356,$H$1)=0,"",INDEX(I2356:Z2356,$H$1))</f>
        <v>Pump: Hydrocarbon Service (Driver: Motor)</v>
      </c>
      <c r="I2356" s="17" t="s">
        <v>3409</v>
      </c>
      <c r="J2356" s="17" t="s">
        <v>3409</v>
      </c>
      <c r="K2356" s="17" t="s">
        <v>3409</v>
      </c>
    </row>
    <row r="2357" spans="1:11" x14ac:dyDescent="0.35">
      <c r="A2357" s="10" t="s">
        <v>1185</v>
      </c>
      <c r="B2357" s="255">
        <v>377</v>
      </c>
      <c r="C2357" s="10" t="s">
        <v>204</v>
      </c>
      <c r="D2357" s="10">
        <v>1</v>
      </c>
      <c r="E2357" s="10">
        <v>611</v>
      </c>
      <c r="F2357" s="10" t="s">
        <v>690</v>
      </c>
      <c r="G2357" s="10" t="s">
        <v>695</v>
      </c>
      <c r="H2357" s="10" t="str" cm="1">
        <f t="array" aca="1" ref="H2357" ca="1">IF(INDEX(I2357:Z2357,$H$1)=0,"",INDEX(I2357:Z2357,$H$1))</f>
        <v>Pump: Hydrocarbon Service (Driver: Recip Engine) (Fuel: Gaseous)</v>
      </c>
      <c r="I2357" s="17" t="s">
        <v>3410</v>
      </c>
      <c r="J2357" s="17" t="s">
        <v>3410</v>
      </c>
      <c r="K2357" s="17" t="s">
        <v>3410</v>
      </c>
    </row>
    <row r="2358" spans="1:11" x14ac:dyDescent="0.35">
      <c r="A2358" s="10" t="s">
        <v>1185</v>
      </c>
      <c r="B2358" s="255">
        <v>378</v>
      </c>
      <c r="C2358" s="10" t="s">
        <v>204</v>
      </c>
      <c r="D2358" s="10">
        <v>1</v>
      </c>
      <c r="E2358" s="10">
        <v>612</v>
      </c>
      <c r="F2358" s="10" t="s">
        <v>690</v>
      </c>
      <c r="G2358" s="10" t="s">
        <v>695</v>
      </c>
      <c r="H2358" s="10" t="str" cm="1">
        <f t="array" aca="1" ref="H2358" ca="1">IF(INDEX(I2358:Z2358,$H$1)=0,"",INDEX(I2358:Z2358,$H$1))</f>
        <v>Pump: Hydrocarbon Service (Driver: Recip Engine) (Fuel: Liquid)</v>
      </c>
      <c r="I2358" s="17" t="s">
        <v>3411</v>
      </c>
      <c r="J2358" s="17" t="s">
        <v>3411</v>
      </c>
      <c r="K2358" s="17" t="s">
        <v>3411</v>
      </c>
    </row>
    <row r="2359" spans="1:11" x14ac:dyDescent="0.35">
      <c r="A2359" s="10" t="s">
        <v>1185</v>
      </c>
      <c r="B2359" s="255">
        <v>379</v>
      </c>
      <c r="C2359" s="10" t="s">
        <v>204</v>
      </c>
      <c r="D2359" s="10">
        <v>1</v>
      </c>
      <c r="E2359" s="10">
        <v>613</v>
      </c>
      <c r="F2359" s="10" t="s">
        <v>690</v>
      </c>
      <c r="G2359" s="10" t="s">
        <v>695</v>
      </c>
      <c r="H2359" s="10" t="str" cm="1">
        <f t="array" aca="1" ref="H2359" ca="1">IF(INDEX(I2359:Z2359,$H$1)=0,"",INDEX(I2359:Z2359,$H$1))</f>
        <v>Pump: Non-Hydrocarbon Service (Driver: Recip Engine) (Fuel: Gaseous)</v>
      </c>
      <c r="I2359" s="17" t="s">
        <v>3408</v>
      </c>
      <c r="J2359" s="17" t="s">
        <v>3408</v>
      </c>
      <c r="K2359" s="17" t="s">
        <v>3408</v>
      </c>
    </row>
    <row r="2360" spans="1:11" x14ac:dyDescent="0.35">
      <c r="A2360" s="10" t="s">
        <v>1185</v>
      </c>
      <c r="B2360" s="255">
        <v>380</v>
      </c>
      <c r="C2360" s="10" t="s">
        <v>204</v>
      </c>
      <c r="D2360" s="10">
        <v>1</v>
      </c>
      <c r="E2360" s="10">
        <v>614</v>
      </c>
      <c r="F2360" s="10" t="s">
        <v>690</v>
      </c>
      <c r="G2360" s="10" t="s">
        <v>695</v>
      </c>
      <c r="H2360" s="10" t="str" cm="1">
        <f t="array" aca="1" ref="H2360" ca="1">IF(INDEX(I2360:Z2360,$H$1)=0,"",INDEX(I2360:Z2360,$H$1))</f>
        <v>Pump: Non-Hydrocarbon Service (Driver: Recip Engine) (Fuel: Gaseous)</v>
      </c>
      <c r="I2360" s="17" t="s">
        <v>3408</v>
      </c>
      <c r="J2360" s="17" t="s">
        <v>3408</v>
      </c>
      <c r="K2360" s="17" t="s">
        <v>3408</v>
      </c>
    </row>
    <row r="2361" spans="1:11" x14ac:dyDescent="0.35">
      <c r="A2361" s="10" t="s">
        <v>1185</v>
      </c>
      <c r="B2361" s="255">
        <v>381</v>
      </c>
      <c r="C2361" s="10" t="s">
        <v>204</v>
      </c>
      <c r="D2361" s="10">
        <v>1</v>
      </c>
      <c r="E2361" s="10">
        <v>615</v>
      </c>
      <c r="F2361" s="10" t="s">
        <v>690</v>
      </c>
      <c r="G2361" s="10" t="s">
        <v>695</v>
      </c>
      <c r="H2361" s="10" t="str" cm="1">
        <f t="array" aca="1" ref="H2361" ca="1">IF(INDEX(I2361:Z2361,$H$1)=0,"",INDEX(I2361:Z2361,$H$1))</f>
        <v>Refrigeration (Propane)</v>
      </c>
      <c r="I2361" s="17" t="s">
        <v>245</v>
      </c>
      <c r="J2361" s="17" t="s">
        <v>245</v>
      </c>
      <c r="K2361" s="17" t="s">
        <v>245</v>
      </c>
    </row>
    <row r="2362" spans="1:11" x14ac:dyDescent="0.35">
      <c r="A2362" s="10" t="s">
        <v>1185</v>
      </c>
      <c r="B2362" s="255">
        <v>382</v>
      </c>
      <c r="C2362" s="10" t="s">
        <v>204</v>
      </c>
      <c r="D2362" s="10">
        <v>1</v>
      </c>
      <c r="E2362" s="10">
        <v>616</v>
      </c>
      <c r="F2362" s="10" t="s">
        <v>690</v>
      </c>
      <c r="G2362" s="10" t="s">
        <v>695</v>
      </c>
      <c r="H2362" s="10" t="str" cm="1">
        <f t="array" aca="1" ref="H2362" ca="1">IF(INDEX(I2362:Z2362,$H$1)=0,"",INDEX(I2362:Z2362,$H$1))</f>
        <v>Separator: Filter Separator</v>
      </c>
      <c r="I2362" s="17" t="s">
        <v>2404</v>
      </c>
      <c r="J2362" s="17" t="s">
        <v>2404</v>
      </c>
      <c r="K2362" s="17" t="s">
        <v>2404</v>
      </c>
    </row>
    <row r="2363" spans="1:11" x14ac:dyDescent="0.35">
      <c r="A2363" s="10" t="s">
        <v>1185</v>
      </c>
      <c r="B2363" s="255">
        <v>383</v>
      </c>
      <c r="C2363" s="10" t="s">
        <v>204</v>
      </c>
      <c r="D2363" s="10">
        <v>1</v>
      </c>
      <c r="E2363" s="10">
        <v>617</v>
      </c>
      <c r="F2363" s="10" t="s">
        <v>690</v>
      </c>
      <c r="G2363" s="10" t="s">
        <v>695</v>
      </c>
      <c r="H2363" s="10" t="str" cm="1">
        <f t="array" aca="1" ref="H2363" ca="1">IF(INDEX(I2363:Z2363,$H$1)=0,"",INDEX(I2363:Z2363,$H$1))</f>
        <v>Separator: Horizontal (Phases: 2)</v>
      </c>
      <c r="I2363" s="17" t="s">
        <v>2405</v>
      </c>
      <c r="J2363" s="17" t="s">
        <v>2405</v>
      </c>
      <c r="K2363" s="17" t="s">
        <v>2405</v>
      </c>
    </row>
    <row r="2364" spans="1:11" x14ac:dyDescent="0.35">
      <c r="A2364" s="10" t="s">
        <v>1185</v>
      </c>
      <c r="B2364" s="255">
        <v>384</v>
      </c>
      <c r="C2364" s="10" t="s">
        <v>204</v>
      </c>
      <c r="D2364" s="10">
        <v>1</v>
      </c>
      <c r="E2364" s="10">
        <v>618</v>
      </c>
      <c r="F2364" s="10" t="s">
        <v>690</v>
      </c>
      <c r="G2364" s="10" t="s">
        <v>695</v>
      </c>
      <c r="H2364" s="10" t="str" cm="1">
        <f t="array" aca="1" ref="H2364" ca="1">IF(INDEX(I2364:Z2364,$H$1)=0,"",INDEX(I2364:Z2364,$H$1))</f>
        <v>Separator: Horizontal (Phases: 3)</v>
      </c>
      <c r="I2364" s="17" t="s">
        <v>2406</v>
      </c>
      <c r="J2364" s="17" t="s">
        <v>2406</v>
      </c>
      <c r="K2364" s="17" t="s">
        <v>2406</v>
      </c>
    </row>
    <row r="2365" spans="1:11" x14ac:dyDescent="0.35">
      <c r="A2365" s="10" t="s">
        <v>1185</v>
      </c>
      <c r="B2365" s="255">
        <v>385</v>
      </c>
      <c r="C2365" s="10" t="s">
        <v>204</v>
      </c>
      <c r="D2365" s="10">
        <v>1</v>
      </c>
      <c r="E2365" s="10">
        <v>619</v>
      </c>
      <c r="F2365" s="10" t="s">
        <v>690</v>
      </c>
      <c r="G2365" s="10" t="s">
        <v>695</v>
      </c>
      <c r="H2365" s="10" t="str" cm="1">
        <f t="array" aca="1" ref="H2365" ca="1">IF(INDEX(I2365:Z2365,$H$1)=0,"",INDEX(I2365:Z2365,$H$1))</f>
        <v>Separator: Vertical (Phases: 2)</v>
      </c>
      <c r="I2365" s="17" t="s">
        <v>2407</v>
      </c>
      <c r="J2365" s="17" t="s">
        <v>2407</v>
      </c>
      <c r="K2365" s="17" t="s">
        <v>2407</v>
      </c>
    </row>
    <row r="2366" spans="1:11" x14ac:dyDescent="0.35">
      <c r="A2366" s="10" t="s">
        <v>1185</v>
      </c>
      <c r="B2366" s="255">
        <v>386</v>
      </c>
      <c r="C2366" s="10" t="s">
        <v>204</v>
      </c>
      <c r="D2366" s="10">
        <v>1</v>
      </c>
      <c r="E2366" s="10">
        <v>620</v>
      </c>
      <c r="F2366" s="10" t="s">
        <v>690</v>
      </c>
      <c r="G2366" s="10" t="s">
        <v>695</v>
      </c>
      <c r="H2366" s="10" t="str" cm="1">
        <f t="array" aca="1" ref="H2366" ca="1">IF(INDEX(I2366:Z2366,$H$1)=0,"",INDEX(I2366:Z2366,$H$1))</f>
        <v>Separator: Vertical (Phases: 3)</v>
      </c>
      <c r="I2366" s="17" t="s">
        <v>2408</v>
      </c>
      <c r="J2366" s="17" t="s">
        <v>2408</v>
      </c>
      <c r="K2366" s="17" t="s">
        <v>2408</v>
      </c>
    </row>
    <row r="2367" spans="1:11" x14ac:dyDescent="0.35">
      <c r="A2367" s="10" t="s">
        <v>1185</v>
      </c>
      <c r="B2367" s="255">
        <v>387</v>
      </c>
      <c r="C2367" s="10" t="s">
        <v>204</v>
      </c>
      <c r="D2367" s="10">
        <v>1</v>
      </c>
      <c r="E2367" s="10">
        <v>621</v>
      </c>
      <c r="F2367" s="10" t="s">
        <v>690</v>
      </c>
      <c r="G2367" s="10" t="s">
        <v>695</v>
      </c>
      <c r="H2367" s="10" t="str" cm="1">
        <f t="array" aca="1" ref="H2367" ca="1">IF(INDEX(I2367:Z2367,$H$1)=0,"",INDEX(I2367:Z2367,$H$1))</f>
        <v>Stabilizer: with Reflux Loop</v>
      </c>
      <c r="I2367" s="17" t="s">
        <v>2409</v>
      </c>
      <c r="J2367" s="17" t="s">
        <v>2409</v>
      </c>
      <c r="K2367" s="17" t="s">
        <v>2409</v>
      </c>
    </row>
    <row r="2368" spans="1:11" x14ac:dyDescent="0.35">
      <c r="A2368" s="10" t="s">
        <v>1185</v>
      </c>
      <c r="B2368" s="255">
        <v>388</v>
      </c>
      <c r="C2368" s="10" t="s">
        <v>204</v>
      </c>
      <c r="D2368" s="10">
        <v>1</v>
      </c>
      <c r="E2368" s="10">
        <v>622</v>
      </c>
      <c r="F2368" s="10" t="s">
        <v>690</v>
      </c>
      <c r="G2368" s="10" t="s">
        <v>695</v>
      </c>
      <c r="H2368" s="10" t="str" cm="1">
        <f t="array" aca="1" ref="H2368" ca="1">IF(INDEX(I2368:Z2368,$H$1)=0,"",INDEX(I2368:Z2368,$H$1))</f>
        <v>Stabilizer: without Reflux Loop</v>
      </c>
      <c r="I2368" s="17" t="s">
        <v>2410</v>
      </c>
      <c r="J2368" s="17" t="s">
        <v>2410</v>
      </c>
      <c r="K2368" s="17" t="s">
        <v>2410</v>
      </c>
    </row>
    <row r="2369" spans="1:11" x14ac:dyDescent="0.35">
      <c r="A2369" s="10" t="s">
        <v>1185</v>
      </c>
      <c r="B2369" s="255">
        <v>389</v>
      </c>
      <c r="C2369" s="10" t="s">
        <v>204</v>
      </c>
      <c r="D2369" s="10">
        <v>1</v>
      </c>
      <c r="E2369" s="10">
        <v>623</v>
      </c>
      <c r="F2369" s="10" t="s">
        <v>690</v>
      </c>
      <c r="G2369" s="10" t="s">
        <v>695</v>
      </c>
      <c r="H2369" s="10" t="str" cm="1">
        <f t="array" aca="1" ref="H2369" ca="1">IF(INDEX(I2369:Z2369,$H$1)=0,"",INDEX(I2369:Z2369,$H$1))</f>
        <v>Storage Tank (Produced Oil, with Vapor Control)</v>
      </c>
      <c r="I2369" s="17" t="s">
        <v>365</v>
      </c>
      <c r="J2369" s="17" t="s">
        <v>365</v>
      </c>
      <c r="K2369" s="17" t="s">
        <v>365</v>
      </c>
    </row>
    <row r="2370" spans="1:11" x14ac:dyDescent="0.35">
      <c r="A2370" s="10" t="s">
        <v>1185</v>
      </c>
      <c r="B2370" s="255">
        <v>390</v>
      </c>
      <c r="C2370" s="10" t="s">
        <v>204</v>
      </c>
      <c r="D2370" s="10">
        <v>1</v>
      </c>
      <c r="E2370" s="10">
        <v>624</v>
      </c>
      <c r="F2370" s="10" t="s">
        <v>690</v>
      </c>
      <c r="G2370" s="10" t="s">
        <v>695</v>
      </c>
      <c r="H2370" s="10" t="str" cm="1">
        <f t="array" aca="1" ref="H2370" ca="1">IF(INDEX(I2370:Z2370,$H$1)=0,"",INDEX(I2370:Z2370,$H$1))</f>
        <v>Storage Tank (Produced Oil, without Vapor Control)</v>
      </c>
      <c r="I2370" s="17" t="s">
        <v>366</v>
      </c>
      <c r="J2370" s="17" t="s">
        <v>366</v>
      </c>
      <c r="K2370" s="17" t="s">
        <v>366</v>
      </c>
    </row>
    <row r="2371" spans="1:11" x14ac:dyDescent="0.35">
      <c r="A2371" s="10" t="s">
        <v>1185</v>
      </c>
      <c r="B2371" s="255">
        <v>391</v>
      </c>
      <c r="C2371" s="10" t="s">
        <v>204</v>
      </c>
      <c r="D2371" s="10">
        <v>1</v>
      </c>
      <c r="E2371" s="10">
        <v>625</v>
      </c>
      <c r="F2371" s="10" t="s">
        <v>690</v>
      </c>
      <c r="G2371" s="10" t="s">
        <v>695</v>
      </c>
      <c r="H2371" s="10" t="str" cm="1">
        <f t="array" aca="1" ref="H2371" ca="1">IF(INDEX(I2371:Z2371,$H$1)=0,"",INDEX(I2371:Z2371,$H$1))</f>
        <v>Storage Tank (Produced Water, with Vapor Control)</v>
      </c>
      <c r="I2371" s="17" t="s">
        <v>364</v>
      </c>
      <c r="J2371" s="17" t="s">
        <v>364</v>
      </c>
      <c r="K2371" s="17" t="s">
        <v>364</v>
      </c>
    </row>
    <row r="2372" spans="1:11" x14ac:dyDescent="0.35">
      <c r="A2372" s="10" t="s">
        <v>1185</v>
      </c>
      <c r="B2372" s="255">
        <v>392</v>
      </c>
      <c r="C2372" s="10" t="s">
        <v>204</v>
      </c>
      <c r="D2372" s="10">
        <v>1</v>
      </c>
      <c r="E2372" s="10">
        <v>626</v>
      </c>
      <c r="F2372" s="10" t="s">
        <v>690</v>
      </c>
      <c r="G2372" s="10" t="s">
        <v>695</v>
      </c>
      <c r="H2372" s="10" t="str" cm="1">
        <f t="array" aca="1" ref="H2372" ca="1">IF(INDEX(I2372:Z2372,$H$1)=0,"",INDEX(I2372:Z2372,$H$1))</f>
        <v>Storage Tank (Produced Water, without Vapor Control)</v>
      </c>
      <c r="I2372" s="17" t="s">
        <v>363</v>
      </c>
      <c r="J2372" s="17" t="s">
        <v>363</v>
      </c>
      <c r="K2372" s="17" t="s">
        <v>363</v>
      </c>
    </row>
    <row r="2373" spans="1:11" x14ac:dyDescent="0.35">
      <c r="A2373" s="10" t="s">
        <v>1185</v>
      </c>
      <c r="B2373" s="255">
        <v>393</v>
      </c>
      <c r="C2373" s="10" t="s">
        <v>204</v>
      </c>
      <c r="D2373" s="10">
        <v>1</v>
      </c>
      <c r="E2373" s="10">
        <v>627</v>
      </c>
      <c r="F2373" s="10" t="s">
        <v>690</v>
      </c>
      <c r="G2373" s="10" t="s">
        <v>695</v>
      </c>
      <c r="H2373" s="10" t="str" cm="1">
        <f t="array" aca="1" ref="H2373" ca="1">IF(INDEX(I2373:Z2373,$H$1)=0,"",INDEX(I2373:Z2373,$H$1))</f>
        <v>Storage Tank (Refined Product, with Vapor Control)</v>
      </c>
      <c r="I2373" s="17" t="s">
        <v>3406</v>
      </c>
      <c r="J2373" s="17" t="s">
        <v>3406</v>
      </c>
      <c r="K2373" s="17" t="s">
        <v>3406</v>
      </c>
    </row>
    <row r="2374" spans="1:11" x14ac:dyDescent="0.35">
      <c r="A2374" s="10" t="s">
        <v>1185</v>
      </c>
      <c r="B2374" s="255">
        <v>394</v>
      </c>
      <c r="C2374" s="10" t="s">
        <v>204</v>
      </c>
      <c r="D2374" s="10">
        <v>1</v>
      </c>
      <c r="E2374" s="10">
        <v>628</v>
      </c>
      <c r="F2374" s="10" t="s">
        <v>690</v>
      </c>
      <c r="G2374" s="10" t="s">
        <v>695</v>
      </c>
      <c r="H2374" s="10" t="str" cm="1">
        <f t="array" aca="1" ref="H2374" ca="1">IF(INDEX(I2374:Z2374,$H$1)=0,"",INDEX(I2374:Z2374,$H$1))</f>
        <v>Storage Tank (Refined Product, without Vapor Control)</v>
      </c>
      <c r="I2374" s="17" t="s">
        <v>3407</v>
      </c>
      <c r="J2374" s="17" t="s">
        <v>3407</v>
      </c>
      <c r="K2374" s="17" t="s">
        <v>3407</v>
      </c>
    </row>
    <row r="2375" spans="1:11" x14ac:dyDescent="0.35">
      <c r="A2375" s="10" t="s">
        <v>1185</v>
      </c>
      <c r="B2375" s="255">
        <v>395</v>
      </c>
      <c r="C2375" s="10" t="s">
        <v>204</v>
      </c>
      <c r="D2375" s="10">
        <v>1</v>
      </c>
      <c r="E2375" s="10">
        <v>629</v>
      </c>
      <c r="F2375" s="10" t="s">
        <v>690</v>
      </c>
      <c r="G2375" s="10" t="s">
        <v>695</v>
      </c>
      <c r="H2375" s="10" t="str" cm="1">
        <f t="array" aca="1" ref="H2375" ca="1">IF(INDEX(I2375:Z2375,$H$1)=0,"",INDEX(I2375:Z2375,$H$1))</f>
        <v>Storage Tank: Chemicals with Natural Gas Blanketing)</v>
      </c>
      <c r="I2375" s="17" t="s">
        <v>3412</v>
      </c>
      <c r="J2375" s="17" t="s">
        <v>3412</v>
      </c>
      <c r="K2375" s="17" t="s">
        <v>3412</v>
      </c>
    </row>
    <row r="2376" spans="1:11" x14ac:dyDescent="0.35">
      <c r="A2376" s="10" t="s">
        <v>1185</v>
      </c>
      <c r="B2376" s="255">
        <v>396</v>
      </c>
      <c r="C2376" s="10" t="s">
        <v>204</v>
      </c>
      <c r="D2376" s="10">
        <v>1</v>
      </c>
      <c r="E2376" s="10">
        <v>630</v>
      </c>
      <c r="F2376" s="10" t="s">
        <v>690</v>
      </c>
      <c r="G2376" s="10" t="s">
        <v>695</v>
      </c>
      <c r="H2376" s="10" t="str" cm="1">
        <f t="array" aca="1" ref="H2376" ca="1">IF(INDEX(I2376:Z2376,$H$1)=0,"",INDEX(I2376:Z2376,$H$1))</f>
        <v>Stripper</v>
      </c>
      <c r="I2376" s="17" t="s">
        <v>3405</v>
      </c>
      <c r="J2376" s="17" t="s">
        <v>3405</v>
      </c>
      <c r="K2376" s="17" t="s">
        <v>3405</v>
      </c>
    </row>
    <row r="2377" spans="1:11" x14ac:dyDescent="0.35">
      <c r="A2377" s="10" t="s">
        <v>1185</v>
      </c>
      <c r="B2377" s="255">
        <v>397</v>
      </c>
      <c r="C2377" s="10" t="s">
        <v>204</v>
      </c>
      <c r="D2377" s="10">
        <v>1</v>
      </c>
      <c r="E2377" s="10">
        <v>631</v>
      </c>
      <c r="F2377" s="10" t="s">
        <v>690</v>
      </c>
      <c r="G2377" s="10" t="s">
        <v>695</v>
      </c>
      <c r="H2377" s="10" t="str" cm="1">
        <f t="array" aca="1" ref="H2377" ca="1">IF(INDEX(I2377:Z2377,$H$1)=0,"",INDEX(I2377:Z2377,$H$1))</f>
        <v>Sulphur Recovery: Claus</v>
      </c>
      <c r="I2377" s="17" t="s">
        <v>2411</v>
      </c>
      <c r="J2377" s="17" t="s">
        <v>2411</v>
      </c>
      <c r="K2377" s="17" t="s">
        <v>2411</v>
      </c>
    </row>
    <row r="2378" spans="1:11" x14ac:dyDescent="0.35">
      <c r="A2378" s="10" t="s">
        <v>1185</v>
      </c>
      <c r="B2378" s="255">
        <v>398</v>
      </c>
      <c r="C2378" s="10" t="s">
        <v>204</v>
      </c>
      <c r="D2378" s="10">
        <v>1</v>
      </c>
      <c r="E2378" s="10">
        <v>632</v>
      </c>
      <c r="F2378" s="10" t="s">
        <v>690</v>
      </c>
      <c r="G2378" s="10" t="s">
        <v>695</v>
      </c>
      <c r="H2378" s="10" t="str" cm="1">
        <f t="array" aca="1" ref="H2378" ca="1">IF(INDEX(I2378:Z2378,$H$1)=0,"",INDEX(I2378:Z2378,$H$1))</f>
        <v>Sulphur Recovery: MCRC (Sub-dewpoint)</v>
      </c>
      <c r="I2378" s="17" t="s">
        <v>2412</v>
      </c>
      <c r="J2378" s="17" t="s">
        <v>2412</v>
      </c>
      <c r="K2378" s="17" t="s">
        <v>2412</v>
      </c>
    </row>
    <row r="2379" spans="1:11" x14ac:dyDescent="0.35">
      <c r="A2379" s="10" t="s">
        <v>1185</v>
      </c>
      <c r="B2379" s="255">
        <v>399</v>
      </c>
      <c r="C2379" s="10" t="s">
        <v>204</v>
      </c>
      <c r="D2379" s="10">
        <v>1</v>
      </c>
      <c r="E2379" s="10">
        <v>633</v>
      </c>
      <c r="F2379" s="10" t="s">
        <v>690</v>
      </c>
      <c r="G2379" s="10" t="s">
        <v>695</v>
      </c>
      <c r="H2379" s="10" t="str" cm="1">
        <f t="array" aca="1" ref="H2379" ca="1">IF(INDEX(I2379:Z2379,$H$1)=0,"",INDEX(I2379:Z2379,$H$1))</f>
        <v>Sweetening: (Physical Solvent)</v>
      </c>
      <c r="I2379" s="17" t="s">
        <v>2413</v>
      </c>
      <c r="J2379" s="17" t="s">
        <v>2413</v>
      </c>
      <c r="K2379" s="17" t="s">
        <v>2413</v>
      </c>
    </row>
    <row r="2380" spans="1:11" x14ac:dyDescent="0.35">
      <c r="A2380" s="10" t="s">
        <v>1185</v>
      </c>
      <c r="B2380" s="255">
        <v>400</v>
      </c>
      <c r="C2380" s="10" t="s">
        <v>204</v>
      </c>
      <c r="D2380" s="10">
        <v>1</v>
      </c>
      <c r="E2380" s="10">
        <v>634</v>
      </c>
      <c r="F2380" s="10" t="s">
        <v>690</v>
      </c>
      <c r="G2380" s="10" t="s">
        <v>695</v>
      </c>
      <c r="H2380" s="10" t="str" cm="1">
        <f t="array" aca="1" ref="H2380" ca="1">IF(INDEX(I2380:Z2380,$H$1)=0,"",INDEX(I2380:Z2380,$H$1))</f>
        <v>Sweetening: Chemsweet</v>
      </c>
      <c r="I2380" s="17" t="s">
        <v>2414</v>
      </c>
      <c r="J2380" s="17" t="s">
        <v>2414</v>
      </c>
      <c r="K2380" s="17" t="s">
        <v>2414</v>
      </c>
    </row>
    <row r="2381" spans="1:11" x14ac:dyDescent="0.35">
      <c r="A2381" s="10" t="s">
        <v>1185</v>
      </c>
      <c r="B2381" s="255">
        <v>401</v>
      </c>
      <c r="C2381" s="10" t="s">
        <v>204</v>
      </c>
      <c r="D2381" s="10">
        <v>1</v>
      </c>
      <c r="E2381" s="10">
        <v>635</v>
      </c>
      <c r="F2381" s="10" t="s">
        <v>690</v>
      </c>
      <c r="G2381" s="10" t="s">
        <v>695</v>
      </c>
      <c r="H2381" s="10" t="str" cm="1">
        <f t="array" aca="1" ref="H2381" ca="1">IF(INDEX(I2381:Z2381,$H$1)=0,"",INDEX(I2381:Z2381,$H$1))</f>
        <v>Sweetening: DEA (Diethanolamine)</v>
      </c>
      <c r="I2381" s="17" t="s">
        <v>2415</v>
      </c>
      <c r="J2381" s="17" t="s">
        <v>2415</v>
      </c>
      <c r="K2381" s="17" t="s">
        <v>2415</v>
      </c>
    </row>
    <row r="2382" spans="1:11" x14ac:dyDescent="0.35">
      <c r="A2382" s="10" t="s">
        <v>1185</v>
      </c>
      <c r="B2382" s="255">
        <v>402</v>
      </c>
      <c r="C2382" s="10" t="s">
        <v>204</v>
      </c>
      <c r="D2382" s="10">
        <v>1</v>
      </c>
      <c r="E2382" s="10">
        <v>636</v>
      </c>
      <c r="F2382" s="10" t="s">
        <v>690</v>
      </c>
      <c r="G2382" s="10" t="s">
        <v>695</v>
      </c>
      <c r="H2382" s="10" t="str" cm="1">
        <f t="array" aca="1" ref="H2382" ca="1">IF(INDEX(I2382:Z2382,$H$1)=0,"",INDEX(I2382:Z2382,$H$1))</f>
        <v>Sweetening: DGA (Diglycolamine)</v>
      </c>
      <c r="I2382" s="17" t="s">
        <v>2416</v>
      </c>
      <c r="J2382" s="17" t="s">
        <v>2416</v>
      </c>
      <c r="K2382" s="17" t="s">
        <v>2416</v>
      </c>
    </row>
    <row r="2383" spans="1:11" x14ac:dyDescent="0.35">
      <c r="A2383" s="10" t="s">
        <v>1185</v>
      </c>
      <c r="B2383" s="255">
        <v>403</v>
      </c>
      <c r="C2383" s="10" t="s">
        <v>204</v>
      </c>
      <c r="D2383" s="10">
        <v>1</v>
      </c>
      <c r="E2383" s="10">
        <v>637</v>
      </c>
      <c r="F2383" s="10" t="s">
        <v>690</v>
      </c>
      <c r="G2383" s="10" t="s">
        <v>695</v>
      </c>
      <c r="H2383" s="10" t="str" cm="1">
        <f t="array" aca="1" ref="H2383" ca="1">IF(INDEX(I2383:Z2383,$H$1)=0,"",INDEX(I2383:Z2383,$H$1))</f>
        <v>Sweetening: Generic</v>
      </c>
      <c r="I2383" s="17" t="s">
        <v>2417</v>
      </c>
      <c r="J2383" s="17" t="s">
        <v>2417</v>
      </c>
      <c r="K2383" s="17" t="s">
        <v>2417</v>
      </c>
    </row>
    <row r="2384" spans="1:11" x14ac:dyDescent="0.35">
      <c r="A2384" s="10" t="s">
        <v>1185</v>
      </c>
      <c r="B2384" s="255">
        <v>404</v>
      </c>
      <c r="C2384" s="10" t="s">
        <v>204</v>
      </c>
      <c r="D2384" s="10">
        <v>1</v>
      </c>
      <c r="E2384" s="10">
        <v>638</v>
      </c>
      <c r="F2384" s="10" t="s">
        <v>690</v>
      </c>
      <c r="G2384" s="10" t="s">
        <v>695</v>
      </c>
      <c r="H2384" s="10" t="str" cm="1">
        <f t="array" aca="1" ref="H2384" ca="1">IF(INDEX(I2384:Z2384,$H$1)=0,"",INDEX(I2384:Z2384,$H$1))</f>
        <v>Sweetening: Iron Sponge</v>
      </c>
      <c r="I2384" s="17" t="s">
        <v>2418</v>
      </c>
      <c r="J2384" s="17" t="s">
        <v>2418</v>
      </c>
      <c r="K2384" s="17" t="s">
        <v>2418</v>
      </c>
    </row>
    <row r="2385" spans="1:11" x14ac:dyDescent="0.35">
      <c r="A2385" s="10" t="s">
        <v>1185</v>
      </c>
      <c r="B2385" s="255">
        <v>405</v>
      </c>
      <c r="C2385" s="10" t="s">
        <v>204</v>
      </c>
      <c r="D2385" s="10">
        <v>1</v>
      </c>
      <c r="E2385" s="10">
        <v>639</v>
      </c>
      <c r="F2385" s="10" t="s">
        <v>690</v>
      </c>
      <c r="G2385" s="10" t="s">
        <v>695</v>
      </c>
      <c r="H2385" s="10" t="str" cm="1">
        <f t="array" aca="1" ref="H2385" ca="1">IF(INDEX(I2385:Z2385,$H$1)=0,"",INDEX(I2385:Z2385,$H$1))</f>
        <v>Sweetening: LoCat</v>
      </c>
      <c r="I2385" s="17" t="s">
        <v>2419</v>
      </c>
      <c r="J2385" s="17" t="s">
        <v>2419</v>
      </c>
      <c r="K2385" s="17" t="s">
        <v>2419</v>
      </c>
    </row>
    <row r="2386" spans="1:11" x14ac:dyDescent="0.35">
      <c r="A2386" s="10" t="s">
        <v>1185</v>
      </c>
      <c r="B2386" s="255">
        <v>406</v>
      </c>
      <c r="C2386" s="10" t="s">
        <v>204</v>
      </c>
      <c r="D2386" s="10">
        <v>1</v>
      </c>
      <c r="E2386" s="10">
        <v>640</v>
      </c>
      <c r="F2386" s="10" t="s">
        <v>690</v>
      </c>
      <c r="G2386" s="10" t="s">
        <v>695</v>
      </c>
      <c r="H2386" s="10" t="str" cm="1">
        <f t="array" aca="1" ref="H2386" ca="1">IF(INDEX(I2386:Z2386,$H$1)=0,"",INDEX(I2386:Z2386,$H$1))</f>
        <v>Sweetening: MDEA (Monodiethanolamine)</v>
      </c>
      <c r="I2386" s="17" t="s">
        <v>2420</v>
      </c>
      <c r="J2386" s="17" t="s">
        <v>2420</v>
      </c>
      <c r="K2386" s="17" t="s">
        <v>2420</v>
      </c>
    </row>
    <row r="2387" spans="1:11" x14ac:dyDescent="0.35">
      <c r="A2387" s="10" t="s">
        <v>1185</v>
      </c>
      <c r="B2387" s="255">
        <v>407</v>
      </c>
      <c r="C2387" s="10" t="s">
        <v>204</v>
      </c>
      <c r="D2387" s="10">
        <v>1</v>
      </c>
      <c r="E2387" s="10">
        <v>641</v>
      </c>
      <c r="F2387" s="10" t="s">
        <v>690</v>
      </c>
      <c r="G2387" s="10" t="s">
        <v>695</v>
      </c>
      <c r="H2387" s="10" t="str" cm="1">
        <f t="array" aca="1" ref="H2387" ca="1">IF(INDEX(I2387:Z2387,$H$1)=0,"",INDEX(I2387:Z2387,$H$1))</f>
        <v>Sweetening: MEA (Monoethanolamine)</v>
      </c>
      <c r="I2387" s="17" t="s">
        <v>2421</v>
      </c>
      <c r="J2387" s="17" t="s">
        <v>2421</v>
      </c>
      <c r="K2387" s="17" t="s">
        <v>2421</v>
      </c>
    </row>
    <row r="2388" spans="1:11" x14ac:dyDescent="0.35">
      <c r="A2388" s="10" t="s">
        <v>1185</v>
      </c>
      <c r="B2388" s="255">
        <v>408</v>
      </c>
      <c r="C2388" s="10" t="s">
        <v>204</v>
      </c>
      <c r="D2388" s="10">
        <v>1</v>
      </c>
      <c r="E2388" s="10">
        <v>642</v>
      </c>
      <c r="F2388" s="10" t="s">
        <v>690</v>
      </c>
      <c r="G2388" s="10" t="s">
        <v>695</v>
      </c>
      <c r="H2388" s="10" t="str" cm="1">
        <f t="array" aca="1" ref="H2388" ca="1">IF(INDEX(I2388:Z2388,$H$1)=0,"",INDEX(I2388:Z2388,$H$1))</f>
        <v>Sweetening: Selexol</v>
      </c>
      <c r="I2388" s="17" t="s">
        <v>2422</v>
      </c>
      <c r="J2388" s="17" t="s">
        <v>2422</v>
      </c>
      <c r="K2388" s="17" t="s">
        <v>2422</v>
      </c>
    </row>
    <row r="2389" spans="1:11" x14ac:dyDescent="0.35">
      <c r="A2389" s="10" t="s">
        <v>1185</v>
      </c>
      <c r="B2389" s="255">
        <v>409</v>
      </c>
      <c r="C2389" s="10" t="s">
        <v>204</v>
      </c>
      <c r="D2389" s="10">
        <v>1</v>
      </c>
      <c r="E2389" s="10">
        <v>643</v>
      </c>
      <c r="F2389" s="10" t="s">
        <v>690</v>
      </c>
      <c r="G2389" s="10" t="s">
        <v>695</v>
      </c>
      <c r="H2389" s="10" t="str" cm="1">
        <f t="array" aca="1" ref="H2389" ca="1">IF(INDEX(I2389:Z2389,$H$1)=0,"",INDEX(I2389:Z2389,$H$1))</f>
        <v>Sweetening: Sulfacheck</v>
      </c>
      <c r="I2389" s="17" t="s">
        <v>2423</v>
      </c>
      <c r="J2389" s="17" t="s">
        <v>2423</v>
      </c>
      <c r="K2389" s="17" t="s">
        <v>2423</v>
      </c>
    </row>
    <row r="2390" spans="1:11" x14ac:dyDescent="0.35">
      <c r="A2390" s="10" t="s">
        <v>1185</v>
      </c>
      <c r="B2390" s="255">
        <v>410</v>
      </c>
      <c r="C2390" s="10" t="s">
        <v>204</v>
      </c>
      <c r="D2390" s="10">
        <v>1</v>
      </c>
      <c r="E2390" s="10">
        <v>644</v>
      </c>
      <c r="F2390" s="10" t="s">
        <v>690</v>
      </c>
      <c r="G2390" s="10" t="s">
        <v>695</v>
      </c>
      <c r="H2390" s="10" t="str" cm="1">
        <f t="array" aca="1" ref="H2390" ca="1">IF(INDEX(I2390:Z2390,$H$1)=0,"",INDEX(I2390:Z2390,$H$1))</f>
        <v>Sweetening: Sulfinol</v>
      </c>
      <c r="I2390" s="17" t="s">
        <v>2424</v>
      </c>
      <c r="J2390" s="17" t="s">
        <v>2424</v>
      </c>
      <c r="K2390" s="17" t="s">
        <v>2424</v>
      </c>
    </row>
    <row r="2391" spans="1:11" x14ac:dyDescent="0.35">
      <c r="A2391" s="10" t="s">
        <v>1185</v>
      </c>
      <c r="B2391" s="255">
        <v>411</v>
      </c>
      <c r="C2391" s="10" t="s">
        <v>204</v>
      </c>
      <c r="D2391" s="10">
        <v>1</v>
      </c>
      <c r="E2391" s="10">
        <v>645</v>
      </c>
      <c r="F2391" s="10" t="s">
        <v>690</v>
      </c>
      <c r="G2391" s="10" t="s">
        <v>695</v>
      </c>
      <c r="H2391" s="10" t="str" cm="1">
        <f t="array" aca="1" ref="H2391" ca="1">IF(INDEX(I2391:Z2391,$H$1)=0,"",INDEX(I2391:Z2391,$H$1))</f>
        <v>Vapor Recovery Unit: Offshore</v>
      </c>
      <c r="I2391" s="17" t="s">
        <v>2425</v>
      </c>
      <c r="J2391" s="17" t="s">
        <v>2425</v>
      </c>
      <c r="K2391" s="17" t="s">
        <v>2425</v>
      </c>
    </row>
    <row r="2392" spans="1:11" x14ac:dyDescent="0.35">
      <c r="A2392" s="10" t="s">
        <v>1185</v>
      </c>
      <c r="B2392" s="255">
        <v>412</v>
      </c>
      <c r="C2392" s="10" t="s">
        <v>204</v>
      </c>
      <c r="D2392" s="10">
        <v>1</v>
      </c>
      <c r="E2392" s="10">
        <v>646</v>
      </c>
      <c r="F2392" s="10" t="s">
        <v>690</v>
      </c>
      <c r="G2392" s="10" t="s">
        <v>695</v>
      </c>
      <c r="H2392" s="10" t="str" cm="1">
        <f t="array" aca="1" ref="H2392" ca="1">IF(INDEX(I2392:Z2392,$H$1)=0,"",INDEX(I2392:Z2392,$H$1))</f>
        <v>Vapor Recovery Unit: Onshore</v>
      </c>
      <c r="I2392" s="17" t="s">
        <v>2426</v>
      </c>
      <c r="J2392" s="17" t="s">
        <v>2426</v>
      </c>
      <c r="K2392" s="17" t="s">
        <v>2426</v>
      </c>
    </row>
    <row r="2393" spans="1:11" x14ac:dyDescent="0.35">
      <c r="A2393" s="10" t="s">
        <v>1026</v>
      </c>
      <c r="B2393" s="255">
        <v>11</v>
      </c>
      <c r="C2393" s="10" t="s">
        <v>1027</v>
      </c>
      <c r="D2393" s="10">
        <v>1</v>
      </c>
      <c r="E2393" s="10">
        <v>1</v>
      </c>
      <c r="F2393" s="10" t="s">
        <v>687</v>
      </c>
      <c r="G2393" s="10" t="s">
        <v>688</v>
      </c>
      <c r="H2393" s="10" t="str" cm="1">
        <f t="array" aca="1" ref="H2393" ca="1">IF(INDEX(I2393:Z2393,$H$1)=0,"",INDEX(I2393:Z2393,$H$1))</f>
        <v>Chemical Library</v>
      </c>
      <c r="I2393" s="10" t="s">
        <v>1027</v>
      </c>
      <c r="J2393" s="10" t="s">
        <v>1070</v>
      </c>
      <c r="K2393" s="27" t="s">
        <v>1760</v>
      </c>
    </row>
    <row r="2394" spans="1:11" x14ac:dyDescent="0.35">
      <c r="A2394" s="10" t="s">
        <v>1026</v>
      </c>
      <c r="B2394" s="255">
        <v>11</v>
      </c>
      <c r="C2394" s="10" t="s">
        <v>1027</v>
      </c>
      <c r="D2394" s="10">
        <v>1</v>
      </c>
      <c r="E2394" s="10">
        <v>2</v>
      </c>
      <c r="F2394" s="10" t="s">
        <v>687</v>
      </c>
      <c r="G2394" s="10" t="s">
        <v>696</v>
      </c>
      <c r="H2394" s="10" t="str" cm="1">
        <f t="array" aca="1" ref="H2394" ca="1">IF(INDEX(I2394:Z2394,$H$1)=0,"",INDEX(I2394:Z2394,$H$1))</f>
        <v>Substance</v>
      </c>
      <c r="I2394" s="10" t="s">
        <v>55</v>
      </c>
      <c r="J2394" s="10" t="s">
        <v>1036</v>
      </c>
      <c r="K2394" s="27" t="s">
        <v>1761</v>
      </c>
    </row>
    <row r="2395" spans="1:11" x14ac:dyDescent="0.35">
      <c r="A2395" s="10" t="s">
        <v>1026</v>
      </c>
      <c r="B2395" s="255">
        <v>11</v>
      </c>
      <c r="C2395" s="10" t="s">
        <v>1027</v>
      </c>
      <c r="D2395" s="10">
        <v>1</v>
      </c>
      <c r="E2395" s="10">
        <v>2</v>
      </c>
      <c r="F2395" s="10" t="s">
        <v>38</v>
      </c>
      <c r="G2395" s="10" t="s">
        <v>696</v>
      </c>
      <c r="H2395" s="10" t="str" cm="1">
        <f t="array" aca="1" ref="H2395" ca="1">IF(INDEX(I2395:Z2395,$H$1)=0,"",INDEX(I2395:Z2395,$H$1))</f>
        <v>Molecular Weight</v>
      </c>
      <c r="I2395" s="10" t="s">
        <v>58</v>
      </c>
      <c r="J2395" s="10" t="s">
        <v>811</v>
      </c>
      <c r="K2395" s="27" t="s">
        <v>1498</v>
      </c>
    </row>
    <row r="2396" spans="1:11" x14ac:dyDescent="0.35">
      <c r="A2396" s="10" t="s">
        <v>1026</v>
      </c>
      <c r="B2396" s="255">
        <v>11</v>
      </c>
      <c r="C2396" s="10" t="s">
        <v>1027</v>
      </c>
      <c r="D2396" s="10">
        <v>1</v>
      </c>
      <c r="E2396" s="10">
        <v>2</v>
      </c>
      <c r="F2396" s="10" t="s">
        <v>692</v>
      </c>
      <c r="G2396" s="10" t="s">
        <v>696</v>
      </c>
      <c r="H2396" s="10" t="str" cm="1">
        <f t="array" aca="1" ref="H2396" ca="1">IF(INDEX(I2396:Z2396,$H$1)=0,"",INDEX(I2396:Z2396,$H$1))</f>
        <v>Gas Density at STP</v>
      </c>
      <c r="I2396" s="10" t="s">
        <v>386</v>
      </c>
      <c r="J2396" s="10" t="s">
        <v>1069</v>
      </c>
      <c r="K2396" s="27" t="s">
        <v>1762</v>
      </c>
    </row>
    <row r="2397" spans="1:11" x14ac:dyDescent="0.35">
      <c r="A2397" s="10" t="s">
        <v>1026</v>
      </c>
      <c r="B2397" s="255">
        <v>11</v>
      </c>
      <c r="C2397" s="10" t="s">
        <v>1027</v>
      </c>
      <c r="D2397" s="10">
        <v>1</v>
      </c>
      <c r="E2397" s="10">
        <v>2</v>
      </c>
      <c r="F2397" s="10" t="s">
        <v>694</v>
      </c>
      <c r="G2397" s="10" t="s">
        <v>696</v>
      </c>
      <c r="H2397" s="10" t="str" cm="1">
        <f t="array" aca="1" ref="H2397" ca="1">IF(INDEX(I2397:Z2397,$H$1)=0,"",INDEX(I2397:Z2397,$H$1))</f>
        <v>Liquid Density</v>
      </c>
      <c r="I2397" s="10" t="s">
        <v>649</v>
      </c>
      <c r="J2397" s="6" t="s">
        <v>1067</v>
      </c>
      <c r="K2397" s="27" t="s">
        <v>1763</v>
      </c>
    </row>
    <row r="2398" spans="1:11" x14ac:dyDescent="0.35">
      <c r="A2398" s="10" t="s">
        <v>1026</v>
      </c>
      <c r="B2398" s="255">
        <v>11</v>
      </c>
      <c r="C2398" s="10" t="s">
        <v>1027</v>
      </c>
      <c r="D2398" s="10">
        <v>1</v>
      </c>
      <c r="E2398" s="10">
        <v>2</v>
      </c>
      <c r="F2398" s="10" t="s">
        <v>591</v>
      </c>
      <c r="G2398" s="10" t="s">
        <v>696</v>
      </c>
      <c r="H2398" s="10" t="str" cm="1">
        <f t="array" aca="1" ref="H2398" ca="1">IF(INDEX(I2398:Z2398,$H$1)=0,"",INDEX(I2398:Z2398,$H$1))</f>
        <v>Specific Heat Capacity (Cp)</v>
      </c>
      <c r="I2398" s="10" t="s">
        <v>1324</v>
      </c>
      <c r="J2398" s="10" t="s">
        <v>1066</v>
      </c>
      <c r="K2398" s="27" t="s">
        <v>1764</v>
      </c>
    </row>
    <row r="2399" spans="1:11" x14ac:dyDescent="0.35">
      <c r="A2399" s="10" t="s">
        <v>1026</v>
      </c>
      <c r="B2399" s="255">
        <v>11</v>
      </c>
      <c r="C2399" s="10" t="s">
        <v>1027</v>
      </c>
      <c r="D2399" s="10">
        <v>1</v>
      </c>
      <c r="E2399" s="10">
        <v>2</v>
      </c>
      <c r="F2399" s="10" t="s">
        <v>772</v>
      </c>
      <c r="G2399" s="10" t="s">
        <v>696</v>
      </c>
      <c r="H2399" s="10" t="str" cm="1">
        <f t="array" aca="1" ref="H2399" ca="1">IF(INDEX(I2399:Z2399,$H$1)=0,"",INDEX(I2399:Z2399,$H$1))</f>
        <v>Lower Heating Value</v>
      </c>
      <c r="I2399" s="10" t="s">
        <v>559</v>
      </c>
      <c r="J2399" s="10" t="s">
        <v>782</v>
      </c>
      <c r="K2399" s="27" t="s">
        <v>1457</v>
      </c>
    </row>
    <row r="2400" spans="1:11" x14ac:dyDescent="0.35">
      <c r="A2400" s="10" t="s">
        <v>1026</v>
      </c>
      <c r="B2400" s="255">
        <v>11</v>
      </c>
      <c r="C2400" s="10" t="s">
        <v>1027</v>
      </c>
      <c r="D2400" s="10">
        <v>1</v>
      </c>
      <c r="E2400" s="10">
        <v>2</v>
      </c>
      <c r="F2400" s="10" t="s">
        <v>594</v>
      </c>
      <c r="G2400" s="10" t="s">
        <v>696</v>
      </c>
      <c r="H2400" s="10" t="str" cm="1">
        <f t="array" aca="1" ref="H2400" ca="1">IF(INDEX(I2400:Z2400,$H$1)=0,"",INDEX(I2400:Z2400,$H$1))</f>
        <v>Higher Heating Value</v>
      </c>
      <c r="I2400" s="10" t="s">
        <v>595</v>
      </c>
      <c r="J2400" s="6" t="s">
        <v>1249</v>
      </c>
      <c r="K2400" s="27" t="s">
        <v>1765</v>
      </c>
    </row>
    <row r="2401" spans="1:11" x14ac:dyDescent="0.35">
      <c r="A2401" s="10" t="s">
        <v>1026</v>
      </c>
      <c r="B2401" s="255">
        <v>11</v>
      </c>
      <c r="C2401" s="10" t="s">
        <v>1027</v>
      </c>
      <c r="D2401" s="10">
        <v>1</v>
      </c>
      <c r="E2401" s="10">
        <v>2</v>
      </c>
      <c r="F2401" s="10" t="s">
        <v>592</v>
      </c>
      <c r="G2401" s="10" t="s">
        <v>696</v>
      </c>
      <c r="H2401" s="10" t="str" cm="1">
        <f t="array" aca="1" ref="H2401" ca="1">IF(INDEX(I2401:Z2401,$H$1)=0,"",INDEX(I2401:Z2401,$H$1))</f>
        <v>Composition (Atoms/Molecule)</v>
      </c>
      <c r="I2401" s="10" t="s">
        <v>633</v>
      </c>
      <c r="J2401" s="10" t="s">
        <v>1068</v>
      </c>
      <c r="K2401" s="27" t="s">
        <v>1766</v>
      </c>
    </row>
    <row r="2402" spans="1:11" x14ac:dyDescent="0.35">
      <c r="A2402" s="10" t="s">
        <v>1026</v>
      </c>
      <c r="B2402" s="255">
        <v>11</v>
      </c>
      <c r="C2402" s="10" t="s">
        <v>1027</v>
      </c>
      <c r="D2402" s="10">
        <v>1</v>
      </c>
      <c r="E2402" s="10">
        <v>2</v>
      </c>
      <c r="F2402" s="10" t="s">
        <v>819</v>
      </c>
      <c r="G2402" s="10" t="s">
        <v>696</v>
      </c>
      <c r="H2402" s="10" t="str" cm="1">
        <f t="array" aca="1" ref="H2402" ca="1">IF(INDEX(I2402:Z2402,$H$1)=0,"",INDEX(I2402:Z2402,$H$1))</f>
        <v>Carbon Content</v>
      </c>
      <c r="I2402" s="10" t="s">
        <v>558</v>
      </c>
      <c r="J2402" s="6" t="s">
        <v>1065</v>
      </c>
      <c r="K2402" s="27" t="s">
        <v>1458</v>
      </c>
    </row>
    <row r="2403" spans="1:11" x14ac:dyDescent="0.35">
      <c r="A2403" s="10" t="s">
        <v>1026</v>
      </c>
      <c r="B2403" s="255">
        <v>11</v>
      </c>
      <c r="C2403" s="10" t="s">
        <v>1027</v>
      </c>
      <c r="D2403" s="10">
        <v>1</v>
      </c>
      <c r="E2403" s="10">
        <v>3</v>
      </c>
      <c r="F2403" s="10" t="s">
        <v>687</v>
      </c>
      <c r="G2403" s="10" t="s">
        <v>696</v>
      </c>
      <c r="H2403" s="10" t="str" cm="1">
        <f t="array" aca="1" ref="H2403" ca="1">IF(INDEX(I2403:Z2403,$H$1)=0,"",INDEX(I2403:Z2403,$H$1))</f>
        <v>Name</v>
      </c>
      <c r="I2403" s="10" t="s">
        <v>56</v>
      </c>
      <c r="J2403" s="10" t="s">
        <v>1034</v>
      </c>
      <c r="K2403" s="27" t="s">
        <v>1767</v>
      </c>
    </row>
    <row r="2404" spans="1:11" x14ac:dyDescent="0.35">
      <c r="A2404" s="10" t="s">
        <v>1026</v>
      </c>
      <c r="B2404" s="255">
        <v>11</v>
      </c>
      <c r="C2404" s="10" t="s">
        <v>1027</v>
      </c>
      <c r="D2404" s="10">
        <v>1</v>
      </c>
      <c r="E2404" s="10">
        <v>3</v>
      </c>
      <c r="F2404" s="10" t="s">
        <v>690</v>
      </c>
      <c r="G2404" s="10" t="s">
        <v>696</v>
      </c>
      <c r="H2404" s="10" t="str" cm="1">
        <f t="array" aca="1" ref="H2404" ca="1">IF(INDEX(I2404:Z2404,$H$1)=0,"",INDEX(I2404:Z2404,$H$1))</f>
        <v>Formula</v>
      </c>
      <c r="I2404" s="10" t="s">
        <v>57</v>
      </c>
      <c r="J2404" s="10" t="s">
        <v>1035</v>
      </c>
      <c r="K2404" s="27" t="s">
        <v>1768</v>
      </c>
    </row>
    <row r="2405" spans="1:11" x14ac:dyDescent="0.35">
      <c r="A2405" s="10" t="s">
        <v>1026</v>
      </c>
      <c r="B2405" s="255">
        <v>11</v>
      </c>
      <c r="C2405" s="10" t="s">
        <v>1027</v>
      </c>
      <c r="D2405" s="10">
        <v>1</v>
      </c>
      <c r="E2405" s="10">
        <v>3</v>
      </c>
      <c r="F2405" s="10" t="s">
        <v>38</v>
      </c>
      <c r="G2405" s="10" t="s">
        <v>696</v>
      </c>
      <c r="H2405" s="10" t="str" cm="1">
        <f t="array" aca="1" ref="H2405" ca="1">IF(INDEX(I2405:Z2405,$H$1)=0,"",INDEX(I2405:Z2405,$H$1))</f>
        <v>(kg/kmol)</v>
      </c>
      <c r="I2405" s="10" t="s">
        <v>668</v>
      </c>
      <c r="J2405" s="10" t="s">
        <v>1057</v>
      </c>
      <c r="K2405" s="27" t="s">
        <v>668</v>
      </c>
    </row>
    <row r="2406" spans="1:11" x14ac:dyDescent="0.35">
      <c r="A2406" s="10" t="s">
        <v>1026</v>
      </c>
      <c r="B2406" s="255">
        <v>11</v>
      </c>
      <c r="C2406" s="10" t="s">
        <v>1027</v>
      </c>
      <c r="D2406" s="10">
        <v>1</v>
      </c>
      <c r="E2406" s="10">
        <v>3</v>
      </c>
      <c r="F2406" s="10" t="s">
        <v>692</v>
      </c>
      <c r="G2406" s="10" t="s">
        <v>696</v>
      </c>
      <c r="H2406" s="10" t="str" cm="1">
        <f t="array" aca="1" ref="H2406" ca="1">IF(INDEX(I2406:Z2406,$H$1)=0,"",INDEX(I2406:Z2406,$H$1))</f>
        <v>At 15°C</v>
      </c>
      <c r="I2406" s="10" t="s">
        <v>1028</v>
      </c>
      <c r="J2406" s="6" t="s">
        <v>1064</v>
      </c>
      <c r="K2406" s="27" t="s">
        <v>1769</v>
      </c>
    </row>
    <row r="2407" spans="1:11" x14ac:dyDescent="0.35">
      <c r="A2407" s="10" t="s">
        <v>1026</v>
      </c>
      <c r="B2407" s="255">
        <v>11</v>
      </c>
      <c r="C2407" s="10" t="s">
        <v>1027</v>
      </c>
      <c r="D2407" s="10">
        <v>1</v>
      </c>
      <c r="E2407" s="10">
        <v>3</v>
      </c>
      <c r="F2407" s="10" t="s">
        <v>693</v>
      </c>
      <c r="G2407" s="10" t="s">
        <v>696</v>
      </c>
      <c r="H2407" s="10" t="str" cm="1">
        <f t="array" aca="1" ref="H2407" ca="1">IF(INDEX(I2407:Z2407,$H$1)=0,"",INDEX(I2407:Z2407,$H$1))</f>
        <v>At Standard T</v>
      </c>
      <c r="I2407" s="10" t="s">
        <v>647</v>
      </c>
      <c r="J2407" s="10" t="s">
        <v>1063</v>
      </c>
      <c r="K2407" s="27" t="s">
        <v>1770</v>
      </c>
    </row>
    <row r="2408" spans="1:11" x14ac:dyDescent="0.35">
      <c r="A2408" s="10" t="s">
        <v>1026</v>
      </c>
      <c r="B2408" s="255">
        <v>11</v>
      </c>
      <c r="C2408" s="10" t="s">
        <v>1027</v>
      </c>
      <c r="D2408" s="10">
        <v>1</v>
      </c>
      <c r="E2408" s="10">
        <v>3</v>
      </c>
      <c r="F2408" s="10" t="s">
        <v>694</v>
      </c>
      <c r="G2408" s="10" t="s">
        <v>696</v>
      </c>
      <c r="H2408" s="10" t="str" cm="1">
        <f t="array" aca="1" ref="H2408" ca="1">IF(INDEX(I2408:Z2408,$H$1)=0,"",INDEX(I2408:Z2408,$H$1))</f>
        <v>At 15°C</v>
      </c>
      <c r="I2408" s="10" t="s">
        <v>1028</v>
      </c>
      <c r="J2408" s="6" t="s">
        <v>1064</v>
      </c>
      <c r="K2408" s="27" t="s">
        <v>1769</v>
      </c>
    </row>
    <row r="2409" spans="1:11" x14ac:dyDescent="0.35">
      <c r="A2409" s="10" t="s">
        <v>1026</v>
      </c>
      <c r="B2409" s="255">
        <v>11</v>
      </c>
      <c r="C2409" s="10" t="s">
        <v>1027</v>
      </c>
      <c r="D2409" s="10">
        <v>1</v>
      </c>
      <c r="E2409" s="10">
        <v>3</v>
      </c>
      <c r="F2409" s="10" t="s">
        <v>591</v>
      </c>
      <c r="G2409" s="10" t="s">
        <v>696</v>
      </c>
      <c r="H2409" s="10" t="str" cm="1">
        <f t="array" aca="1" ref="H2409" ca="1">IF(INDEX(I2409:Z2409,$H$1)=0,"",INDEX(I2409:Z2409,$H$1))</f>
        <v>Ideal Gas</v>
      </c>
      <c r="I2409" s="10" t="s">
        <v>639</v>
      </c>
      <c r="J2409" s="10" t="s">
        <v>1056</v>
      </c>
      <c r="K2409" s="27" t="s">
        <v>1771</v>
      </c>
    </row>
    <row r="2410" spans="1:11" x14ac:dyDescent="0.35">
      <c r="A2410" s="10" t="s">
        <v>1026</v>
      </c>
      <c r="B2410" s="255">
        <v>11</v>
      </c>
      <c r="C2410" s="10" t="s">
        <v>1027</v>
      </c>
      <c r="D2410" s="10">
        <v>1</v>
      </c>
      <c r="E2410" s="10">
        <v>3</v>
      </c>
      <c r="F2410" s="10" t="s">
        <v>713</v>
      </c>
      <c r="G2410" s="10" t="s">
        <v>696</v>
      </c>
      <c r="H2410" s="10" t="str" cm="1">
        <f t="array" aca="1" ref="H2410" ca="1">IF(INDEX(I2410:Z2410,$H$1)=0,"",INDEX(I2410:Z2410,$H$1))</f>
        <v>Liquid</v>
      </c>
      <c r="I2410" s="10" t="s">
        <v>640</v>
      </c>
      <c r="J2410" s="10" t="s">
        <v>1055</v>
      </c>
      <c r="K2410" s="27" t="s">
        <v>1772</v>
      </c>
    </row>
    <row r="2411" spans="1:11" x14ac:dyDescent="0.35">
      <c r="A2411" s="10" t="s">
        <v>1026</v>
      </c>
      <c r="B2411" s="255">
        <v>11</v>
      </c>
      <c r="C2411" s="10" t="s">
        <v>1027</v>
      </c>
      <c r="D2411" s="10">
        <v>1</v>
      </c>
      <c r="E2411" s="10">
        <v>3</v>
      </c>
      <c r="F2411" s="10" t="s">
        <v>772</v>
      </c>
      <c r="G2411" s="10" t="s">
        <v>696</v>
      </c>
      <c r="H2411" s="10" t="str" cm="1">
        <f t="array" aca="1" ref="H2411" ca="1">IF(INDEX(I2411:Z2411,$H$1)=0,"",INDEX(I2411:Z2411,$H$1))</f>
        <v>At 15°C</v>
      </c>
      <c r="I2411" s="10" t="s">
        <v>1028</v>
      </c>
      <c r="J2411" s="6" t="s">
        <v>1064</v>
      </c>
      <c r="K2411" s="27" t="s">
        <v>1769</v>
      </c>
    </row>
    <row r="2412" spans="1:11" x14ac:dyDescent="0.35">
      <c r="A2412" s="10" t="s">
        <v>1026</v>
      </c>
      <c r="B2412" s="255">
        <v>11</v>
      </c>
      <c r="C2412" s="10" t="s">
        <v>1027</v>
      </c>
      <c r="D2412" s="10">
        <v>1</v>
      </c>
      <c r="E2412" s="10">
        <v>3</v>
      </c>
      <c r="F2412" s="10" t="s">
        <v>771</v>
      </c>
      <c r="G2412" s="10" t="s">
        <v>696</v>
      </c>
      <c r="H2412" s="10" t="str" cm="1">
        <f t="array" aca="1" ref="H2412" ca="1">IF(INDEX(I2412:Z2412,$H$1)=0,"",INDEX(I2412:Z2412,$H$1))</f>
        <v>At Standard T</v>
      </c>
      <c r="I2412" s="10" t="s">
        <v>647</v>
      </c>
      <c r="J2412" s="10" t="s">
        <v>1063</v>
      </c>
      <c r="K2412" s="27" t="s">
        <v>1770</v>
      </c>
    </row>
    <row r="2413" spans="1:11" x14ac:dyDescent="0.35">
      <c r="A2413" s="10" t="s">
        <v>1026</v>
      </c>
      <c r="B2413" s="255">
        <v>11</v>
      </c>
      <c r="C2413" s="10" t="s">
        <v>1027</v>
      </c>
      <c r="D2413" s="10">
        <v>1</v>
      </c>
      <c r="E2413" s="10">
        <v>3</v>
      </c>
      <c r="F2413" s="10" t="s">
        <v>594</v>
      </c>
      <c r="G2413" s="10" t="s">
        <v>696</v>
      </c>
      <c r="H2413" s="10" t="str" cm="1">
        <f t="array" aca="1" ref="H2413" ca="1">IF(INDEX(I2413:Z2413,$H$1)=0,"",INDEX(I2413:Z2413,$H$1))</f>
        <v>At 15°C</v>
      </c>
      <c r="I2413" s="10" t="s">
        <v>1028</v>
      </c>
      <c r="J2413" s="6" t="s">
        <v>1064</v>
      </c>
      <c r="K2413" s="27" t="s">
        <v>1769</v>
      </c>
    </row>
    <row r="2414" spans="1:11" x14ac:dyDescent="0.35">
      <c r="A2414" s="10" t="s">
        <v>1026</v>
      </c>
      <c r="B2414" s="255">
        <v>11</v>
      </c>
      <c r="C2414" s="10" t="s">
        <v>1027</v>
      </c>
      <c r="D2414" s="10">
        <v>1</v>
      </c>
      <c r="E2414" s="10">
        <v>3</v>
      </c>
      <c r="F2414" s="10" t="s">
        <v>777</v>
      </c>
      <c r="G2414" s="10" t="s">
        <v>696</v>
      </c>
      <c r="H2414" s="10" t="str" cm="1">
        <f t="array" aca="1" ref="H2414" ca="1">IF(INDEX(I2414:Z2414,$H$1)=0,"",INDEX(I2414:Z2414,$H$1))</f>
        <v>At Standard T</v>
      </c>
      <c r="I2414" s="10" t="s">
        <v>647</v>
      </c>
      <c r="J2414" s="10" t="s">
        <v>1063</v>
      </c>
      <c r="K2414" s="27" t="s">
        <v>1770</v>
      </c>
    </row>
    <row r="2415" spans="1:11" x14ac:dyDescent="0.35">
      <c r="A2415" s="10" t="s">
        <v>1026</v>
      </c>
      <c r="B2415" s="255">
        <v>11</v>
      </c>
      <c r="C2415" s="10" t="s">
        <v>1027</v>
      </c>
      <c r="D2415" s="10">
        <v>1</v>
      </c>
      <c r="E2415" s="10">
        <v>3</v>
      </c>
      <c r="F2415" s="10" t="s">
        <v>592</v>
      </c>
      <c r="G2415" s="10" t="s">
        <v>696</v>
      </c>
      <c r="H2415" s="10" t="str" cm="1">
        <f t="array" aca="1" ref="H2415" ca="1">IF(INDEX(I2415:Z2415,$H$1)=0,"",INDEX(I2415:Z2415,$H$1))</f>
        <v>C</v>
      </c>
      <c r="I2415" s="2" t="s">
        <v>38</v>
      </c>
      <c r="J2415" s="2" t="s">
        <v>1246</v>
      </c>
      <c r="K2415" s="27" t="s">
        <v>38</v>
      </c>
    </row>
    <row r="2416" spans="1:11" x14ac:dyDescent="0.35">
      <c r="A2416" s="10" t="s">
        <v>1026</v>
      </c>
      <c r="B2416" s="255">
        <v>11</v>
      </c>
      <c r="C2416" s="10" t="s">
        <v>1027</v>
      </c>
      <c r="D2416" s="10">
        <v>1</v>
      </c>
      <c r="E2416" s="10">
        <v>3</v>
      </c>
      <c r="F2416" s="10" t="s">
        <v>816</v>
      </c>
      <c r="G2416" s="10" t="s">
        <v>696</v>
      </c>
      <c r="H2416" s="10" t="str" cm="1">
        <f t="array" aca="1" ref="H2416" ca="1">IF(INDEX(I2416:Z2416,$H$1)=0,"",INDEX(I2416:Z2416,$H$1))</f>
        <v>H</v>
      </c>
      <c r="I2416" s="10" t="s">
        <v>591</v>
      </c>
      <c r="J2416" s="10" t="s">
        <v>1247</v>
      </c>
      <c r="K2416" s="27" t="s">
        <v>591</v>
      </c>
    </row>
    <row r="2417" spans="1:11" x14ac:dyDescent="0.35">
      <c r="A2417" s="10" t="s">
        <v>1026</v>
      </c>
      <c r="B2417" s="255">
        <v>11</v>
      </c>
      <c r="C2417" s="10" t="s">
        <v>1027</v>
      </c>
      <c r="D2417" s="10">
        <v>1</v>
      </c>
      <c r="E2417" s="10">
        <v>3</v>
      </c>
      <c r="F2417" s="10" t="s">
        <v>817</v>
      </c>
      <c r="G2417" s="10" t="s">
        <v>696</v>
      </c>
      <c r="H2417" s="10" t="str" cm="1">
        <f t="array" aca="1" ref="H2417" ca="1">IF(INDEX(I2417:Z2417,$H$1)=0,"",INDEX(I2417:Z2417,$H$1))</f>
        <v>S</v>
      </c>
      <c r="I2417" s="10" t="s">
        <v>592</v>
      </c>
      <c r="J2417" s="10" t="s">
        <v>592</v>
      </c>
      <c r="K2417" s="10" t="s">
        <v>592</v>
      </c>
    </row>
    <row r="2418" spans="1:11" x14ac:dyDescent="0.35">
      <c r="A2418" s="10" t="s">
        <v>1026</v>
      </c>
      <c r="B2418" s="255">
        <v>11</v>
      </c>
      <c r="C2418" s="10" t="s">
        <v>1027</v>
      </c>
      <c r="D2418" s="10">
        <v>1</v>
      </c>
      <c r="E2418" s="10">
        <v>3</v>
      </c>
      <c r="F2418" s="10" t="s">
        <v>390</v>
      </c>
      <c r="G2418" s="10" t="s">
        <v>696</v>
      </c>
      <c r="H2418" s="10" t="str" cm="1">
        <f t="array" aca="1" ref="H2418" ca="1">IF(INDEX(I2418:Z2418,$H$1)=0,"",INDEX(I2418:Z2418,$H$1))</f>
        <v>N</v>
      </c>
      <c r="I2418" s="10" t="s">
        <v>593</v>
      </c>
      <c r="J2418" s="10" t="s">
        <v>593</v>
      </c>
      <c r="K2418" s="10" t="s">
        <v>593</v>
      </c>
    </row>
    <row r="2419" spans="1:11" x14ac:dyDescent="0.35">
      <c r="A2419" s="10" t="s">
        <v>1026</v>
      </c>
      <c r="B2419" s="255">
        <v>11</v>
      </c>
      <c r="C2419" s="10" t="s">
        <v>1027</v>
      </c>
      <c r="D2419" s="10">
        <v>1</v>
      </c>
      <c r="E2419" s="10">
        <v>3</v>
      </c>
      <c r="F2419" s="10" t="s">
        <v>818</v>
      </c>
      <c r="G2419" s="10" t="s">
        <v>696</v>
      </c>
      <c r="H2419" s="10" t="str" cm="1">
        <f t="array" aca="1" ref="H2419" ca="1">IF(INDEX(I2419:Z2419,$H$1)=0,"",INDEX(I2419:Z2419,$H$1))</f>
        <v>O</v>
      </c>
      <c r="I2419" s="10" t="s">
        <v>594</v>
      </c>
      <c r="J2419" s="10" t="s">
        <v>594</v>
      </c>
      <c r="K2419" s="10" t="s">
        <v>594</v>
      </c>
    </row>
    <row r="2420" spans="1:11" x14ac:dyDescent="0.35">
      <c r="A2420" s="10" t="s">
        <v>1026</v>
      </c>
      <c r="B2420" s="255">
        <v>11</v>
      </c>
      <c r="C2420" s="10" t="s">
        <v>1027</v>
      </c>
      <c r="D2420" s="10">
        <v>1</v>
      </c>
      <c r="E2420" s="10">
        <v>3</v>
      </c>
      <c r="F2420" s="10" t="s">
        <v>819</v>
      </c>
      <c r="G2420" s="10" t="s">
        <v>696</v>
      </c>
      <c r="H2420" s="10" t="str" cm="1">
        <f t="array" aca="1" ref="H2420" ca="1">IF(INDEX(I2420:Z2420,$H$1)=0,"",INDEX(I2420:Z2420,$H$1))</f>
        <v>(tonnes/10^3 Nm3)</v>
      </c>
      <c r="I2420" s="10" t="s">
        <v>2306</v>
      </c>
      <c r="J2420" s="10" t="s">
        <v>2307</v>
      </c>
      <c r="K2420" s="27" t="s">
        <v>2308</v>
      </c>
    </row>
    <row r="2421" spans="1:11" x14ac:dyDescent="0.35">
      <c r="A2421" s="10" t="s">
        <v>1026</v>
      </c>
      <c r="B2421" s="255">
        <v>11</v>
      </c>
      <c r="C2421" s="10" t="s">
        <v>1027</v>
      </c>
      <c r="D2421" s="10">
        <v>1</v>
      </c>
      <c r="E2421" s="10">
        <v>3</v>
      </c>
      <c r="F2421" s="10" t="s">
        <v>820</v>
      </c>
      <c r="G2421" s="10" t="s">
        <v>696</v>
      </c>
      <c r="H2421" s="10" t="str" cm="1">
        <f t="array" aca="1" ref="H2421" ca="1">IF(INDEX(I2421:Z2421,$H$1)=0,"",INDEX(I2421:Z2421,$H$1))</f>
        <v>kg/kg</v>
      </c>
      <c r="I2421" s="10" t="s">
        <v>634</v>
      </c>
      <c r="J2421" s="10" t="s">
        <v>634</v>
      </c>
      <c r="K2421" s="27" t="s">
        <v>634</v>
      </c>
    </row>
    <row r="2422" spans="1:11" x14ac:dyDescent="0.35">
      <c r="A2422" s="10" t="s">
        <v>1026</v>
      </c>
      <c r="B2422" s="255">
        <v>11</v>
      </c>
      <c r="C2422" s="10" t="s">
        <v>1027</v>
      </c>
      <c r="D2422" s="10">
        <v>1</v>
      </c>
      <c r="E2422" s="10">
        <v>4</v>
      </c>
      <c r="F2422" s="10" t="s">
        <v>692</v>
      </c>
      <c r="G2422" s="10" t="s">
        <v>696</v>
      </c>
      <c r="H2422" s="10" t="str" cm="1">
        <f t="array" aca="1" ref="H2422" ca="1">IF(INDEX(I2422:Z2422,$H$1)=0,"",INDEX(I2422:Z2422,$H$1))</f>
        <v>(kg/m3)</v>
      </c>
      <c r="I2422" s="10" t="s">
        <v>61</v>
      </c>
      <c r="J2422" s="10" t="s">
        <v>61</v>
      </c>
      <c r="K2422" s="27" t="s">
        <v>61</v>
      </c>
    </row>
    <row r="2423" spans="1:11" x14ac:dyDescent="0.35">
      <c r="A2423" s="10" t="s">
        <v>1026</v>
      </c>
      <c r="B2423" s="255">
        <v>11</v>
      </c>
      <c r="C2423" s="10" t="s">
        <v>1027</v>
      </c>
      <c r="D2423" s="10">
        <v>1</v>
      </c>
      <c r="E2423" s="10">
        <v>4</v>
      </c>
      <c r="F2423" s="10" t="s">
        <v>693</v>
      </c>
      <c r="G2423" s="10" t="s">
        <v>696</v>
      </c>
      <c r="H2423" s="10" t="str" cm="1">
        <f t="array" aca="1" ref="H2423" ca="1">IF(INDEX(I2423:Z2423,$H$1)=0,"",INDEX(I2423:Z2423,$H$1))</f>
        <v>(kg/m3)</v>
      </c>
      <c r="I2423" s="10" t="s">
        <v>61</v>
      </c>
      <c r="J2423" s="10" t="s">
        <v>61</v>
      </c>
      <c r="K2423" s="27" t="s">
        <v>61</v>
      </c>
    </row>
    <row r="2424" spans="1:11" x14ac:dyDescent="0.35">
      <c r="A2424" s="10" t="s">
        <v>1026</v>
      </c>
      <c r="B2424" s="255">
        <v>11</v>
      </c>
      <c r="C2424" s="10" t="s">
        <v>1027</v>
      </c>
      <c r="D2424" s="10">
        <v>1</v>
      </c>
      <c r="E2424" s="10">
        <v>4</v>
      </c>
      <c r="F2424" s="10" t="s">
        <v>694</v>
      </c>
      <c r="G2424" s="10" t="s">
        <v>696</v>
      </c>
      <c r="H2424" s="10" t="str" cm="1">
        <f t="array" aca="1" ref="H2424" ca="1">IF(INDEX(I2424:Z2424,$H$1)=0,"",INDEX(I2424:Z2424,$H$1))</f>
        <v>(kg/m3)</v>
      </c>
      <c r="I2424" s="10" t="s">
        <v>61</v>
      </c>
      <c r="J2424" s="10" t="s">
        <v>61</v>
      </c>
      <c r="K2424" s="27" t="s">
        <v>61</v>
      </c>
    </row>
    <row r="2425" spans="1:11" x14ac:dyDescent="0.35">
      <c r="A2425" s="10" t="s">
        <v>1026</v>
      </c>
      <c r="B2425" s="255">
        <v>11</v>
      </c>
      <c r="C2425" s="10" t="s">
        <v>1027</v>
      </c>
      <c r="D2425" s="10">
        <v>1</v>
      </c>
      <c r="E2425" s="10">
        <v>4</v>
      </c>
      <c r="F2425" s="10" t="s">
        <v>711</v>
      </c>
      <c r="G2425" s="10" t="s">
        <v>696</v>
      </c>
      <c r="H2425" s="10" t="str" cm="1">
        <f t="array" aca="1" ref="H2425" ca="1">IF(INDEX(I2425:Z2425,$H$1)=0,"",INDEX(I2425:Z2425,$H$1))</f>
        <v>(Nm3/kmol)</v>
      </c>
      <c r="I2425" s="10" t="s">
        <v>1090</v>
      </c>
      <c r="J2425" s="10" t="s">
        <v>1090</v>
      </c>
      <c r="K2425" s="27" t="s">
        <v>1090</v>
      </c>
    </row>
    <row r="2426" spans="1:11" x14ac:dyDescent="0.35">
      <c r="A2426" s="10" t="s">
        <v>1026</v>
      </c>
      <c r="B2426" s="255">
        <v>11</v>
      </c>
      <c r="C2426" s="10" t="s">
        <v>1027</v>
      </c>
      <c r="D2426" s="10">
        <v>1</v>
      </c>
      <c r="E2426" s="10">
        <v>4</v>
      </c>
      <c r="F2426" s="10" t="s">
        <v>591</v>
      </c>
      <c r="G2426" s="10" t="s">
        <v>696</v>
      </c>
      <c r="H2426" s="10" t="str" cm="1">
        <f t="array" aca="1" ref="H2426" ca="1">IF(INDEX(I2426:Z2426,$H$1)=0,"",INDEX(I2426:Z2426,$H$1))</f>
        <v>(kJ/(kg·°C)</v>
      </c>
      <c r="I2426" s="10" t="s">
        <v>1029</v>
      </c>
      <c r="J2426" s="10" t="s">
        <v>1029</v>
      </c>
      <c r="K2426" s="27" t="s">
        <v>1773</v>
      </c>
    </row>
    <row r="2427" spans="1:11" x14ac:dyDescent="0.35">
      <c r="A2427" s="10" t="s">
        <v>1026</v>
      </c>
      <c r="B2427" s="255">
        <v>11</v>
      </c>
      <c r="C2427" s="10" t="s">
        <v>1027</v>
      </c>
      <c r="D2427" s="10">
        <v>1</v>
      </c>
      <c r="E2427" s="10">
        <v>4</v>
      </c>
      <c r="F2427" s="10" t="s">
        <v>712</v>
      </c>
      <c r="G2427" s="10" t="s">
        <v>696</v>
      </c>
      <c r="H2427" s="10" t="str" cm="1">
        <f t="array" aca="1" ref="H2427" ca="1">IF(INDEX(I2427:Z2427,$H$1)=0,"",INDEX(I2427:Z2427,$H$1))</f>
        <v>(kJ/kmol·°C)</v>
      </c>
      <c r="I2427" s="10" t="s">
        <v>1030</v>
      </c>
      <c r="J2427" s="10" t="s">
        <v>1030</v>
      </c>
      <c r="K2427" s="10" t="s">
        <v>1030</v>
      </c>
    </row>
    <row r="2428" spans="1:11" x14ac:dyDescent="0.35">
      <c r="A2428" s="10" t="s">
        <v>1026</v>
      </c>
      <c r="B2428" s="255">
        <v>11</v>
      </c>
      <c r="C2428" s="10" t="s">
        <v>1027</v>
      </c>
      <c r="D2428" s="10">
        <v>1</v>
      </c>
      <c r="E2428" s="10">
        <v>4</v>
      </c>
      <c r="F2428" s="10" t="s">
        <v>713</v>
      </c>
      <c r="G2428" s="10" t="s">
        <v>696</v>
      </c>
      <c r="H2428" s="10" t="str" cm="1">
        <f t="array" aca="1" ref="H2428" ca="1">IF(INDEX(I2428:Z2428,$H$1)=0,"",INDEX(I2428:Z2428,$H$1))</f>
        <v>(kJ/(kg·°C)</v>
      </c>
      <c r="I2428" s="10" t="s">
        <v>1029</v>
      </c>
      <c r="J2428" s="10" t="s">
        <v>1029</v>
      </c>
      <c r="K2428" s="10" t="s">
        <v>1029</v>
      </c>
    </row>
    <row r="2429" spans="1:11" x14ac:dyDescent="0.35">
      <c r="A2429" s="10" t="s">
        <v>1026</v>
      </c>
      <c r="B2429" s="255">
        <v>11</v>
      </c>
      <c r="C2429" s="10" t="s">
        <v>1027</v>
      </c>
      <c r="D2429" s="10">
        <v>1</v>
      </c>
      <c r="E2429" s="10">
        <v>4</v>
      </c>
      <c r="F2429" s="10" t="s">
        <v>772</v>
      </c>
      <c r="G2429" s="10" t="s">
        <v>696</v>
      </c>
      <c r="H2429" s="10" t="str" cm="1">
        <f t="array" aca="1" ref="H2429" ca="1">IF(INDEX(I2429:Z2429,$H$1)=0,"",INDEX(I2429:Z2429,$H$1))</f>
        <v>(MJ/m3)</v>
      </c>
      <c r="I2429" s="10" t="s">
        <v>590</v>
      </c>
      <c r="J2429" s="10" t="s">
        <v>590</v>
      </c>
      <c r="K2429" s="10" t="s">
        <v>590</v>
      </c>
    </row>
    <row r="2430" spans="1:11" x14ac:dyDescent="0.35">
      <c r="A2430" s="10" t="s">
        <v>1026</v>
      </c>
      <c r="B2430" s="255">
        <v>11</v>
      </c>
      <c r="C2430" s="10" t="s">
        <v>1027</v>
      </c>
      <c r="D2430" s="10">
        <v>1</v>
      </c>
      <c r="E2430" s="10">
        <v>4</v>
      </c>
      <c r="F2430" s="10" t="s">
        <v>773</v>
      </c>
      <c r="G2430" s="10" t="s">
        <v>696</v>
      </c>
      <c r="H2430" s="10" t="str" cm="1">
        <f t="array" aca="1" ref="H2430" ca="1">IF(INDEX(I2430:Z2430,$H$1)=0,"",INDEX(I2430:Z2430,$H$1))</f>
        <v>(MJ/kmol)</v>
      </c>
      <c r="I2430" s="10" t="s">
        <v>648</v>
      </c>
      <c r="J2430" s="10" t="s">
        <v>648</v>
      </c>
      <c r="K2430" s="10" t="s">
        <v>648</v>
      </c>
    </row>
    <row r="2431" spans="1:11" x14ac:dyDescent="0.35">
      <c r="A2431" s="10" t="s">
        <v>1026</v>
      </c>
      <c r="B2431" s="255">
        <v>11</v>
      </c>
      <c r="C2431" s="10" t="s">
        <v>1027</v>
      </c>
      <c r="D2431" s="10">
        <v>1</v>
      </c>
      <c r="E2431" s="10">
        <v>4</v>
      </c>
      <c r="F2431" s="10" t="s">
        <v>771</v>
      </c>
      <c r="G2431" s="10" t="s">
        <v>696</v>
      </c>
      <c r="H2431" s="10" t="str" cm="1">
        <f t="array" aca="1" ref="H2431" ca="1">IF(INDEX(I2431:Z2431,$H$1)=0,"",INDEX(I2431:Z2431,$H$1))</f>
        <v>(MJ/kmol)</v>
      </c>
      <c r="I2431" s="10" t="s">
        <v>648</v>
      </c>
      <c r="J2431" s="10" t="s">
        <v>648</v>
      </c>
      <c r="K2431" s="10" t="s">
        <v>648</v>
      </c>
    </row>
    <row r="2432" spans="1:11" x14ac:dyDescent="0.35">
      <c r="A2432" s="10" t="s">
        <v>1026</v>
      </c>
      <c r="B2432" s="255">
        <v>11</v>
      </c>
      <c r="C2432" s="10" t="s">
        <v>1027</v>
      </c>
      <c r="D2432" s="10">
        <v>1</v>
      </c>
      <c r="E2432" s="10">
        <v>4</v>
      </c>
      <c r="F2432" s="10" t="s">
        <v>593</v>
      </c>
      <c r="G2432" s="10" t="s">
        <v>696</v>
      </c>
      <c r="H2432" s="10" t="str" cm="1">
        <f t="array" aca="1" ref="H2432" ca="1">IF(INDEX(I2432:Z2432,$H$1)=0,"",INDEX(I2432:Z2432,$H$1))</f>
        <v>(GJ/10^3 Nm3)</v>
      </c>
      <c r="I2432" s="10" t="s">
        <v>2309</v>
      </c>
      <c r="J2432" s="10" t="s">
        <v>2309</v>
      </c>
      <c r="K2432" s="10" t="s">
        <v>2309</v>
      </c>
    </row>
    <row r="2433" spans="1:11" x14ac:dyDescent="0.35">
      <c r="A2433" s="10" t="s">
        <v>1026</v>
      </c>
      <c r="B2433" s="255">
        <v>11</v>
      </c>
      <c r="C2433" s="10" t="s">
        <v>1027</v>
      </c>
      <c r="D2433" s="10">
        <v>1</v>
      </c>
      <c r="E2433" s="10">
        <v>4</v>
      </c>
      <c r="F2433" s="10" t="s">
        <v>594</v>
      </c>
      <c r="G2433" s="10" t="s">
        <v>696</v>
      </c>
      <c r="H2433" s="10" t="str" cm="1">
        <f t="array" aca="1" ref="H2433" ca="1">IF(INDEX(I2433:Z2433,$H$1)=0,"",INDEX(I2433:Z2433,$H$1))</f>
        <v>(MJ/m3)</v>
      </c>
      <c r="I2433" s="10" t="s">
        <v>590</v>
      </c>
      <c r="J2433" s="10" t="s">
        <v>590</v>
      </c>
      <c r="K2433" s="10" t="s">
        <v>590</v>
      </c>
    </row>
    <row r="2434" spans="1:11" x14ac:dyDescent="0.35">
      <c r="A2434" s="10" t="s">
        <v>1026</v>
      </c>
      <c r="B2434" s="255">
        <v>11</v>
      </c>
      <c r="C2434" s="10" t="s">
        <v>1027</v>
      </c>
      <c r="D2434" s="10">
        <v>1</v>
      </c>
      <c r="E2434" s="10">
        <v>4</v>
      </c>
      <c r="F2434" s="10" t="s">
        <v>775</v>
      </c>
      <c r="G2434" s="10" t="s">
        <v>696</v>
      </c>
      <c r="H2434" s="10" t="str" cm="1">
        <f t="array" aca="1" ref="H2434" ca="1">IF(INDEX(I2434:Z2434,$H$1)=0,"",INDEX(I2434:Z2434,$H$1))</f>
        <v>(MJ/kmol)</v>
      </c>
      <c r="I2434" s="10" t="s">
        <v>648</v>
      </c>
      <c r="J2434" s="10" t="s">
        <v>648</v>
      </c>
      <c r="K2434" s="10" t="s">
        <v>648</v>
      </c>
    </row>
    <row r="2435" spans="1:11" x14ac:dyDescent="0.35">
      <c r="A2435" s="10" t="s">
        <v>1026</v>
      </c>
      <c r="B2435" s="255">
        <v>11</v>
      </c>
      <c r="C2435" s="10" t="s">
        <v>1027</v>
      </c>
      <c r="D2435" s="10">
        <v>1</v>
      </c>
      <c r="E2435" s="10">
        <v>4</v>
      </c>
      <c r="F2435" s="10" t="s">
        <v>777</v>
      </c>
      <c r="G2435" s="10" t="s">
        <v>696</v>
      </c>
      <c r="H2435" s="10" t="str" cm="1">
        <f t="array" aca="1" ref="H2435" ca="1">IF(INDEX(I2435:Z2435,$H$1)=0,"",INDEX(I2435:Z2435,$H$1))</f>
        <v>(MJ/kmol)</v>
      </c>
      <c r="I2435" s="10" t="s">
        <v>648</v>
      </c>
      <c r="J2435" s="10" t="s">
        <v>648</v>
      </c>
      <c r="K2435" s="10" t="s">
        <v>648</v>
      </c>
    </row>
    <row r="2436" spans="1:11" x14ac:dyDescent="0.35">
      <c r="A2436" s="10" t="s">
        <v>1026</v>
      </c>
      <c r="B2436" s="255">
        <v>11</v>
      </c>
      <c r="C2436" s="10" t="s">
        <v>1027</v>
      </c>
      <c r="D2436" s="10">
        <v>1</v>
      </c>
      <c r="E2436" s="10">
        <v>4</v>
      </c>
      <c r="F2436" s="10" t="s">
        <v>718</v>
      </c>
      <c r="G2436" s="10" t="s">
        <v>696</v>
      </c>
      <c r="H2436" s="10" t="str" cm="1">
        <f t="array" aca="1" ref="H2436" ca="1">IF(INDEX(I2436:Z2436,$H$1)=0,"",INDEX(I2436:Z2436,$H$1))</f>
        <v>(GJ/10^3 m3)</v>
      </c>
      <c r="I2436" s="10" t="s">
        <v>2310</v>
      </c>
      <c r="J2436" s="10" t="s">
        <v>2310</v>
      </c>
      <c r="K2436" s="10" t="s">
        <v>2310</v>
      </c>
    </row>
    <row r="2437" spans="1:11" x14ac:dyDescent="0.35">
      <c r="A2437" s="10" t="s">
        <v>1026</v>
      </c>
      <c r="B2437" s="255">
        <v>11</v>
      </c>
      <c r="C2437" s="10" t="s">
        <v>1027</v>
      </c>
      <c r="D2437" s="10">
        <v>1</v>
      </c>
      <c r="E2437" s="10">
        <v>5</v>
      </c>
      <c r="F2437" s="10" t="s">
        <v>687</v>
      </c>
      <c r="G2437" s="10" t="s">
        <v>696</v>
      </c>
      <c r="H2437" s="10" t="str" cm="1">
        <f t="array" aca="1" ref="H2437" ca="1">IF(INDEX(I2437:Z2437,$H$1)=0,"",INDEX(I2437:Z2437,$H$1))</f>
        <v>Methane</v>
      </c>
      <c r="I2437" s="10" t="s">
        <v>59</v>
      </c>
      <c r="J2437" s="10" t="s">
        <v>1037</v>
      </c>
      <c r="K2437" s="27" t="s">
        <v>1774</v>
      </c>
    </row>
    <row r="2438" spans="1:11" x14ac:dyDescent="0.35">
      <c r="A2438" s="10" t="s">
        <v>1026</v>
      </c>
      <c r="B2438" s="255">
        <v>11</v>
      </c>
      <c r="C2438" s="10" t="s">
        <v>1027</v>
      </c>
      <c r="D2438" s="10">
        <v>1</v>
      </c>
      <c r="E2438" s="10">
        <v>6</v>
      </c>
      <c r="F2438" s="10" t="s">
        <v>687</v>
      </c>
      <c r="G2438" s="10" t="s">
        <v>695</v>
      </c>
      <c r="H2438" s="10" t="str" cm="1">
        <f t="array" aca="1" ref="H2438" ca="1">IF(INDEX(I2438:Z2438,$H$1)=0,"",INDEX(I2438:Z2438,$H$1))</f>
        <v>Ethane</v>
      </c>
      <c r="I2438" s="10" t="s">
        <v>542</v>
      </c>
      <c r="J2438" s="10" t="s">
        <v>1038</v>
      </c>
      <c r="K2438" s="27" t="s">
        <v>1775</v>
      </c>
    </row>
    <row r="2439" spans="1:11" x14ac:dyDescent="0.35">
      <c r="A2439" s="10" t="s">
        <v>1026</v>
      </c>
      <c r="B2439" s="255">
        <v>11</v>
      </c>
      <c r="C2439" s="10" t="s">
        <v>1027</v>
      </c>
      <c r="D2439" s="10">
        <v>1</v>
      </c>
      <c r="E2439" s="10">
        <v>7</v>
      </c>
      <c r="F2439" s="10" t="s">
        <v>687</v>
      </c>
      <c r="G2439" s="10" t="s">
        <v>695</v>
      </c>
      <c r="H2439" s="10" t="str" cm="1">
        <f t="array" aca="1" ref="H2439" ca="1">IF(INDEX(I2439:Z2439,$H$1)=0,"",INDEX(I2439:Z2439,$H$1))</f>
        <v>Propane</v>
      </c>
      <c r="I2439" s="10" t="s">
        <v>543</v>
      </c>
      <c r="J2439" s="10" t="s">
        <v>1039</v>
      </c>
      <c r="K2439" s="27" t="s">
        <v>1776</v>
      </c>
    </row>
    <row r="2440" spans="1:11" x14ac:dyDescent="0.35">
      <c r="A2440" s="10" t="s">
        <v>1026</v>
      </c>
      <c r="B2440" s="255">
        <v>11</v>
      </c>
      <c r="C2440" s="10" t="s">
        <v>1027</v>
      </c>
      <c r="D2440" s="10">
        <v>1</v>
      </c>
      <c r="E2440" s="10">
        <v>8</v>
      </c>
      <c r="F2440" s="10" t="s">
        <v>687</v>
      </c>
      <c r="G2440" s="10" t="s">
        <v>695</v>
      </c>
      <c r="H2440" s="10" t="str" cm="1">
        <f t="array" aca="1" ref="H2440" ca="1">IF(INDEX(I2440:Z2440,$H$1)=0,"",INDEX(I2440:Z2440,$H$1))</f>
        <v>iso-Butane</v>
      </c>
      <c r="I2440" s="10" t="s">
        <v>544</v>
      </c>
      <c r="J2440" s="10" t="s">
        <v>1040</v>
      </c>
      <c r="K2440" s="27" t="s">
        <v>1777</v>
      </c>
    </row>
    <row r="2441" spans="1:11" x14ac:dyDescent="0.35">
      <c r="A2441" s="10" t="s">
        <v>1026</v>
      </c>
      <c r="B2441" s="255">
        <v>11</v>
      </c>
      <c r="C2441" s="10" t="s">
        <v>1027</v>
      </c>
      <c r="D2441" s="10">
        <v>1</v>
      </c>
      <c r="E2441" s="10">
        <v>9</v>
      </c>
      <c r="F2441" s="10" t="s">
        <v>687</v>
      </c>
      <c r="G2441" s="10" t="s">
        <v>695</v>
      </c>
      <c r="H2441" s="10" t="str" cm="1">
        <f t="array" aca="1" ref="H2441" ca="1">IF(INDEX(I2441:Z2441,$H$1)=0,"",INDEX(I2441:Z2441,$H$1))</f>
        <v>n-Butane</v>
      </c>
      <c r="I2441" s="10" t="s">
        <v>1325</v>
      </c>
      <c r="J2441" s="10" t="s">
        <v>1041</v>
      </c>
      <c r="K2441" s="27" t="s">
        <v>1778</v>
      </c>
    </row>
    <row r="2442" spans="1:11" x14ac:dyDescent="0.35">
      <c r="A2442" s="10" t="s">
        <v>1026</v>
      </c>
      <c r="B2442" s="255">
        <v>11</v>
      </c>
      <c r="C2442" s="10" t="s">
        <v>1027</v>
      </c>
      <c r="D2442" s="10">
        <v>1</v>
      </c>
      <c r="E2442" s="10">
        <v>10</v>
      </c>
      <c r="F2442" s="10" t="s">
        <v>687</v>
      </c>
      <c r="G2442" s="10" t="s">
        <v>695</v>
      </c>
      <c r="H2442" s="10" t="str" cm="1">
        <f t="array" aca="1" ref="H2442" ca="1">IF(INDEX(I2442:Z2442,$H$1)=0,"",INDEX(I2442:Z2442,$H$1))</f>
        <v>iso-Pentane</v>
      </c>
      <c r="I2442" s="10" t="s">
        <v>545</v>
      </c>
      <c r="J2442" s="10" t="s">
        <v>1042</v>
      </c>
      <c r="K2442" s="27" t="s">
        <v>1779</v>
      </c>
    </row>
    <row r="2443" spans="1:11" x14ac:dyDescent="0.35">
      <c r="A2443" s="10" t="s">
        <v>1026</v>
      </c>
      <c r="B2443" s="255">
        <v>11</v>
      </c>
      <c r="C2443" s="10" t="s">
        <v>1027</v>
      </c>
      <c r="D2443" s="10">
        <v>1</v>
      </c>
      <c r="E2443" s="10">
        <v>11</v>
      </c>
      <c r="F2443" s="10" t="s">
        <v>687</v>
      </c>
      <c r="G2443" s="10" t="s">
        <v>695</v>
      </c>
      <c r="H2443" s="10" t="str" cm="1">
        <f t="array" aca="1" ref="H2443" ca="1">IF(INDEX(I2443:Z2443,$H$1)=0,"",INDEX(I2443:Z2443,$H$1))</f>
        <v>n-Pentane</v>
      </c>
      <c r="I2443" s="10" t="s">
        <v>546</v>
      </c>
      <c r="J2443" s="10" t="s">
        <v>1043</v>
      </c>
      <c r="K2443" s="27" t="s">
        <v>1780</v>
      </c>
    </row>
    <row r="2444" spans="1:11" x14ac:dyDescent="0.35">
      <c r="A2444" s="10" t="s">
        <v>1026</v>
      </c>
      <c r="B2444" s="255">
        <v>11</v>
      </c>
      <c r="C2444" s="10" t="s">
        <v>1027</v>
      </c>
      <c r="D2444" s="10">
        <v>1</v>
      </c>
      <c r="E2444" s="10">
        <v>12</v>
      </c>
      <c r="F2444" s="10" t="s">
        <v>687</v>
      </c>
      <c r="G2444" s="10" t="s">
        <v>695</v>
      </c>
      <c r="H2444" s="10" t="str" cm="1">
        <f t="array" aca="1" ref="H2444" ca="1">IF(INDEX(I2444:Z2444,$H$1)=0,"",INDEX(I2444:Z2444,$H$1))</f>
        <v>Hexane</v>
      </c>
      <c r="I2444" s="10" t="s">
        <v>547</v>
      </c>
      <c r="J2444" s="10" t="s">
        <v>1044</v>
      </c>
      <c r="K2444" s="27" t="s">
        <v>1781</v>
      </c>
    </row>
    <row r="2445" spans="1:11" x14ac:dyDescent="0.35">
      <c r="A2445" s="10" t="s">
        <v>1026</v>
      </c>
      <c r="B2445" s="255">
        <v>11</v>
      </c>
      <c r="C2445" s="10" t="s">
        <v>1027</v>
      </c>
      <c r="D2445" s="10">
        <v>1</v>
      </c>
      <c r="E2445" s="10">
        <v>13</v>
      </c>
      <c r="F2445" s="10" t="s">
        <v>687</v>
      </c>
      <c r="G2445" s="10" t="s">
        <v>695</v>
      </c>
      <c r="H2445" s="10" t="str" cm="1">
        <f t="array" aca="1" ref="H2445" ca="1">IF(INDEX(I2445:Z2445,$H$1)=0,"",INDEX(I2445:Z2445,$H$1))</f>
        <v>Heptane</v>
      </c>
      <c r="I2445" s="10" t="s">
        <v>548</v>
      </c>
      <c r="J2445" s="10" t="s">
        <v>1045</v>
      </c>
      <c r="K2445" s="27" t="s">
        <v>1782</v>
      </c>
    </row>
    <row r="2446" spans="1:11" x14ac:dyDescent="0.35">
      <c r="A2446" s="10" t="s">
        <v>1026</v>
      </c>
      <c r="B2446" s="255">
        <v>11</v>
      </c>
      <c r="C2446" s="10" t="s">
        <v>1027</v>
      </c>
      <c r="D2446" s="10">
        <v>1</v>
      </c>
      <c r="E2446" s="10">
        <v>14</v>
      </c>
      <c r="F2446" s="10" t="s">
        <v>687</v>
      </c>
      <c r="G2446" s="10" t="s">
        <v>695</v>
      </c>
      <c r="H2446" s="10" t="str" cm="1">
        <f t="array" aca="1" ref="H2446" ca="1">IF(INDEX(I2446:Z2446,$H$1)=0,"",INDEX(I2446:Z2446,$H$1))</f>
        <v>Octane</v>
      </c>
      <c r="I2446" s="10" t="s">
        <v>549</v>
      </c>
      <c r="J2446" s="10" t="s">
        <v>1046</v>
      </c>
      <c r="K2446" s="27" t="s">
        <v>1783</v>
      </c>
    </row>
    <row r="2447" spans="1:11" x14ac:dyDescent="0.35">
      <c r="A2447" s="10" t="s">
        <v>1026</v>
      </c>
      <c r="B2447" s="255">
        <v>11</v>
      </c>
      <c r="C2447" s="10" t="s">
        <v>1027</v>
      </c>
      <c r="D2447" s="10">
        <v>1</v>
      </c>
      <c r="E2447" s="10">
        <v>15</v>
      </c>
      <c r="F2447" s="10" t="s">
        <v>687</v>
      </c>
      <c r="G2447" s="10" t="s">
        <v>695</v>
      </c>
      <c r="H2447" s="10" t="str" cm="1">
        <f t="array" aca="1" ref="H2447" ca="1">IF(INDEX(I2447:Z2447,$H$1)=0,"",INDEX(I2447:Z2447,$H$1))</f>
        <v>Nonane</v>
      </c>
      <c r="I2447" s="10" t="s">
        <v>550</v>
      </c>
      <c r="J2447" s="10" t="s">
        <v>1047</v>
      </c>
      <c r="K2447" s="27" t="s">
        <v>1784</v>
      </c>
    </row>
    <row r="2448" spans="1:11" x14ac:dyDescent="0.35">
      <c r="A2448" s="10" t="s">
        <v>1026</v>
      </c>
      <c r="B2448" s="255">
        <v>11</v>
      </c>
      <c r="C2448" s="10" t="s">
        <v>1027</v>
      </c>
      <c r="D2448" s="10">
        <v>1</v>
      </c>
      <c r="E2448" s="10">
        <v>16</v>
      </c>
      <c r="F2448" s="10" t="s">
        <v>687</v>
      </c>
      <c r="G2448" s="10" t="s">
        <v>695</v>
      </c>
      <c r="H2448" s="10" t="str" cm="1">
        <f t="array" aca="1" ref="H2448" ca="1">IF(INDEX(I2448:Z2448,$H$1)=0,"",INDEX(I2448:Z2448,$H$1))</f>
        <v>Decane</v>
      </c>
      <c r="I2448" s="10" t="s">
        <v>551</v>
      </c>
      <c r="J2448" s="10" t="s">
        <v>1048</v>
      </c>
      <c r="K2448" s="27" t="s">
        <v>1785</v>
      </c>
    </row>
    <row r="2449" spans="1:12" x14ac:dyDescent="0.35">
      <c r="A2449" s="10" t="s">
        <v>1026</v>
      </c>
      <c r="B2449" s="255">
        <v>11</v>
      </c>
      <c r="C2449" s="10" t="s">
        <v>1027</v>
      </c>
      <c r="D2449" s="10">
        <v>1</v>
      </c>
      <c r="E2449" s="10">
        <v>17</v>
      </c>
      <c r="F2449" s="10" t="s">
        <v>687</v>
      </c>
      <c r="G2449" s="10" t="s">
        <v>695</v>
      </c>
      <c r="H2449" s="10" t="str" cm="1">
        <f t="array" aca="1" ref="H2449" ca="1">IF(INDEX(I2449:Z2449,$H$1)=0,"",INDEX(I2449:Z2449,$H$1))</f>
        <v>Hydrogen Sulphide</v>
      </c>
      <c r="I2449" s="10" t="s">
        <v>552</v>
      </c>
      <c r="J2449" s="10" t="s">
        <v>1049</v>
      </c>
      <c r="K2449" s="27" t="s">
        <v>1786</v>
      </c>
      <c r="L2449" s="21"/>
    </row>
    <row r="2450" spans="1:12" x14ac:dyDescent="0.35">
      <c r="A2450" s="10" t="s">
        <v>1026</v>
      </c>
      <c r="B2450" s="255">
        <v>11</v>
      </c>
      <c r="C2450" s="10" t="s">
        <v>1027</v>
      </c>
      <c r="D2450" s="10">
        <v>1</v>
      </c>
      <c r="E2450" s="10">
        <v>18</v>
      </c>
      <c r="F2450" s="10" t="s">
        <v>687</v>
      </c>
      <c r="G2450" s="10" t="s">
        <v>695</v>
      </c>
      <c r="H2450" s="10" t="str" cm="1">
        <f t="array" aca="1" ref="H2450" ca="1">IF(INDEX(I2450:Z2450,$H$1)=0,"",INDEX(I2450:Z2450,$H$1))</f>
        <v>Carbon Dioxide</v>
      </c>
      <c r="I2450" s="10" t="s">
        <v>387</v>
      </c>
      <c r="J2450" s="10" t="s">
        <v>1050</v>
      </c>
      <c r="K2450" s="27" t="s">
        <v>1787</v>
      </c>
    </row>
    <row r="2451" spans="1:12" x14ac:dyDescent="0.35">
      <c r="A2451" s="10" t="s">
        <v>1026</v>
      </c>
      <c r="B2451" s="255">
        <v>11</v>
      </c>
      <c r="C2451" s="10" t="s">
        <v>1027</v>
      </c>
      <c r="D2451" s="10">
        <v>1</v>
      </c>
      <c r="E2451" s="10">
        <v>19</v>
      </c>
      <c r="F2451" s="10" t="s">
        <v>687</v>
      </c>
      <c r="G2451" s="10" t="s">
        <v>695</v>
      </c>
      <c r="H2451" s="10" t="str" cm="1">
        <f t="array" aca="1" ref="H2451" ca="1">IF(INDEX(I2451:Z2451,$H$1)=0,"",INDEX(I2451:Z2451,$H$1))</f>
        <v>Nitrogen</v>
      </c>
      <c r="I2451" s="10" t="s">
        <v>553</v>
      </c>
      <c r="J2451" s="10" t="s">
        <v>1051</v>
      </c>
      <c r="K2451" s="27" t="s">
        <v>1788</v>
      </c>
    </row>
    <row r="2452" spans="1:12" x14ac:dyDescent="0.35">
      <c r="A2452" s="10" t="s">
        <v>1026</v>
      </c>
      <c r="B2452" s="255">
        <v>11</v>
      </c>
      <c r="C2452" s="10" t="s">
        <v>1027</v>
      </c>
      <c r="D2452" s="10">
        <v>1</v>
      </c>
      <c r="E2452" s="10">
        <v>20</v>
      </c>
      <c r="F2452" s="10" t="s">
        <v>687</v>
      </c>
      <c r="G2452" s="10" t="s">
        <v>695</v>
      </c>
      <c r="H2452" s="10" t="str" cm="1">
        <f t="array" aca="1" ref="H2452" ca="1">IF(INDEX(I2452:Z2452,$H$1)=0,"",INDEX(I2452:Z2452,$H$1))</f>
        <v>Water</v>
      </c>
      <c r="I2452" s="10" t="s">
        <v>637</v>
      </c>
      <c r="J2452" s="10" t="s">
        <v>1052</v>
      </c>
      <c r="K2452" s="27" t="s">
        <v>1789</v>
      </c>
    </row>
    <row r="2453" spans="1:12" x14ac:dyDescent="0.35">
      <c r="A2453" s="10" t="s">
        <v>1026</v>
      </c>
      <c r="B2453" s="255">
        <v>11</v>
      </c>
      <c r="C2453" s="10" t="s">
        <v>1027</v>
      </c>
      <c r="D2453" s="10">
        <v>1</v>
      </c>
      <c r="E2453" s="10">
        <v>21</v>
      </c>
      <c r="F2453" s="10" t="s">
        <v>687</v>
      </c>
      <c r="G2453" s="10" t="s">
        <v>695</v>
      </c>
      <c r="H2453" s="10" t="str" cm="1">
        <f t="array" aca="1" ref="H2453" ca="1">IF(INDEX(I2453:Z2453,$H$1)=0,"",INDEX(I2453:Z2453,$H$1))</f>
        <v>Sulphur Dioxide</v>
      </c>
      <c r="I2453" s="10" t="s">
        <v>638</v>
      </c>
      <c r="J2453" s="10" t="s">
        <v>1054</v>
      </c>
      <c r="K2453" s="27" t="s">
        <v>1790</v>
      </c>
    </row>
    <row r="2454" spans="1:12" x14ac:dyDescent="0.35">
      <c r="A2454" s="10" t="s">
        <v>1026</v>
      </c>
      <c r="B2454" s="255">
        <v>11</v>
      </c>
      <c r="C2454" s="10" t="s">
        <v>1027</v>
      </c>
      <c r="D2454" s="10">
        <v>1</v>
      </c>
      <c r="E2454" s="10">
        <v>22</v>
      </c>
      <c r="F2454" s="10" t="s">
        <v>687</v>
      </c>
      <c r="G2454" s="10" t="s">
        <v>695</v>
      </c>
      <c r="H2454" s="10" t="str" cm="1">
        <f t="array" aca="1" ref="H2454" ca="1">IF(INDEX(I2454:Z2454,$H$1)=0,"",INDEX(I2454:Z2454,$H$1))</f>
        <v>Oxygen</v>
      </c>
      <c r="I2454" s="10" t="s">
        <v>646</v>
      </c>
      <c r="J2454" s="10" t="s">
        <v>1053</v>
      </c>
      <c r="K2454" s="27" t="s">
        <v>1791</v>
      </c>
    </row>
    <row r="2455" spans="1:12" x14ac:dyDescent="0.35">
      <c r="A2455" s="10" t="s">
        <v>1026</v>
      </c>
      <c r="B2455" s="255">
        <v>11</v>
      </c>
      <c r="C2455" s="10" t="s">
        <v>1027</v>
      </c>
      <c r="D2455" s="10">
        <v>1</v>
      </c>
      <c r="E2455" s="10">
        <v>22</v>
      </c>
      <c r="F2455" s="10" t="s">
        <v>687</v>
      </c>
      <c r="G2455" s="10" t="s">
        <v>695</v>
      </c>
      <c r="H2455" s="10" t="str" cm="1">
        <f t="array" aca="1" ref="H2455" ca="1">IF(INDEX(I2455:Z2455,$H$1)=0,"",INDEX(I2455:Z2455,$H$1))</f>
        <v>Substance</v>
      </c>
      <c r="I2455" s="10" t="s">
        <v>55</v>
      </c>
      <c r="J2455" s="10" t="s">
        <v>55</v>
      </c>
      <c r="K2455" s="10" t="s">
        <v>55</v>
      </c>
    </row>
    <row r="2456" spans="1:12" x14ac:dyDescent="0.35">
      <c r="A2456" s="10" t="s">
        <v>1026</v>
      </c>
      <c r="B2456" s="255">
        <v>11</v>
      </c>
      <c r="C2456" s="10" t="s">
        <v>1027</v>
      </c>
      <c r="D2456" s="10">
        <v>1</v>
      </c>
      <c r="E2456" s="10">
        <v>22</v>
      </c>
      <c r="F2456" s="10" t="s">
        <v>687</v>
      </c>
      <c r="G2456" s="10" t="s">
        <v>695</v>
      </c>
      <c r="H2456" s="10" t="str" cm="1">
        <f t="array" aca="1" ref="H2456" ca="1">IF(INDEX(I2456:Z2456,$H$1)=0,"",INDEX(I2456:Z2456,$H$1))</f>
        <v>Symbol</v>
      </c>
      <c r="I2456" s="10" t="s">
        <v>3426</v>
      </c>
      <c r="J2456" s="10" t="s">
        <v>3426</v>
      </c>
      <c r="K2456" s="10" t="s">
        <v>3426</v>
      </c>
    </row>
    <row r="2457" spans="1:12" x14ac:dyDescent="0.35">
      <c r="A2457" s="10" t="s">
        <v>1026</v>
      </c>
      <c r="B2457" s="255">
        <v>11</v>
      </c>
      <c r="C2457" s="10" t="s">
        <v>1027</v>
      </c>
      <c r="D2457" s="10">
        <v>1</v>
      </c>
      <c r="E2457" s="10">
        <v>22</v>
      </c>
      <c r="F2457" s="10" t="s">
        <v>687</v>
      </c>
      <c r="G2457" s="10" t="s">
        <v>695</v>
      </c>
      <c r="H2457" s="10" t="str" cm="1">
        <f t="array" aca="1" ref="H2457" ca="1">IF(INDEX(I2457:Z2457,$H$1)=0,"",INDEX(I2457:Z2457,$H$1))</f>
        <v>Molecular Weight</v>
      </c>
      <c r="I2457" s="10" t="s">
        <v>58</v>
      </c>
      <c r="J2457" s="10" t="s">
        <v>58</v>
      </c>
      <c r="K2457" s="10" t="s">
        <v>58</v>
      </c>
    </row>
    <row r="2458" spans="1:12" x14ac:dyDescent="0.35">
      <c r="A2458" s="10" t="s">
        <v>1026</v>
      </c>
      <c r="B2458" s="255">
        <v>11</v>
      </c>
      <c r="C2458" s="10" t="s">
        <v>1027</v>
      </c>
      <c r="D2458" s="10">
        <v>1</v>
      </c>
      <c r="E2458" s="10">
        <v>22</v>
      </c>
      <c r="F2458" s="10" t="s">
        <v>687</v>
      </c>
      <c r="G2458" s="10" t="s">
        <v>695</v>
      </c>
      <c r="H2458" s="10" t="str" cm="1">
        <f t="array" aca="1" ref="H2458" ca="1">IF(INDEX(I2458:Z2458,$H$1)=0,"",INDEX(I2458:Z2458,$H$1))</f>
        <v>Carbon Monoxide</v>
      </c>
      <c r="I2458" s="10" t="s">
        <v>2661</v>
      </c>
      <c r="J2458" s="10" t="s">
        <v>2661</v>
      </c>
      <c r="K2458" s="10" t="s">
        <v>2661</v>
      </c>
    </row>
    <row r="2459" spans="1:12" x14ac:dyDescent="0.35">
      <c r="A2459" s="10" t="s">
        <v>1026</v>
      </c>
      <c r="B2459" s="255">
        <v>11</v>
      </c>
      <c r="C2459" s="10" t="s">
        <v>1027</v>
      </c>
      <c r="D2459" s="10">
        <v>1</v>
      </c>
      <c r="E2459" s="10">
        <v>22</v>
      </c>
      <c r="F2459" s="10" t="s">
        <v>687</v>
      </c>
      <c r="G2459" s="10" t="s">
        <v>695</v>
      </c>
      <c r="H2459" s="10" t="str" cm="1">
        <f t="array" aca="1" ref="H2459" ca="1">IF(INDEX(I2459:Z2459,$H$1)=0,"",INDEX(I2459:Z2459,$H$1))</f>
        <v>Nitrous Oxide</v>
      </c>
      <c r="I2459" s="10" t="s">
        <v>2662</v>
      </c>
      <c r="J2459" s="10" t="s">
        <v>2662</v>
      </c>
      <c r="K2459" s="10" t="s">
        <v>2662</v>
      </c>
    </row>
    <row r="2460" spans="1:12" x14ac:dyDescent="0.35">
      <c r="A2460" s="10" t="s">
        <v>1026</v>
      </c>
      <c r="B2460" s="255">
        <v>11</v>
      </c>
      <c r="C2460" s="10" t="s">
        <v>1027</v>
      </c>
      <c r="D2460" s="10">
        <v>1</v>
      </c>
      <c r="E2460" s="10">
        <v>22</v>
      </c>
      <c r="F2460" s="10" t="s">
        <v>687</v>
      </c>
      <c r="G2460" s="10" t="s">
        <v>695</v>
      </c>
      <c r="H2460" s="10" t="str" cm="1">
        <f t="array" aca="1" ref="H2460" ca="1">IF(INDEX(I2460:Z2460,$H$1)=0,"",INDEX(I2460:Z2460,$H$1))</f>
        <v>Oxides of Nitrogen</v>
      </c>
      <c r="I2460" s="10" t="s">
        <v>2714</v>
      </c>
      <c r="J2460" s="10" t="s">
        <v>2714</v>
      </c>
      <c r="K2460" s="10" t="s">
        <v>2714</v>
      </c>
    </row>
    <row r="2461" spans="1:12" x14ac:dyDescent="0.35">
      <c r="A2461" s="10" t="s">
        <v>1026</v>
      </c>
      <c r="B2461" s="255">
        <v>11</v>
      </c>
      <c r="C2461" s="10" t="s">
        <v>1027</v>
      </c>
      <c r="D2461" s="10">
        <v>1</v>
      </c>
      <c r="E2461" s="10">
        <v>22</v>
      </c>
      <c r="F2461" s="10" t="s">
        <v>687</v>
      </c>
      <c r="G2461" s="10" t="s">
        <v>695</v>
      </c>
      <c r="H2461" s="10" t="str" cm="1">
        <f t="array" aca="1" ref="H2461" ca="1">IF(INDEX(I2461:Z2461,$H$1)=0,"",INDEX(I2461:Z2461,$H$1))</f>
        <v>Non-Methane VOC</v>
      </c>
      <c r="I2461" s="10" t="s">
        <v>2663</v>
      </c>
      <c r="J2461" s="10" t="s">
        <v>2663</v>
      </c>
      <c r="K2461" s="10" t="s">
        <v>2663</v>
      </c>
    </row>
    <row r="2462" spans="1:12" x14ac:dyDescent="0.35">
      <c r="A2462" s="10" t="s">
        <v>1026</v>
      </c>
      <c r="B2462" s="255">
        <v>11</v>
      </c>
      <c r="C2462" s="10" t="s">
        <v>1027</v>
      </c>
      <c r="D2462" s="10">
        <v>1</v>
      </c>
      <c r="E2462" s="10">
        <v>22</v>
      </c>
      <c r="F2462" s="10" t="s">
        <v>687</v>
      </c>
      <c r="G2462" s="10" t="s">
        <v>695</v>
      </c>
      <c r="H2462" s="10" t="str" cm="1">
        <f t="array" aca="1" ref="H2462" ca="1">IF(INDEX(I2462:Z2462,$H$1)=0,"",INDEX(I2462:Z2462,$H$1))</f>
        <v>CO</v>
      </c>
      <c r="I2462" s="10" t="s">
        <v>2588</v>
      </c>
      <c r="J2462" s="10" t="s">
        <v>2588</v>
      </c>
      <c r="K2462" s="10" t="s">
        <v>2588</v>
      </c>
    </row>
    <row r="2463" spans="1:12" x14ac:dyDescent="0.35">
      <c r="A2463" s="10" t="s">
        <v>1026</v>
      </c>
      <c r="B2463" s="255">
        <v>11</v>
      </c>
      <c r="C2463" s="10" t="s">
        <v>1027</v>
      </c>
      <c r="D2463" s="10">
        <v>1</v>
      </c>
      <c r="E2463" s="10">
        <v>22</v>
      </c>
      <c r="F2463" s="10" t="s">
        <v>687</v>
      </c>
      <c r="G2463" s="10" t="s">
        <v>695</v>
      </c>
      <c r="H2463" s="10" t="str" cm="1">
        <f t="array" aca="1" ref="H2463" ca="1">IF(INDEX(I2463:Z2463,$H$1)=0,"",INDEX(I2463:Z2463,$H$1))</f>
        <v>N2O</v>
      </c>
      <c r="I2463" s="10" t="s">
        <v>582</v>
      </c>
      <c r="J2463" s="10" t="s">
        <v>582</v>
      </c>
      <c r="K2463" s="10" t="s">
        <v>582</v>
      </c>
    </row>
    <row r="2464" spans="1:12" x14ac:dyDescent="0.35">
      <c r="A2464" s="10" t="s">
        <v>1026</v>
      </c>
      <c r="B2464" s="255">
        <v>11</v>
      </c>
      <c r="C2464" s="10" t="s">
        <v>1027</v>
      </c>
      <c r="D2464" s="10">
        <v>1</v>
      </c>
      <c r="E2464" s="10">
        <v>22</v>
      </c>
      <c r="F2464" s="10" t="s">
        <v>687</v>
      </c>
      <c r="G2464" s="10" t="s">
        <v>695</v>
      </c>
      <c r="H2464" s="10" t="str" cm="1">
        <f t="array" aca="1" ref="H2464" ca="1">IF(INDEX(I2464:Z2464,$H$1)=0,"",INDEX(I2464:Z2464,$H$1))</f>
        <v>NOx</v>
      </c>
      <c r="I2464" s="10" t="s">
        <v>2587</v>
      </c>
      <c r="J2464" s="10" t="s">
        <v>2587</v>
      </c>
      <c r="K2464" s="10" t="s">
        <v>2587</v>
      </c>
    </row>
    <row r="2465" spans="1:11" x14ac:dyDescent="0.35">
      <c r="A2465" s="10" t="s">
        <v>1026</v>
      </c>
      <c r="B2465" s="255">
        <v>11</v>
      </c>
      <c r="C2465" s="10" t="s">
        <v>1027</v>
      </c>
      <c r="D2465" s="10">
        <v>1</v>
      </c>
      <c r="E2465" s="10">
        <v>22</v>
      </c>
      <c r="F2465" s="10" t="s">
        <v>687</v>
      </c>
      <c r="G2465" s="10" t="s">
        <v>695</v>
      </c>
      <c r="H2465" s="10" t="str" cm="1">
        <f t="array" aca="1" ref="H2465" ca="1">IF(INDEX(I2465:Z2465,$H$1)=0,"",INDEX(I2465:Z2465,$H$1))</f>
        <v>NMVOC</v>
      </c>
      <c r="I2465" s="10" t="s">
        <v>2589</v>
      </c>
      <c r="J2465" s="10" t="s">
        <v>2589</v>
      </c>
      <c r="K2465" s="10" t="s">
        <v>2589</v>
      </c>
    </row>
    <row r="2466" spans="1:11" x14ac:dyDescent="0.35">
      <c r="A2466" s="10" t="s">
        <v>1026</v>
      </c>
      <c r="B2466" s="255">
        <v>11</v>
      </c>
      <c r="C2466" s="10" t="s">
        <v>1031</v>
      </c>
      <c r="D2466" s="10">
        <v>2</v>
      </c>
      <c r="E2466" s="10">
        <v>24</v>
      </c>
      <c r="F2466" s="10" t="s">
        <v>687</v>
      </c>
      <c r="G2466" s="10" t="s">
        <v>688</v>
      </c>
      <c r="H2466" s="10" t="str" cm="1">
        <f t="array" aca="1" ref="H2466" ca="1">IF(INDEX(I2466:Z2466,$H$1)=0,"",INDEX(I2466:Z2466,$H$1))</f>
        <v>Miscellaneous Constants</v>
      </c>
      <c r="I2466" s="10" t="s">
        <v>1031</v>
      </c>
      <c r="J2466" s="10" t="s">
        <v>1071</v>
      </c>
      <c r="K2466" s="27" t="s">
        <v>1792</v>
      </c>
    </row>
    <row r="2467" spans="1:11" x14ac:dyDescent="0.35">
      <c r="A2467" s="10" t="s">
        <v>1026</v>
      </c>
      <c r="B2467" s="255">
        <v>11</v>
      </c>
      <c r="C2467" s="10" t="s">
        <v>1027</v>
      </c>
      <c r="D2467" s="10">
        <v>2</v>
      </c>
      <c r="E2467" s="10">
        <v>24</v>
      </c>
      <c r="F2467" s="10" t="s">
        <v>687</v>
      </c>
      <c r="G2467" s="10" t="s">
        <v>688</v>
      </c>
      <c r="H2467" s="10" t="str" cm="1">
        <f t="array" aca="1" ref="H2467" ca="1">IF(INDEX(I2467:Z2467,$H$1)=0,"",INDEX(I2467:Z2467,$H$1))</f>
        <v>Atomic Data</v>
      </c>
      <c r="I2467" s="10" t="s">
        <v>2660</v>
      </c>
      <c r="J2467" s="10" t="s">
        <v>2660</v>
      </c>
      <c r="K2467" s="10" t="s">
        <v>2660</v>
      </c>
    </row>
    <row r="2468" spans="1:11" x14ac:dyDescent="0.35">
      <c r="A2468" s="10" t="s">
        <v>1026</v>
      </c>
      <c r="B2468" s="255">
        <v>11</v>
      </c>
      <c r="C2468" s="10" t="s">
        <v>1027</v>
      </c>
      <c r="D2468" s="10">
        <v>2</v>
      </c>
      <c r="E2468" s="10">
        <v>24</v>
      </c>
      <c r="F2468" s="10" t="s">
        <v>687</v>
      </c>
      <c r="G2468" s="10" t="s">
        <v>688</v>
      </c>
      <c r="H2468" s="10" t="str" cm="1">
        <f t="array" aca="1" ref="H2468" ca="1">IF(INDEX(I2468:Z2468,$H$1)=0,"",INDEX(I2468:Z2468,$H$1))</f>
        <v>Name</v>
      </c>
      <c r="I2468" s="10" t="s">
        <v>56</v>
      </c>
      <c r="J2468" s="10" t="s">
        <v>56</v>
      </c>
      <c r="K2468" s="10" t="s">
        <v>56</v>
      </c>
    </row>
    <row r="2469" spans="1:11" x14ac:dyDescent="0.35">
      <c r="A2469" s="10" t="s">
        <v>1026</v>
      </c>
      <c r="B2469" s="255">
        <v>11</v>
      </c>
      <c r="C2469" s="10" t="s">
        <v>1027</v>
      </c>
      <c r="D2469" s="10">
        <v>2</v>
      </c>
      <c r="E2469" s="10">
        <v>24</v>
      </c>
      <c r="F2469" s="10" t="s">
        <v>687</v>
      </c>
      <c r="G2469" s="10" t="s">
        <v>688</v>
      </c>
      <c r="H2469" s="10" t="str" cm="1">
        <f t="array" aca="1" ref="H2469" ca="1">IF(INDEX(I2469:Z2469,$H$1)=0,"",INDEX(I2469:Z2469,$H$1))</f>
        <v>Carbon</v>
      </c>
      <c r="I2469" s="10" t="s">
        <v>2657</v>
      </c>
      <c r="J2469" s="10" t="s">
        <v>2657</v>
      </c>
      <c r="K2469" s="10" t="s">
        <v>2657</v>
      </c>
    </row>
    <row r="2470" spans="1:11" x14ac:dyDescent="0.35">
      <c r="A2470" s="10" t="s">
        <v>1026</v>
      </c>
      <c r="B2470" s="255">
        <v>11</v>
      </c>
      <c r="C2470" s="10" t="s">
        <v>1027</v>
      </c>
      <c r="D2470" s="10">
        <v>2</v>
      </c>
      <c r="E2470" s="10">
        <v>24</v>
      </c>
      <c r="F2470" s="10" t="s">
        <v>687</v>
      </c>
      <c r="G2470" s="10" t="s">
        <v>688</v>
      </c>
      <c r="H2470" s="10" t="str" cm="1">
        <f t="array" aca="1" ref="H2470" ca="1">IF(INDEX(I2470:Z2470,$H$1)=0,"",INDEX(I2470:Z2470,$H$1))</f>
        <v>Hydrogen</v>
      </c>
      <c r="I2470" s="10" t="s">
        <v>2659</v>
      </c>
      <c r="J2470" s="10" t="s">
        <v>2659</v>
      </c>
      <c r="K2470" s="10" t="s">
        <v>2659</v>
      </c>
    </row>
    <row r="2471" spans="1:11" x14ac:dyDescent="0.35">
      <c r="A2471" s="10" t="s">
        <v>1026</v>
      </c>
      <c r="B2471" s="255">
        <v>11</v>
      </c>
      <c r="C2471" s="10" t="s">
        <v>1027</v>
      </c>
      <c r="D2471" s="10">
        <v>2</v>
      </c>
      <c r="E2471" s="10">
        <v>24</v>
      </c>
      <c r="F2471" s="10" t="s">
        <v>687</v>
      </c>
      <c r="G2471" s="10" t="s">
        <v>688</v>
      </c>
      <c r="H2471" s="10" t="str" cm="1">
        <f t="array" aca="1" ref="H2471" ca="1">IF(INDEX(I2471:Z2471,$H$1)=0,"",INDEX(I2471:Z2471,$H$1))</f>
        <v>Oxygen</v>
      </c>
      <c r="I2471" s="10" t="s">
        <v>646</v>
      </c>
      <c r="J2471" s="10" t="s">
        <v>646</v>
      </c>
      <c r="K2471" s="10" t="s">
        <v>646</v>
      </c>
    </row>
    <row r="2472" spans="1:11" x14ac:dyDescent="0.35">
      <c r="A2472" s="10" t="s">
        <v>1026</v>
      </c>
      <c r="B2472" s="255">
        <v>11</v>
      </c>
      <c r="C2472" s="10" t="s">
        <v>1027</v>
      </c>
      <c r="D2472" s="10">
        <v>2</v>
      </c>
      <c r="E2472" s="10">
        <v>24</v>
      </c>
      <c r="F2472" s="10" t="s">
        <v>687</v>
      </c>
      <c r="G2472" s="10" t="s">
        <v>688</v>
      </c>
      <c r="H2472" s="10" t="str" cm="1">
        <f t="array" aca="1" ref="H2472" ca="1">IF(INDEX(I2472:Z2472,$H$1)=0,"",INDEX(I2472:Z2472,$H$1))</f>
        <v>Nitrogen</v>
      </c>
      <c r="I2472" s="10" t="s">
        <v>553</v>
      </c>
      <c r="J2472" s="10" t="s">
        <v>553</v>
      </c>
      <c r="K2472" s="10" t="s">
        <v>553</v>
      </c>
    </row>
    <row r="2473" spans="1:11" x14ac:dyDescent="0.35">
      <c r="A2473" s="10" t="s">
        <v>1026</v>
      </c>
      <c r="B2473" s="255">
        <v>11</v>
      </c>
      <c r="C2473" s="10" t="s">
        <v>1027</v>
      </c>
      <c r="D2473" s="10">
        <v>2</v>
      </c>
      <c r="E2473" s="10">
        <v>24</v>
      </c>
      <c r="F2473" s="10" t="s">
        <v>687</v>
      </c>
      <c r="G2473" s="10" t="s">
        <v>688</v>
      </c>
      <c r="H2473" s="10" t="str" cm="1">
        <f t="array" aca="1" ref="H2473" ca="1">IF(INDEX(I2473:Z2473,$H$1)=0,"",INDEX(I2473:Z2473,$H$1))</f>
        <v>Sulphur</v>
      </c>
      <c r="I2473" s="10" t="s">
        <v>2658</v>
      </c>
      <c r="J2473" s="10" t="s">
        <v>2658</v>
      </c>
      <c r="K2473" s="10" t="s">
        <v>2658</v>
      </c>
    </row>
    <row r="2474" spans="1:11" x14ac:dyDescent="0.35">
      <c r="A2474" s="10" t="s">
        <v>1026</v>
      </c>
      <c r="B2474" s="255">
        <v>11</v>
      </c>
      <c r="C2474" s="10" t="s">
        <v>1027</v>
      </c>
      <c r="D2474" s="10">
        <v>2</v>
      </c>
      <c r="E2474" s="10">
        <v>24</v>
      </c>
      <c r="F2474" s="10" t="s">
        <v>687</v>
      </c>
      <c r="G2474" s="10" t="s">
        <v>688</v>
      </c>
      <c r="H2474" s="10" t="str" cm="1">
        <f t="array" aca="1" ref="H2474" ca="1">IF(INDEX(I2474:Z2474,$H$1)=0,"",INDEX(I2474:Z2474,$H$1))</f>
        <v>Formula</v>
      </c>
      <c r="I2474" s="10" t="s">
        <v>57</v>
      </c>
      <c r="J2474" s="10" t="s">
        <v>57</v>
      </c>
      <c r="K2474" s="10" t="s">
        <v>57</v>
      </c>
    </row>
    <row r="2475" spans="1:11" x14ac:dyDescent="0.35">
      <c r="A2475" s="10" t="s">
        <v>1026</v>
      </c>
      <c r="B2475" s="255">
        <v>11</v>
      </c>
      <c r="C2475" s="10" t="s">
        <v>1027</v>
      </c>
      <c r="D2475" s="10">
        <v>2</v>
      </c>
      <c r="E2475" s="10">
        <v>24</v>
      </c>
      <c r="F2475" s="10" t="s">
        <v>687</v>
      </c>
      <c r="G2475" s="10" t="s">
        <v>688</v>
      </c>
      <c r="H2475" s="10" t="str" cm="1">
        <f t="array" aca="1" ref="H2475" ca="1">IF(INDEX(I2475:Z2475,$H$1)=0,"",INDEX(I2475:Z2475,$H$1))</f>
        <v>Atomic Mass</v>
      </c>
      <c r="I2475" s="10" t="s">
        <v>2656</v>
      </c>
      <c r="J2475" s="10" t="s">
        <v>2656</v>
      </c>
      <c r="K2475" s="10" t="s">
        <v>2656</v>
      </c>
    </row>
    <row r="2476" spans="1:11" x14ac:dyDescent="0.35">
      <c r="A2476" s="10" t="s">
        <v>1026</v>
      </c>
      <c r="B2476" s="255">
        <v>11</v>
      </c>
      <c r="C2476" s="10" t="s">
        <v>1031</v>
      </c>
      <c r="D2476" s="10">
        <v>2</v>
      </c>
      <c r="E2476" s="10">
        <v>26</v>
      </c>
      <c r="F2476" s="10" t="s">
        <v>687</v>
      </c>
      <c r="G2476" s="10" t="s">
        <v>695</v>
      </c>
      <c r="H2476" s="10" t="str" cm="1">
        <f t="array" aca="1" ref="H2476" ca="1">IF(INDEX(I2476:Z2476,$H$1)=0,"",INDEX(I2476:Z2476,$H$1))</f>
        <v>Standard Temperature</v>
      </c>
      <c r="I2476" s="10" t="s">
        <v>62</v>
      </c>
      <c r="J2476" s="10" t="s">
        <v>1058</v>
      </c>
      <c r="K2476" s="27" t="s">
        <v>1793</v>
      </c>
    </row>
    <row r="2477" spans="1:11" x14ac:dyDescent="0.35">
      <c r="A2477" s="10" t="s">
        <v>1026</v>
      </c>
      <c r="B2477" s="255">
        <v>11</v>
      </c>
      <c r="C2477" s="10" t="s">
        <v>1031</v>
      </c>
      <c r="D2477" s="10">
        <v>2</v>
      </c>
      <c r="E2477" s="10">
        <v>26</v>
      </c>
      <c r="F2477" s="10" t="s">
        <v>38</v>
      </c>
      <c r="G2477" s="10" t="s">
        <v>767</v>
      </c>
      <c r="H2477" s="10" t="str" cm="1">
        <f t="array" aca="1" ref="H2477" ca="1">IF(INDEX(I2477:Z2477,$H$1)=0,"",INDEX(I2477:Z2477,$H$1))</f>
        <v>°C</v>
      </c>
      <c r="I2477" s="2" t="s">
        <v>391</v>
      </c>
      <c r="J2477" s="2" t="s">
        <v>391</v>
      </c>
      <c r="K2477" s="27" t="s">
        <v>391</v>
      </c>
    </row>
    <row r="2478" spans="1:11" x14ac:dyDescent="0.35">
      <c r="A2478" s="10" t="s">
        <v>1026</v>
      </c>
      <c r="B2478" s="255">
        <v>11</v>
      </c>
      <c r="C2478" s="10" t="s">
        <v>1031</v>
      </c>
      <c r="D2478" s="10">
        <v>2</v>
      </c>
      <c r="E2478" s="10">
        <v>27</v>
      </c>
      <c r="F2478" s="10" t="s">
        <v>687</v>
      </c>
      <c r="G2478" s="10" t="s">
        <v>695</v>
      </c>
      <c r="H2478" s="10" t="str" cm="1">
        <f t="array" aca="1" ref="H2478" ca="1">IF(INDEX(I2478:Z2478,$H$1)=0,"",INDEX(I2478:Z2478,$H$1))</f>
        <v>Standard Pressure</v>
      </c>
      <c r="I2478" s="10" t="s">
        <v>63</v>
      </c>
      <c r="J2478" s="10" t="s">
        <v>1059</v>
      </c>
      <c r="K2478" s="27" t="s">
        <v>1794</v>
      </c>
    </row>
    <row r="2479" spans="1:11" x14ac:dyDescent="0.35">
      <c r="A2479" s="10" t="s">
        <v>1026</v>
      </c>
      <c r="B2479" s="255">
        <v>11</v>
      </c>
      <c r="C2479" s="10" t="s">
        <v>1031</v>
      </c>
      <c r="D2479" s="10">
        <v>2</v>
      </c>
      <c r="E2479" s="10">
        <v>27</v>
      </c>
      <c r="F2479" s="10" t="s">
        <v>38</v>
      </c>
      <c r="G2479" s="10" t="s">
        <v>767</v>
      </c>
      <c r="H2479" s="10" t="str" cm="1">
        <f t="array" aca="1" ref="H2479" ca="1">IF(INDEX(I2479:Z2479,$H$1)=0,"",INDEX(I2479:Z2479,$H$1))</f>
        <v>kPa</v>
      </c>
      <c r="I2479" s="10" t="s">
        <v>64</v>
      </c>
      <c r="J2479" s="10" t="s">
        <v>64</v>
      </c>
      <c r="K2479" s="27" t="s">
        <v>64</v>
      </c>
    </row>
    <row r="2480" spans="1:11" x14ac:dyDescent="0.35">
      <c r="A2480" s="10" t="s">
        <v>1026</v>
      </c>
      <c r="B2480" s="255">
        <v>11</v>
      </c>
      <c r="C2480" s="10" t="s">
        <v>1031</v>
      </c>
      <c r="D2480" s="10">
        <v>2</v>
      </c>
      <c r="E2480" s="10">
        <v>28</v>
      </c>
      <c r="F2480" s="10" t="s">
        <v>687</v>
      </c>
      <c r="G2480" s="10" t="s">
        <v>695</v>
      </c>
      <c r="H2480" s="10" t="str" cm="1">
        <f t="array" aca="1" ref="H2480" ca="1">IF(INDEX(I2480:Z2480,$H$1)=0,"",INDEX(I2480:Z2480,$H$1))</f>
        <v>Standard Volume</v>
      </c>
      <c r="I2480" s="10" t="s">
        <v>272</v>
      </c>
      <c r="J2480" s="10" t="s">
        <v>1060</v>
      </c>
      <c r="K2480" s="27" t="s">
        <v>1795</v>
      </c>
    </row>
    <row r="2481" spans="1:11" x14ac:dyDescent="0.35">
      <c r="A2481" s="10" t="s">
        <v>1026</v>
      </c>
      <c r="B2481" s="255">
        <v>11</v>
      </c>
      <c r="C2481" s="10" t="s">
        <v>1031</v>
      </c>
      <c r="D2481" s="10">
        <v>2</v>
      </c>
      <c r="E2481" s="10">
        <v>28</v>
      </c>
      <c r="F2481" s="10" t="s">
        <v>38</v>
      </c>
      <c r="G2481" s="10" t="s">
        <v>767</v>
      </c>
      <c r="H2481" s="10" t="str" cm="1">
        <f t="array" aca="1" ref="H2481" ca="1">IF(INDEX(I2481:Z2481,$H$1)=0,"",INDEX(I2481:Z2481,$H$1))</f>
        <v>m3/kmol</v>
      </c>
      <c r="I2481" s="10" t="s">
        <v>273</v>
      </c>
      <c r="J2481" s="10" t="s">
        <v>1061</v>
      </c>
      <c r="K2481" s="27" t="s">
        <v>273</v>
      </c>
    </row>
    <row r="2482" spans="1:11" x14ac:dyDescent="0.35">
      <c r="A2482" s="10" t="s">
        <v>1026</v>
      </c>
      <c r="B2482" s="255">
        <v>11</v>
      </c>
      <c r="C2482" s="10" t="s">
        <v>1031</v>
      </c>
      <c r="D2482" s="10">
        <v>2</v>
      </c>
      <c r="E2482" s="10">
        <v>28</v>
      </c>
      <c r="F2482" s="10" t="s">
        <v>687</v>
      </c>
      <c r="G2482" s="10" t="s">
        <v>695</v>
      </c>
      <c r="H2482" s="10" t="str" cm="1">
        <f t="array" aca="1" ref="H2482" ca="1">IF(INDEX(I2482:Z2482,$H$1)=0,"",INDEX(I2482:Z2482,$H$1))</f>
        <v>Ambient Pressure</v>
      </c>
      <c r="I2482" s="10" t="s">
        <v>2938</v>
      </c>
      <c r="J2482" s="10" t="s">
        <v>2938</v>
      </c>
      <c r="K2482" s="27" t="s">
        <v>2938</v>
      </c>
    </row>
    <row r="2483" spans="1:11" x14ac:dyDescent="0.35">
      <c r="A2483" s="10" t="s">
        <v>1026</v>
      </c>
      <c r="B2483" s="255">
        <v>11</v>
      </c>
      <c r="C2483" s="10" t="s">
        <v>1031</v>
      </c>
      <c r="D2483" s="10">
        <v>2</v>
      </c>
      <c r="E2483" s="10">
        <v>28</v>
      </c>
      <c r="F2483" s="10" t="s">
        <v>687</v>
      </c>
      <c r="G2483" s="10" t="s">
        <v>695</v>
      </c>
      <c r="H2483" s="10" t="str" cm="1">
        <f t="array" aca="1" ref="H2483" ca="1">IF(INDEX(I2483:Z2483,$H$1)=0,"",INDEX(I2483:Z2483,$H$1))</f>
        <v>kPa</v>
      </c>
      <c r="I2483" s="10" t="s">
        <v>64</v>
      </c>
      <c r="J2483" s="10" t="s">
        <v>64</v>
      </c>
      <c r="K2483" s="27" t="s">
        <v>64</v>
      </c>
    </row>
    <row r="2484" spans="1:11" x14ac:dyDescent="0.35">
      <c r="A2484" s="10" t="s">
        <v>1026</v>
      </c>
      <c r="B2484" s="255">
        <v>11</v>
      </c>
      <c r="C2484" s="10" t="s">
        <v>1031</v>
      </c>
      <c r="D2484" s="10">
        <v>2</v>
      </c>
      <c r="E2484" s="10">
        <v>29</v>
      </c>
      <c r="F2484" s="10" t="s">
        <v>687</v>
      </c>
      <c r="G2484" s="10" t="s">
        <v>695</v>
      </c>
      <c r="H2484" s="10" t="str" cm="1">
        <f t="array" aca="1" ref="H2484" ca="1">IF(INDEX(I2484:Z2484,$H$1)=0,"",INDEX(I2484:Z2484,$H$1))</f>
        <v>Gas Constant</v>
      </c>
      <c r="I2484" s="10" t="s">
        <v>629</v>
      </c>
      <c r="J2484" s="10" t="s">
        <v>1062</v>
      </c>
      <c r="K2484" s="27" t="s">
        <v>1796</v>
      </c>
    </row>
    <row r="2485" spans="1:11" x14ac:dyDescent="0.35">
      <c r="A2485" s="10" t="s">
        <v>1026</v>
      </c>
      <c r="B2485" s="255">
        <v>11</v>
      </c>
      <c r="C2485" s="10" t="s">
        <v>1031</v>
      </c>
      <c r="D2485" s="10">
        <v>2</v>
      </c>
      <c r="E2485" s="10">
        <v>29</v>
      </c>
      <c r="F2485" s="10" t="s">
        <v>687</v>
      </c>
      <c r="G2485" s="10" t="s">
        <v>695</v>
      </c>
      <c r="H2485" s="10" t="str" cm="1">
        <f t="array" aca="1" ref="H2485" ca="1">IF(INDEX(I2485:Z2485,$H$1)=0,"",INDEX(I2485:Z2485,$H$1))</f>
        <v>NG Specific Heat Ratio</v>
      </c>
      <c r="I2485" s="10" t="s">
        <v>2939</v>
      </c>
      <c r="J2485" s="10" t="s">
        <v>2939</v>
      </c>
      <c r="K2485" s="27" t="s">
        <v>2939</v>
      </c>
    </row>
    <row r="2486" spans="1:11" x14ac:dyDescent="0.35">
      <c r="A2486" s="10" t="s">
        <v>1026</v>
      </c>
      <c r="B2486" s="255">
        <v>11</v>
      </c>
      <c r="C2486" s="10" t="s">
        <v>1031</v>
      </c>
      <c r="D2486" s="10">
        <v>2</v>
      </c>
      <c r="E2486" s="10">
        <v>29</v>
      </c>
      <c r="F2486" s="10" t="s">
        <v>687</v>
      </c>
      <c r="G2486" s="10" t="s">
        <v>695</v>
      </c>
      <c r="H2486" s="10" t="str" cm="1">
        <f t="array" aca="1" ref="H2486" ca="1">IF(INDEX(I2486:Z2486,$H$1)=0,"",INDEX(I2486:Z2486,$H$1))</f>
        <v>NG Molecular Weight</v>
      </c>
      <c r="I2486" s="10" t="s">
        <v>3441</v>
      </c>
      <c r="J2486" s="10" t="s">
        <v>2944</v>
      </c>
      <c r="K2486" s="27" t="s">
        <v>2944</v>
      </c>
    </row>
    <row r="2487" spans="1:11" x14ac:dyDescent="0.35">
      <c r="A2487" s="10" t="s">
        <v>1026</v>
      </c>
      <c r="B2487" s="255">
        <v>11</v>
      </c>
      <c r="C2487" s="10" t="s">
        <v>1031</v>
      </c>
      <c r="D2487" s="10">
        <v>2</v>
      </c>
      <c r="E2487" s="10">
        <v>29</v>
      </c>
      <c r="F2487" s="10" t="s">
        <v>687</v>
      </c>
      <c r="G2487" s="10" t="s">
        <v>695</v>
      </c>
      <c r="H2487" s="10" t="str" cm="1">
        <f t="array" aca="1" ref="H2487" ca="1">IF(INDEX(I2487:Z2487,$H$1)=0,"",INDEX(I2487:Z2487,$H$1))</f>
        <v>NG Density</v>
      </c>
      <c r="I2487" s="10" t="s">
        <v>2950</v>
      </c>
      <c r="J2487" s="10" t="s">
        <v>2950</v>
      </c>
      <c r="K2487" s="27" t="s">
        <v>2950</v>
      </c>
    </row>
    <row r="2488" spans="1:11" x14ac:dyDescent="0.35">
      <c r="A2488" s="10" t="s">
        <v>1026</v>
      </c>
      <c r="B2488" s="255">
        <v>11</v>
      </c>
      <c r="C2488" s="10" t="s">
        <v>1031</v>
      </c>
      <c r="D2488" s="10">
        <v>2</v>
      </c>
      <c r="E2488" s="10">
        <v>29</v>
      </c>
      <c r="F2488" s="10" t="s">
        <v>687</v>
      </c>
      <c r="G2488" s="10" t="s">
        <v>695</v>
      </c>
      <c r="H2488" s="10" t="str" cm="1">
        <f t="array" aca="1" ref="H2488" ca="1">IF(INDEX(I2488:Z2488,$H$1)=0,"",INDEX(I2488:Z2488,$H$1))</f>
        <v>Air Specific Heat Ratio</v>
      </c>
      <c r="I2488" s="10" t="s">
        <v>2940</v>
      </c>
      <c r="J2488" s="10" t="s">
        <v>2940</v>
      </c>
      <c r="K2488" s="27" t="s">
        <v>2940</v>
      </c>
    </row>
    <row r="2489" spans="1:11" x14ac:dyDescent="0.35">
      <c r="A2489" s="10" t="s">
        <v>1026</v>
      </c>
      <c r="B2489" s="255">
        <v>11</v>
      </c>
      <c r="C2489" s="10" t="s">
        <v>1031</v>
      </c>
      <c r="D2489" s="10">
        <v>2</v>
      </c>
      <c r="E2489" s="10">
        <v>29</v>
      </c>
      <c r="F2489" s="10" t="s">
        <v>687</v>
      </c>
      <c r="G2489" s="10" t="s">
        <v>695</v>
      </c>
      <c r="H2489" s="10" t="str" cm="1">
        <f t="array" aca="1" ref="H2489" ca="1">IF(INDEX(I2489:Z2489,$H$1)=0,"",INDEX(I2489:Z2489,$H$1))</f>
        <v>Air Molecular Weight</v>
      </c>
      <c r="I2489" s="10" t="s">
        <v>2941</v>
      </c>
      <c r="J2489" s="10" t="s">
        <v>2941</v>
      </c>
      <c r="K2489" s="27" t="s">
        <v>2941</v>
      </c>
    </row>
    <row r="2490" spans="1:11" x14ac:dyDescent="0.35">
      <c r="A2490" s="10" t="s">
        <v>1026</v>
      </c>
      <c r="B2490" s="255">
        <v>11</v>
      </c>
      <c r="C2490" s="10" t="s">
        <v>1031</v>
      </c>
      <c r="D2490" s="10">
        <v>2</v>
      </c>
      <c r="E2490" s="10">
        <v>29</v>
      </c>
      <c r="F2490" s="10" t="s">
        <v>687</v>
      </c>
      <c r="G2490" s="10" t="s">
        <v>695</v>
      </c>
      <c r="H2490" s="10" t="str" cm="1">
        <f t="array" aca="1" ref="H2490" ca="1">IF(INDEX(I2490:Z2490,$H$1)=0,"",INDEX(I2490:Z2490,$H$1))</f>
        <v>Air Cv Specific Heat</v>
      </c>
      <c r="I2490" s="10" t="s">
        <v>2945</v>
      </c>
      <c r="J2490" s="10" t="s">
        <v>2945</v>
      </c>
      <c r="K2490" s="27" t="s">
        <v>2945</v>
      </c>
    </row>
    <row r="2491" spans="1:11" x14ac:dyDescent="0.35">
      <c r="A2491" s="10" t="s">
        <v>1026</v>
      </c>
      <c r="B2491" s="255">
        <v>11</v>
      </c>
      <c r="C2491" s="10" t="s">
        <v>1031</v>
      </c>
      <c r="D2491" s="10">
        <v>2</v>
      </c>
      <c r="E2491" s="10">
        <v>29</v>
      </c>
      <c r="F2491" s="10" t="s">
        <v>687</v>
      </c>
      <c r="G2491" s="10" t="s">
        <v>695</v>
      </c>
      <c r="H2491" s="10" t="str" cm="1">
        <f t="array" aca="1" ref="H2491" ca="1">IF(INDEX(I2491:Z2491,$H$1)=0,"",INDEX(I2491:Z2491,$H$1))</f>
        <v>Air Cp Specific Heat</v>
      </c>
      <c r="I2491" s="10" t="s">
        <v>2946</v>
      </c>
      <c r="J2491" s="10" t="s">
        <v>2946</v>
      </c>
      <c r="K2491" s="27" t="s">
        <v>2946</v>
      </c>
    </row>
    <row r="2492" spans="1:11" x14ac:dyDescent="0.35">
      <c r="A2492" s="10" t="s">
        <v>1026</v>
      </c>
      <c r="B2492" s="255">
        <v>11</v>
      </c>
      <c r="C2492" s="10" t="s">
        <v>1031</v>
      </c>
      <c r="D2492" s="10">
        <v>2</v>
      </c>
      <c r="E2492" s="10">
        <v>29</v>
      </c>
      <c r="F2492" s="10" t="s">
        <v>687</v>
      </c>
      <c r="G2492" s="10" t="s">
        <v>695</v>
      </c>
      <c r="H2492" s="10" t="str" cm="1">
        <f t="array" aca="1" ref="H2492" ca="1">IF(INDEX(I2492:Z2492,$H$1)=0,"",INDEX(I2492:Z2492,$H$1))</f>
        <v>Air Density</v>
      </c>
      <c r="I2492" s="10" t="s">
        <v>2952</v>
      </c>
      <c r="J2492" s="10" t="s">
        <v>2952</v>
      </c>
      <c r="K2492" s="27" t="s">
        <v>2952</v>
      </c>
    </row>
    <row r="2493" spans="1:11" x14ac:dyDescent="0.35">
      <c r="A2493" s="10" t="s">
        <v>1026</v>
      </c>
      <c r="B2493" s="255">
        <v>11</v>
      </c>
      <c r="C2493" s="10" t="s">
        <v>1031</v>
      </c>
      <c r="D2493" s="10">
        <v>2</v>
      </c>
      <c r="E2493" s="10">
        <v>29</v>
      </c>
      <c r="F2493" s="10" t="s">
        <v>687</v>
      </c>
      <c r="G2493" s="10" t="s">
        <v>695</v>
      </c>
      <c r="H2493" s="10" t="str" cm="1">
        <f t="array" aca="1" ref="H2493" ca="1">IF(INDEX(I2493:Z2493,$H$1)=0,"",INDEX(I2493:Z2493,$H$1))</f>
        <v>Fuel Gas HHV</v>
      </c>
      <c r="I2493" s="10" t="s">
        <v>2688</v>
      </c>
      <c r="J2493" s="10" t="s">
        <v>2688</v>
      </c>
      <c r="K2493" s="27" t="s">
        <v>2688</v>
      </c>
    </row>
    <row r="2494" spans="1:11" x14ac:dyDescent="0.35">
      <c r="A2494" s="10" t="s">
        <v>1026</v>
      </c>
      <c r="B2494" s="255">
        <v>11</v>
      </c>
      <c r="C2494" s="10" t="s">
        <v>1031</v>
      </c>
      <c r="D2494" s="10">
        <v>2</v>
      </c>
      <c r="E2494" s="10">
        <v>29</v>
      </c>
      <c r="F2494" s="10" t="s">
        <v>687</v>
      </c>
      <c r="G2494" s="10" t="s">
        <v>695</v>
      </c>
      <c r="H2494" s="10" t="str" cm="1">
        <f t="array" aca="1" ref="H2494" ca="1">IF(INDEX(I2494:Z2494,$H$1)=0,"",INDEX(I2494:Z2494,$H$1))</f>
        <v>Fuel Gas LHV</v>
      </c>
      <c r="I2494" s="10" t="s">
        <v>2905</v>
      </c>
      <c r="J2494" s="10" t="s">
        <v>2905</v>
      </c>
      <c r="K2494" s="27" t="s">
        <v>2905</v>
      </c>
    </row>
    <row r="2495" spans="1:11" x14ac:dyDescent="0.35">
      <c r="A2495" s="10" t="s">
        <v>1026</v>
      </c>
      <c r="B2495" s="255">
        <v>11</v>
      </c>
      <c r="C2495" s="10" t="s">
        <v>1031</v>
      </c>
      <c r="D2495" s="10">
        <v>2</v>
      </c>
      <c r="E2495" s="10">
        <v>29</v>
      </c>
      <c r="F2495" s="10" t="s">
        <v>687</v>
      </c>
      <c r="G2495" s="10" t="s">
        <v>695</v>
      </c>
      <c r="H2495" s="10" t="str" cm="1">
        <f t="array" aca="1" ref="H2495" ca="1">IF(INDEX(I2495:Z2495,$H$1)=0,"",INDEX(I2495:Z2495,$H$1))</f>
        <v>Fuel Gas Molecular Weight</v>
      </c>
      <c r="I2495" s="10" t="s">
        <v>2943</v>
      </c>
      <c r="J2495" s="10" t="s">
        <v>2943</v>
      </c>
      <c r="K2495" s="27" t="s">
        <v>2943</v>
      </c>
    </row>
    <row r="2496" spans="1:11" x14ac:dyDescent="0.35">
      <c r="A2496" s="10" t="s">
        <v>1026</v>
      </c>
      <c r="B2496" s="255">
        <v>11</v>
      </c>
      <c r="C2496" s="10" t="s">
        <v>1031</v>
      </c>
      <c r="D2496" s="10">
        <v>2</v>
      </c>
      <c r="E2496" s="10">
        <v>29</v>
      </c>
      <c r="F2496" s="10" t="s">
        <v>687</v>
      </c>
      <c r="G2496" s="10" t="s">
        <v>695</v>
      </c>
      <c r="H2496" s="10" t="str" cm="1">
        <f t="array" aca="1" ref="H2496" ca="1">IF(INDEX(I2496:Z2496,$H$1)=0,"",INDEX(I2496:Z2496,$H$1))</f>
        <v>Fuel Gas Density</v>
      </c>
      <c r="I2496" s="10" t="s">
        <v>2951</v>
      </c>
      <c r="J2496" s="10" t="s">
        <v>2951</v>
      </c>
      <c r="K2496" s="27" t="s">
        <v>2951</v>
      </c>
    </row>
    <row r="2497" spans="1:11" x14ac:dyDescent="0.35">
      <c r="A2497" s="10" t="s">
        <v>1026</v>
      </c>
      <c r="B2497" s="255">
        <v>11</v>
      </c>
      <c r="C2497" s="10" t="s">
        <v>1031</v>
      </c>
      <c r="D2497" s="10">
        <v>2</v>
      </c>
      <c r="E2497" s="10">
        <v>29</v>
      </c>
      <c r="F2497" s="10" t="s">
        <v>687</v>
      </c>
      <c r="G2497" s="10" t="s">
        <v>695</v>
      </c>
      <c r="H2497" s="10" t="str" cm="1">
        <f t="array" aca="1" ref="H2497" ca="1">IF(INDEX(I2497:Z2497,$H$1)=0,"",INDEX(I2497:Z2497,$H$1))</f>
        <v>Fuel Gas HHV</v>
      </c>
      <c r="I2497" s="10" t="s">
        <v>2688</v>
      </c>
      <c r="J2497" s="10" t="s">
        <v>2688</v>
      </c>
      <c r="K2497" s="10" t="s">
        <v>2688</v>
      </c>
    </row>
    <row r="2498" spans="1:11" x14ac:dyDescent="0.35">
      <c r="A2498" s="10" t="s">
        <v>1026</v>
      </c>
      <c r="B2498" s="255">
        <v>11</v>
      </c>
      <c r="C2498" s="10" t="s">
        <v>1031</v>
      </c>
      <c r="D2498" s="10">
        <v>2</v>
      </c>
      <c r="E2498" s="10">
        <v>29</v>
      </c>
      <c r="F2498" s="10" t="s">
        <v>687</v>
      </c>
      <c r="G2498" s="10" t="s">
        <v>695</v>
      </c>
      <c r="H2498" s="10" t="str" cm="1">
        <f t="array" aca="1" ref="H2498" ca="1">IF(INDEX(I2498:Z2498,$H$1)=0,"",INDEX(I2498:Z2498,$H$1))</f>
        <v>Flare Gas HHV</v>
      </c>
      <c r="I2498" s="10" t="s">
        <v>2710</v>
      </c>
      <c r="J2498" s="10" t="s">
        <v>2710</v>
      </c>
      <c r="K2498" s="10" t="s">
        <v>2710</v>
      </c>
    </row>
    <row r="2499" spans="1:11" x14ac:dyDescent="0.35">
      <c r="A2499" s="10" t="s">
        <v>1026</v>
      </c>
      <c r="B2499" s="255">
        <v>11</v>
      </c>
      <c r="C2499" s="10" t="s">
        <v>1031</v>
      </c>
      <c r="D2499" s="10">
        <v>2</v>
      </c>
      <c r="E2499" s="10">
        <v>29</v>
      </c>
      <c r="F2499" s="10" t="s">
        <v>687</v>
      </c>
      <c r="G2499" s="10" t="s">
        <v>695</v>
      </c>
      <c r="H2499" s="10" t="str" cm="1">
        <f t="array" aca="1" ref="H2499" ca="1">IF(INDEX(I2499:Z2499,$H$1)=0,"",INDEX(I2499:Z2499,$H$1))</f>
        <v>Acid Gas HHV</v>
      </c>
      <c r="I2499" s="10" t="s">
        <v>2942</v>
      </c>
      <c r="J2499" s="10" t="s">
        <v>2942</v>
      </c>
      <c r="K2499" s="10" t="s">
        <v>2942</v>
      </c>
    </row>
    <row r="2500" spans="1:11" x14ac:dyDescent="0.35">
      <c r="A2500" s="10" t="s">
        <v>1026</v>
      </c>
      <c r="B2500" s="255">
        <v>11</v>
      </c>
      <c r="C2500" s="10" t="s">
        <v>1031</v>
      </c>
      <c r="D2500" s="10">
        <v>2</v>
      </c>
      <c r="E2500" s="10">
        <v>29</v>
      </c>
      <c r="F2500" s="10" t="s">
        <v>687</v>
      </c>
      <c r="G2500" s="10" t="s">
        <v>695</v>
      </c>
      <c r="H2500" s="10" t="str" cm="1">
        <f t="array" aca="1" ref="H2500" ca="1">IF(INDEX(I2500:Z2500,$H$1)=0,"",INDEX(I2500:Z2500,$H$1))</f>
        <v>NMVOC HHV</v>
      </c>
      <c r="I2500" s="10" t="s">
        <v>3424</v>
      </c>
      <c r="J2500" s="10" t="s">
        <v>3424</v>
      </c>
      <c r="K2500" s="10" t="s">
        <v>3424</v>
      </c>
    </row>
    <row r="2501" spans="1:11" x14ac:dyDescent="0.35">
      <c r="A2501" s="10" t="s">
        <v>1026</v>
      </c>
      <c r="B2501" s="255">
        <v>11</v>
      </c>
      <c r="C2501" s="10" t="s">
        <v>1031</v>
      </c>
      <c r="D2501" s="10">
        <v>2</v>
      </c>
      <c r="E2501" s="10">
        <v>29</v>
      </c>
      <c r="F2501" s="10" t="s">
        <v>687</v>
      </c>
      <c r="G2501" s="10" t="s">
        <v>695</v>
      </c>
      <c r="H2501" s="10" t="str" cm="1">
        <f t="array" aca="1" ref="H2501" ca="1">IF(INDEX(I2501:Z2501,$H$1)=0,"",INDEX(I2501:Z2501,$H$1))</f>
        <v>NMVOC LHV</v>
      </c>
      <c r="I2501" s="10" t="s">
        <v>3425</v>
      </c>
      <c r="J2501" s="10" t="s">
        <v>3425</v>
      </c>
      <c r="K2501" s="10" t="s">
        <v>3425</v>
      </c>
    </row>
    <row r="2502" spans="1:11" x14ac:dyDescent="0.35">
      <c r="A2502" s="10" t="s">
        <v>1026</v>
      </c>
      <c r="B2502" s="255">
        <v>11</v>
      </c>
      <c r="C2502" s="10" t="s">
        <v>1031</v>
      </c>
      <c r="D2502" s="10">
        <v>2</v>
      </c>
      <c r="E2502" s="10">
        <v>29</v>
      </c>
      <c r="F2502" s="10" t="s">
        <v>687</v>
      </c>
      <c r="G2502" s="10" t="s">
        <v>695</v>
      </c>
      <c r="H2502" s="10" t="str" cm="1">
        <f t="array" aca="1" ref="H2502" ca="1">IF(INDEX(I2502:Z2502,$H$1)=0,"",INDEX(I2502:Z2502,$H$1))</f>
        <v>MJ/m3</v>
      </c>
      <c r="I2502" s="10" t="s">
        <v>2322</v>
      </c>
      <c r="J2502" s="10" t="s">
        <v>2322</v>
      </c>
      <c r="K2502" s="10" t="s">
        <v>2322</v>
      </c>
    </row>
    <row r="2503" spans="1:11" ht="16.5" x14ac:dyDescent="0.35">
      <c r="A2503" s="10" t="s">
        <v>1026</v>
      </c>
      <c r="B2503" s="255">
        <v>11</v>
      </c>
      <c r="C2503" s="10" t="s">
        <v>1031</v>
      </c>
      <c r="D2503" s="10">
        <v>2</v>
      </c>
      <c r="E2503" s="10">
        <v>29</v>
      </c>
      <c r="F2503" s="10" t="s">
        <v>38</v>
      </c>
      <c r="G2503" s="10" t="s">
        <v>767</v>
      </c>
      <c r="H2503" s="10" t="str" cm="1">
        <f t="array" aca="1" ref="H2503" ca="1">IF(INDEX(I2503:Z2503,$H$1)=0,"",INDEX(I2503:Z2503,$H$1))</f>
        <v>m3·kPa·kmol-1·°K-1</v>
      </c>
      <c r="I2503" s="10" t="s">
        <v>2675</v>
      </c>
      <c r="J2503" s="10" t="s">
        <v>2675</v>
      </c>
      <c r="K2503" s="27" t="s">
        <v>1797</v>
      </c>
    </row>
    <row r="2504" spans="1:11" x14ac:dyDescent="0.35">
      <c r="A2504" s="10" t="s">
        <v>1026</v>
      </c>
      <c r="B2504" s="255">
        <v>11</v>
      </c>
      <c r="C2504" s="10" t="s">
        <v>1031</v>
      </c>
      <c r="D2504" s="10">
        <v>2</v>
      </c>
      <c r="E2504" s="10">
        <v>29</v>
      </c>
      <c r="F2504" s="10" t="s">
        <v>38</v>
      </c>
      <c r="G2504" s="10" t="s">
        <v>767</v>
      </c>
      <c r="H2504" s="10" t="str" cm="1">
        <f t="array" aca="1" ref="H2504" ca="1">IF(INDEX(I2504:Z2504,$H$1)=0,"",INDEX(I2504:Z2504,$H$1))</f>
        <v>Dimensionless</v>
      </c>
      <c r="I2504" s="10" t="s">
        <v>1224</v>
      </c>
      <c r="J2504" s="10" t="s">
        <v>1224</v>
      </c>
      <c r="K2504" s="27" t="s">
        <v>1224</v>
      </c>
    </row>
    <row r="2505" spans="1:11" x14ac:dyDescent="0.35">
      <c r="A2505" s="10" t="s">
        <v>1026</v>
      </c>
      <c r="B2505" s="255">
        <v>11</v>
      </c>
      <c r="C2505" s="10" t="s">
        <v>1031</v>
      </c>
      <c r="D2505" s="10">
        <v>2</v>
      </c>
      <c r="E2505" s="10">
        <v>29</v>
      </c>
      <c r="F2505" s="10" t="s">
        <v>38</v>
      </c>
      <c r="G2505" s="10" t="s">
        <v>767</v>
      </c>
      <c r="H2505" s="10" t="str" cm="1">
        <f t="array" aca="1" ref="H2505" ca="1">IF(INDEX(I2505:Z2505,$H$1)=0,"",INDEX(I2505:Z2505,$H$1))</f>
        <v>kg/kmol</v>
      </c>
      <c r="I2505" s="10" t="s">
        <v>1165</v>
      </c>
      <c r="J2505" s="10" t="s">
        <v>1165</v>
      </c>
      <c r="K2505" s="27" t="s">
        <v>1165</v>
      </c>
    </row>
    <row r="2506" spans="1:11" x14ac:dyDescent="0.35">
      <c r="A2506" s="10" t="s">
        <v>1026</v>
      </c>
      <c r="B2506" s="255">
        <v>11</v>
      </c>
      <c r="C2506" s="10" t="s">
        <v>1031</v>
      </c>
      <c r="D2506" s="10">
        <v>2</v>
      </c>
      <c r="E2506" s="10">
        <v>29</v>
      </c>
      <c r="F2506" s="10" t="s">
        <v>38</v>
      </c>
      <c r="G2506" s="10" t="s">
        <v>767</v>
      </c>
      <c r="H2506" s="10" t="str" cm="1">
        <f t="array" aca="1" ref="H2506" ca="1">IF(INDEX(I2506:Z2506,$H$1)=0,"",INDEX(I2506:Z2506,$H$1))</f>
        <v>kg/m3</v>
      </c>
      <c r="I2506" s="10" t="s">
        <v>2853</v>
      </c>
      <c r="J2506" s="10" t="s">
        <v>2853</v>
      </c>
      <c r="K2506" s="27" t="s">
        <v>2853</v>
      </c>
    </row>
    <row r="2507" spans="1:11" x14ac:dyDescent="0.35">
      <c r="A2507" s="10" t="s">
        <v>1026</v>
      </c>
      <c r="B2507" s="255">
        <v>11</v>
      </c>
      <c r="C2507" s="10" t="s">
        <v>1031</v>
      </c>
      <c r="D2507" s="10">
        <v>2</v>
      </c>
      <c r="E2507" s="10">
        <v>29</v>
      </c>
      <c r="F2507" s="10" t="s">
        <v>38</v>
      </c>
      <c r="G2507" s="10" t="s">
        <v>767</v>
      </c>
      <c r="H2507" s="10" t="str" cm="1">
        <f t="array" aca="1" ref="H2507" ca="1">IF(INDEX(I2507:Z2507,$H$1)=0,"",INDEX(I2507:Z2507,$H$1))</f>
        <v>Dimensionless</v>
      </c>
      <c r="I2507" s="10" t="s">
        <v>1224</v>
      </c>
      <c r="J2507" s="10" t="s">
        <v>1224</v>
      </c>
      <c r="K2507" s="27" t="s">
        <v>1224</v>
      </c>
    </row>
    <row r="2508" spans="1:11" x14ac:dyDescent="0.35">
      <c r="A2508" s="10" t="s">
        <v>1026</v>
      </c>
      <c r="B2508" s="255">
        <v>11</v>
      </c>
      <c r="C2508" s="10" t="s">
        <v>1031</v>
      </c>
      <c r="D2508" s="10">
        <v>2</v>
      </c>
      <c r="E2508" s="10">
        <v>29</v>
      </c>
      <c r="F2508" s="10" t="s">
        <v>38</v>
      </c>
      <c r="G2508" s="10" t="s">
        <v>767</v>
      </c>
      <c r="H2508" s="10" t="str" cm="1">
        <f t="array" aca="1" ref="H2508" ca="1">IF(INDEX(I2508:Z2508,$H$1)=0,"",INDEX(I2508:Z2508,$H$1))</f>
        <v>kg/kmol</v>
      </c>
      <c r="I2508" s="10" t="s">
        <v>1165</v>
      </c>
      <c r="J2508" s="10" t="s">
        <v>1165</v>
      </c>
      <c r="K2508" s="27" t="s">
        <v>1165</v>
      </c>
    </row>
    <row r="2509" spans="1:11" x14ac:dyDescent="0.35">
      <c r="A2509" s="10" t="s">
        <v>1026</v>
      </c>
      <c r="B2509" s="255">
        <v>11</v>
      </c>
      <c r="C2509" s="10" t="s">
        <v>1031</v>
      </c>
      <c r="D2509" s="10">
        <v>2</v>
      </c>
      <c r="E2509" s="10">
        <v>29</v>
      </c>
      <c r="F2509" s="10" t="s">
        <v>38</v>
      </c>
      <c r="G2509" s="10" t="s">
        <v>767</v>
      </c>
      <c r="H2509" s="10" t="str" cm="1">
        <f t="array" aca="1" ref="H2509" ca="1">IF(INDEX(I2509:Z2509,$H$1)=0,"",INDEX(I2509:Z2509,$H$1))</f>
        <v>J/kg</v>
      </c>
      <c r="I2509" s="10" t="s">
        <v>2947</v>
      </c>
      <c r="J2509" s="10" t="s">
        <v>2947</v>
      </c>
      <c r="K2509" s="27" t="s">
        <v>2947</v>
      </c>
    </row>
    <row r="2510" spans="1:11" x14ac:dyDescent="0.35">
      <c r="A2510" s="10" t="s">
        <v>1026</v>
      </c>
      <c r="B2510" s="255">
        <v>11</v>
      </c>
      <c r="C2510" s="10" t="s">
        <v>1031</v>
      </c>
      <c r="D2510" s="10">
        <v>2</v>
      </c>
      <c r="E2510" s="10">
        <v>29</v>
      </c>
      <c r="F2510" s="10" t="s">
        <v>38</v>
      </c>
      <c r="G2510" s="10" t="s">
        <v>767</v>
      </c>
      <c r="H2510" s="10" t="str" cm="1">
        <f t="array" aca="1" ref="H2510" ca="1">IF(INDEX(I2510:Z2510,$H$1)=0,"",INDEX(I2510:Z2510,$H$1))</f>
        <v>J/kg</v>
      </c>
      <c r="I2510" s="10" t="s">
        <v>2947</v>
      </c>
      <c r="J2510" s="10" t="s">
        <v>2947</v>
      </c>
      <c r="K2510" s="27" t="s">
        <v>2947</v>
      </c>
    </row>
    <row r="2511" spans="1:11" x14ac:dyDescent="0.35">
      <c r="A2511" s="10" t="s">
        <v>1026</v>
      </c>
      <c r="B2511" s="255">
        <v>11</v>
      </c>
      <c r="C2511" s="10" t="s">
        <v>1031</v>
      </c>
      <c r="D2511" s="10">
        <v>2</v>
      </c>
      <c r="E2511" s="10">
        <v>29</v>
      </c>
      <c r="F2511" s="10" t="s">
        <v>38</v>
      </c>
      <c r="G2511" s="10" t="s">
        <v>767</v>
      </c>
      <c r="H2511" s="10" t="str" cm="1">
        <f t="array" aca="1" ref="H2511" ca="1">IF(INDEX(I2511:Z2511,$H$1)=0,"",INDEX(I2511:Z2511,$H$1))</f>
        <v>kg/m3</v>
      </c>
      <c r="I2511" s="10" t="s">
        <v>2853</v>
      </c>
      <c r="J2511" s="10" t="s">
        <v>2853</v>
      </c>
      <c r="K2511" s="27" t="s">
        <v>2853</v>
      </c>
    </row>
    <row r="2512" spans="1:11" x14ac:dyDescent="0.35">
      <c r="A2512" s="10" t="s">
        <v>1026</v>
      </c>
      <c r="B2512" s="255">
        <v>11</v>
      </c>
      <c r="C2512" s="10" t="s">
        <v>1031</v>
      </c>
      <c r="D2512" s="10">
        <v>2</v>
      </c>
      <c r="E2512" s="10">
        <v>29</v>
      </c>
      <c r="F2512" s="10" t="s">
        <v>38</v>
      </c>
      <c r="G2512" s="10" t="s">
        <v>767</v>
      </c>
      <c r="H2512" s="10" t="str" cm="1">
        <f t="array" aca="1" ref="H2512" ca="1">IF(INDEX(I2512:Z2512,$H$1)=0,"",INDEX(I2512:Z2512,$H$1))</f>
        <v>MJ/m3</v>
      </c>
      <c r="I2512" s="10" t="s">
        <v>2322</v>
      </c>
      <c r="J2512" s="10" t="s">
        <v>2322</v>
      </c>
      <c r="K2512" s="27" t="s">
        <v>2322</v>
      </c>
    </row>
    <row r="2513" spans="1:11" x14ac:dyDescent="0.35">
      <c r="A2513" s="10" t="s">
        <v>1026</v>
      </c>
      <c r="B2513" s="255">
        <v>11</v>
      </c>
      <c r="C2513" s="10" t="s">
        <v>1031</v>
      </c>
      <c r="D2513" s="10">
        <v>2</v>
      </c>
      <c r="E2513" s="10">
        <v>29</v>
      </c>
      <c r="F2513" s="10" t="s">
        <v>38</v>
      </c>
      <c r="G2513" s="10" t="s">
        <v>767</v>
      </c>
      <c r="H2513" s="10" t="str" cm="1">
        <f t="array" aca="1" ref="H2513" ca="1">IF(INDEX(I2513:Z2513,$H$1)=0,"",INDEX(I2513:Z2513,$H$1))</f>
        <v>MJ/m3</v>
      </c>
      <c r="I2513" s="10" t="s">
        <v>2322</v>
      </c>
      <c r="J2513" s="10" t="s">
        <v>2322</v>
      </c>
      <c r="K2513" s="27" t="s">
        <v>2322</v>
      </c>
    </row>
    <row r="2514" spans="1:11" x14ac:dyDescent="0.35">
      <c r="A2514" s="10" t="s">
        <v>1026</v>
      </c>
      <c r="B2514" s="255">
        <v>11</v>
      </c>
      <c r="C2514" s="10" t="s">
        <v>1031</v>
      </c>
      <c r="D2514" s="10">
        <v>2</v>
      </c>
      <c r="E2514" s="10">
        <v>29</v>
      </c>
      <c r="F2514" s="10" t="s">
        <v>38</v>
      </c>
      <c r="G2514" s="10" t="s">
        <v>767</v>
      </c>
      <c r="H2514" s="10" t="str" cm="1">
        <f t="array" aca="1" ref="H2514" ca="1">IF(INDEX(I2514:Z2514,$H$1)=0,"",INDEX(I2514:Z2514,$H$1))</f>
        <v>kg/kmol</v>
      </c>
      <c r="I2514" s="10" t="s">
        <v>1165</v>
      </c>
      <c r="J2514" s="10" t="s">
        <v>1165</v>
      </c>
      <c r="K2514" s="27" t="s">
        <v>1165</v>
      </c>
    </row>
    <row r="2515" spans="1:11" x14ac:dyDescent="0.35">
      <c r="A2515" s="10" t="s">
        <v>1026</v>
      </c>
      <c r="B2515" s="255">
        <v>11</v>
      </c>
      <c r="C2515" s="10" t="s">
        <v>1031</v>
      </c>
      <c r="D2515" s="10">
        <v>2</v>
      </c>
      <c r="E2515" s="10">
        <v>29</v>
      </c>
      <c r="F2515" s="10" t="s">
        <v>38</v>
      </c>
      <c r="G2515" s="10" t="s">
        <v>767</v>
      </c>
      <c r="H2515" s="10" t="str" cm="1">
        <f t="array" aca="1" ref="H2515" ca="1">IF(INDEX(I2515:Z2515,$H$1)=0,"",INDEX(I2515:Z2515,$H$1))</f>
        <v>kg/kmol</v>
      </c>
      <c r="I2515" s="10" t="s">
        <v>1165</v>
      </c>
      <c r="J2515" s="10" t="s">
        <v>1165</v>
      </c>
      <c r="K2515" s="27" t="s">
        <v>1165</v>
      </c>
    </row>
    <row r="2516" spans="1:11" x14ac:dyDescent="0.35">
      <c r="A2516" s="10" t="s">
        <v>1184</v>
      </c>
      <c r="B2516" s="255">
        <v>12</v>
      </c>
      <c r="C2516" s="10" t="s">
        <v>232</v>
      </c>
      <c r="D2516" s="10">
        <v>1</v>
      </c>
      <c r="E2516" s="10">
        <v>1</v>
      </c>
      <c r="F2516" s="10" t="s">
        <v>690</v>
      </c>
      <c r="G2516" s="10" t="s">
        <v>688</v>
      </c>
      <c r="H2516" s="10" t="str" cm="1">
        <f t="array" aca="1" ref="H2516" ca="1">IF(INDEX(I2516:Z2516,$H$1)=0,"",INDEX(I2516:Z2516,$H$1))</f>
        <v>Conversion Factor Look-up Table</v>
      </c>
      <c r="I2516" s="10" t="s">
        <v>232</v>
      </c>
      <c r="J2516" s="10" t="s">
        <v>1300</v>
      </c>
      <c r="K2516" s="27" t="s">
        <v>1798</v>
      </c>
    </row>
    <row r="2517" spans="1:11" x14ac:dyDescent="0.35">
      <c r="A2517" s="10" t="s">
        <v>1184</v>
      </c>
      <c r="B2517" s="255">
        <v>12</v>
      </c>
      <c r="C2517" s="10" t="s">
        <v>232</v>
      </c>
      <c r="D2517" s="10">
        <v>1</v>
      </c>
      <c r="E2517" s="10">
        <v>3</v>
      </c>
      <c r="F2517" s="10" t="s">
        <v>690</v>
      </c>
      <c r="G2517" s="10" t="s">
        <v>696</v>
      </c>
      <c r="H2517" s="10" t="str" cm="1">
        <f t="array" aca="1" ref="H2517" ca="1">IF(INDEX(I2517:Z2517,$H$1)=0,"",INDEX(I2517:Z2517,$H$1))</f>
        <v>From</v>
      </c>
      <c r="I2517" s="10" t="s">
        <v>17</v>
      </c>
      <c r="J2517" s="2" t="s">
        <v>1304</v>
      </c>
      <c r="K2517" s="27" t="s">
        <v>1799</v>
      </c>
    </row>
    <row r="2518" spans="1:11" x14ac:dyDescent="0.35">
      <c r="A2518" s="10" t="s">
        <v>1184</v>
      </c>
      <c r="B2518" s="255">
        <v>12</v>
      </c>
      <c r="C2518" s="10" t="s">
        <v>232</v>
      </c>
      <c r="D2518" s="10">
        <v>1</v>
      </c>
      <c r="E2518" s="10">
        <v>3</v>
      </c>
      <c r="F2518" s="10" t="s">
        <v>38</v>
      </c>
      <c r="G2518" s="10" t="s">
        <v>696</v>
      </c>
      <c r="H2518" s="10" t="str" cm="1">
        <f t="array" aca="1" ref="H2518" ca="1">IF(INDEX(I2518:Z2518,$H$1)=0,"",INDEX(I2518:Z2518,$H$1))</f>
        <v>To</v>
      </c>
      <c r="I2518" s="10" t="s">
        <v>18</v>
      </c>
      <c r="J2518" s="2" t="s">
        <v>1305</v>
      </c>
      <c r="K2518" s="27" t="s">
        <v>1800</v>
      </c>
    </row>
    <row r="2519" spans="1:11" x14ac:dyDescent="0.35">
      <c r="A2519" s="10" t="s">
        <v>1184</v>
      </c>
      <c r="B2519" s="255">
        <v>12</v>
      </c>
      <c r="C2519" s="10" t="s">
        <v>232</v>
      </c>
      <c r="D2519" s="10">
        <v>1</v>
      </c>
      <c r="E2519" s="10">
        <v>3</v>
      </c>
      <c r="F2519" s="10" t="s">
        <v>692</v>
      </c>
      <c r="G2519" s="10" t="s">
        <v>696</v>
      </c>
      <c r="H2519" s="10" t="str" cm="1">
        <f t="array" aca="1" ref="H2519" ca="1">IF(INDEX(I2519:Z2519,$H$1)=0,"",INDEX(I2519:Z2519,$H$1))</f>
        <v>Conversion Factor</v>
      </c>
      <c r="I2519" s="10" t="s">
        <v>15</v>
      </c>
      <c r="J2519" s="2" t="s">
        <v>1306</v>
      </c>
      <c r="K2519" s="27" t="s">
        <v>1678</v>
      </c>
    </row>
    <row r="2520" spans="1:11" x14ac:dyDescent="0.35">
      <c r="A2520" s="10" t="s">
        <v>1184</v>
      </c>
      <c r="B2520" s="255">
        <v>12</v>
      </c>
      <c r="C2520" s="10" t="s">
        <v>232</v>
      </c>
      <c r="D2520" s="10">
        <v>1</v>
      </c>
      <c r="E2520" s="10">
        <v>4</v>
      </c>
      <c r="F2520" s="10" t="s">
        <v>692</v>
      </c>
      <c r="G2520" s="10" t="s">
        <v>696</v>
      </c>
      <c r="H2520" s="10" t="str" cm="1">
        <f t="array" aca="1" ref="H2520" ca="1">IF(INDEX(I2520:Z2520,$H$1)=0,"",INDEX(I2520:Z2520,$H$1))</f>
        <v>Value</v>
      </c>
      <c r="I2520" s="10" t="s">
        <v>6</v>
      </c>
      <c r="J2520" s="2" t="s">
        <v>1307</v>
      </c>
      <c r="K2520" s="27" t="s">
        <v>1411</v>
      </c>
    </row>
    <row r="2521" spans="1:11" x14ac:dyDescent="0.35">
      <c r="A2521" s="10" t="s">
        <v>1184</v>
      </c>
      <c r="B2521" s="255">
        <v>12</v>
      </c>
      <c r="C2521" s="10" t="s">
        <v>232</v>
      </c>
      <c r="D2521" s="10">
        <v>1</v>
      </c>
      <c r="E2521" s="10">
        <v>4</v>
      </c>
      <c r="F2521" s="10" t="s">
        <v>693</v>
      </c>
      <c r="G2521" s="10" t="s">
        <v>696</v>
      </c>
      <c r="H2521" s="10" t="str" cm="1">
        <f t="array" aca="1" ref="H2521" ca="1">IF(INDEX(I2521:Z2521,$H$1)=0,"",INDEX(I2521:Z2521,$H$1))</f>
        <v>Descriptor</v>
      </c>
      <c r="I2521" s="10" t="s">
        <v>19</v>
      </c>
      <c r="J2521" s="2" t="s">
        <v>1308</v>
      </c>
      <c r="K2521" s="27" t="s">
        <v>19</v>
      </c>
    </row>
    <row r="2522" spans="1:11" x14ac:dyDescent="0.35">
      <c r="A2522" s="10" t="s">
        <v>1184</v>
      </c>
      <c r="B2522" s="255">
        <v>12</v>
      </c>
      <c r="C2522" s="10" t="s">
        <v>232</v>
      </c>
      <c r="D2522" s="10">
        <v>1</v>
      </c>
      <c r="E2522" s="10">
        <v>5</v>
      </c>
      <c r="F2522" s="10" t="s">
        <v>690</v>
      </c>
      <c r="G2522" s="10" t="s">
        <v>767</v>
      </c>
      <c r="H2522" s="10" t="str" cm="1">
        <f t="array" aca="1" ref="H2522" ca="1">IF(INDEX(I2522:Z2522,$H$1)=0,"",INDEX(I2522:Z2522,$H$1))</f>
        <v>bbl</v>
      </c>
      <c r="I2522" s="10" t="s">
        <v>67</v>
      </c>
      <c r="J2522" s="2" t="s">
        <v>2016</v>
      </c>
      <c r="K2522" s="27" t="s">
        <v>67</v>
      </c>
    </row>
    <row r="2523" spans="1:11" x14ac:dyDescent="0.35">
      <c r="A2523" s="10" t="s">
        <v>1184</v>
      </c>
      <c r="B2523" s="255">
        <v>12</v>
      </c>
      <c r="C2523" s="10" t="s">
        <v>232</v>
      </c>
      <c r="D2523" s="10">
        <v>1</v>
      </c>
      <c r="E2523" s="10">
        <v>6</v>
      </c>
      <c r="F2523" s="10" t="s">
        <v>690</v>
      </c>
      <c r="G2523" s="10" t="s">
        <v>767</v>
      </c>
      <c r="H2523" s="10" t="str" cm="1">
        <f t="array" aca="1" ref="H2523" ca="1">IF(INDEX(I2523:Z2523,$H$1)=0,"",INDEX(I2523:Z2523,$H$1))</f>
        <v>lb CH4</v>
      </c>
      <c r="I2523" s="10" t="s">
        <v>1997</v>
      </c>
      <c r="J2523" s="2" t="s">
        <v>2017</v>
      </c>
      <c r="K2523" s="27" t="s">
        <v>1997</v>
      </c>
    </row>
    <row r="2524" spans="1:11" x14ac:dyDescent="0.35">
      <c r="A2524" s="10" t="s">
        <v>1184</v>
      </c>
      <c r="B2524" s="255">
        <v>12</v>
      </c>
      <c r="C2524" s="10" t="s">
        <v>232</v>
      </c>
      <c r="D2524" s="10">
        <v>1</v>
      </c>
      <c r="E2524" s="10">
        <v>7</v>
      </c>
      <c r="F2524" s="10" t="s">
        <v>690</v>
      </c>
      <c r="G2524" s="10" t="s">
        <v>767</v>
      </c>
      <c r="H2524" s="10" t="str" cm="1">
        <f t="array" aca="1" ref="H2524" ca="1">IF(INDEX(I2524:Z2524,$H$1)=0,"",INDEX(I2524:Z2524,$H$1))</f>
        <v>lb</v>
      </c>
      <c r="I2524" s="10" t="s">
        <v>21</v>
      </c>
      <c r="J2524" s="2" t="s">
        <v>2018</v>
      </c>
      <c r="K2524" s="27" t="s">
        <v>21</v>
      </c>
    </row>
    <row r="2525" spans="1:11" x14ac:dyDescent="0.35">
      <c r="A2525" s="10" t="s">
        <v>1184</v>
      </c>
      <c r="B2525" s="255">
        <v>12</v>
      </c>
      <c r="C2525" s="10" t="s">
        <v>232</v>
      </c>
      <c r="D2525" s="10">
        <v>1</v>
      </c>
      <c r="E2525" s="10">
        <v>8</v>
      </c>
      <c r="F2525" s="10" t="s">
        <v>690</v>
      </c>
      <c r="G2525" s="10" t="s">
        <v>767</v>
      </c>
      <c r="H2525" s="10" t="str" cm="1">
        <f t="array" aca="1" ref="H2525" ca="1">IF(INDEX(I2525:Z2525,$H$1)=0,"",INDEX(I2525:Z2525,$H$1))</f>
        <v>m3 CH4</v>
      </c>
      <c r="I2525" s="10" t="s">
        <v>1943</v>
      </c>
      <c r="J2525" s="2" t="s">
        <v>1962</v>
      </c>
      <c r="K2525" s="27" t="s">
        <v>1943</v>
      </c>
    </row>
    <row r="2526" spans="1:11" x14ac:dyDescent="0.35">
      <c r="A2526" s="10" t="s">
        <v>1184</v>
      </c>
      <c r="B2526" s="255">
        <v>12</v>
      </c>
      <c r="C2526" s="10" t="s">
        <v>232</v>
      </c>
      <c r="D2526" s="10">
        <v>1</v>
      </c>
      <c r="E2526" s="10">
        <v>9</v>
      </c>
      <c r="F2526" s="10" t="s">
        <v>690</v>
      </c>
      <c r="G2526" s="10" t="s">
        <v>767</v>
      </c>
      <c r="H2526" s="10" t="str" cm="1">
        <f t="array" aca="1" ref="H2526" ca="1">IF(INDEX(I2526:Z2526,$H$1)=0,"",INDEX(I2526:Z2526,$H$1))</f>
        <v>m3 CH4/d</v>
      </c>
      <c r="I2526" s="10" t="s">
        <v>875</v>
      </c>
      <c r="J2526" s="2" t="s">
        <v>2019</v>
      </c>
      <c r="K2526" s="27" t="s">
        <v>875</v>
      </c>
    </row>
    <row r="2527" spans="1:11" x14ac:dyDescent="0.35">
      <c r="A2527" s="10" t="s">
        <v>1184</v>
      </c>
      <c r="B2527" s="255">
        <v>12</v>
      </c>
      <c r="C2527" s="10" t="s">
        <v>232</v>
      </c>
      <c r="D2527" s="10">
        <v>1</v>
      </c>
      <c r="E2527" s="10">
        <v>10</v>
      </c>
      <c r="F2527" s="10" t="s">
        <v>690</v>
      </c>
      <c r="G2527" s="10" t="s">
        <v>767</v>
      </c>
      <c r="H2527" s="10" t="str" cm="1">
        <f t="array" aca="1" ref="H2527" ca="1">IF(INDEX(I2527:Z2527,$H$1)=0,"",INDEX(I2527:Z2527,$H$1))</f>
        <v>m3/hr/device</v>
      </c>
      <c r="I2527" s="10" t="s">
        <v>1998</v>
      </c>
      <c r="J2527" s="2" t="s">
        <v>2020</v>
      </c>
      <c r="K2527" s="27" t="s">
        <v>2004</v>
      </c>
    </row>
    <row r="2528" spans="1:11" x14ac:dyDescent="0.35">
      <c r="A2528" s="10" t="s">
        <v>1184</v>
      </c>
      <c r="B2528" s="255">
        <v>12</v>
      </c>
      <c r="C2528" s="10" t="s">
        <v>232</v>
      </c>
      <c r="D2528" s="10">
        <v>1</v>
      </c>
      <c r="E2528" s="10">
        <v>11</v>
      </c>
      <c r="F2528" s="10" t="s">
        <v>690</v>
      </c>
      <c r="G2528" s="10" t="s">
        <v>767</v>
      </c>
      <c r="H2528" s="10" t="str" cm="1">
        <f t="array" aca="1" ref="H2528" ca="1">IF(INDEX(I2528:Z2528,$H$1)=0,"",INDEX(I2528:Z2528,$H$1))</f>
        <v>mile</v>
      </c>
      <c r="I2528" s="10" t="s">
        <v>105</v>
      </c>
      <c r="J2528" s="2" t="s">
        <v>2021</v>
      </c>
      <c r="K2528" s="27" t="s">
        <v>2005</v>
      </c>
    </row>
    <row r="2529" spans="1:11" x14ac:dyDescent="0.35">
      <c r="A2529" s="10" t="s">
        <v>1184</v>
      </c>
      <c r="B2529" s="255">
        <v>12</v>
      </c>
      <c r="C2529" s="10" t="s">
        <v>232</v>
      </c>
      <c r="D2529" s="10">
        <v>1</v>
      </c>
      <c r="E2529" s="10">
        <v>12</v>
      </c>
      <c r="F2529" s="10" t="s">
        <v>690</v>
      </c>
      <c r="G2529" s="10" t="s">
        <v>767</v>
      </c>
      <c r="H2529" s="10" t="str" cm="1">
        <f t="array" aca="1" ref="H2529" ca="1">IF(INDEX(I2529:Z2529,$H$1)=0,"",INDEX(I2529:Z2529,$H$1))</f>
        <v>scf</v>
      </c>
      <c r="I2529" s="10" t="s">
        <v>27</v>
      </c>
      <c r="J2529" s="2" t="s">
        <v>27</v>
      </c>
      <c r="K2529" s="27" t="s">
        <v>27</v>
      </c>
    </row>
    <row r="2530" spans="1:11" x14ac:dyDescent="0.35">
      <c r="A2530" s="10" t="s">
        <v>1184</v>
      </c>
      <c r="B2530" s="255">
        <v>12</v>
      </c>
      <c r="C2530" s="10" t="s">
        <v>232</v>
      </c>
      <c r="D2530" s="10">
        <v>1</v>
      </c>
      <c r="E2530" s="10">
        <v>13</v>
      </c>
      <c r="F2530" s="10" t="s">
        <v>690</v>
      </c>
      <c r="G2530" s="10" t="s">
        <v>767</v>
      </c>
      <c r="H2530" s="10" t="str" cm="1">
        <f t="array" aca="1" ref="H2530" ca="1">IF(INDEX(I2530:Z2530,$H$1)=0,"",INDEX(I2530:Z2530,$H$1))</f>
        <v>scf/106 scf gas processed</v>
      </c>
      <c r="I2530" s="10" t="s">
        <v>1999</v>
      </c>
      <c r="J2530" s="2" t="s">
        <v>2022</v>
      </c>
      <c r="K2530" s="27" t="s">
        <v>2006</v>
      </c>
    </row>
    <row r="2531" spans="1:11" x14ac:dyDescent="0.35">
      <c r="A2531" s="10" t="s">
        <v>1184</v>
      </c>
      <c r="B2531" s="255">
        <v>12</v>
      </c>
      <c r="C2531" s="10" t="s">
        <v>232</v>
      </c>
      <c r="D2531" s="10">
        <v>1</v>
      </c>
      <c r="E2531" s="10">
        <v>14</v>
      </c>
      <c r="F2531" s="10" t="s">
        <v>690</v>
      </c>
      <c r="G2531" s="10" t="s">
        <v>767</v>
      </c>
      <c r="H2531" s="10" t="str" cm="1">
        <f t="array" aca="1" ref="H2531" ca="1">IF(INDEX(I2531:Z2531,$H$1)=0,"",INDEX(I2531:Z2531,$H$1))</f>
        <v>scf/activity</v>
      </c>
      <c r="I2531" s="10" t="s">
        <v>109</v>
      </c>
      <c r="J2531" s="2" t="s">
        <v>2023</v>
      </c>
      <c r="K2531" s="27" t="s">
        <v>2007</v>
      </c>
    </row>
    <row r="2532" spans="1:11" x14ac:dyDescent="0.35">
      <c r="A2532" s="10" t="s">
        <v>1184</v>
      </c>
      <c r="B2532" s="255">
        <v>12</v>
      </c>
      <c r="C2532" s="10" t="s">
        <v>232</v>
      </c>
      <c r="D2532" s="10">
        <v>1</v>
      </c>
      <c r="E2532" s="10">
        <v>15</v>
      </c>
      <c r="F2532" s="10" t="s">
        <v>690</v>
      </c>
      <c r="G2532" s="10" t="s">
        <v>767</v>
      </c>
      <c r="H2532" s="10" t="str" cm="1">
        <f t="array" aca="1" ref="H2532" ca="1">IF(INDEX(I2532:Z2532,$H$1)=0,"",INDEX(I2532:Z2532,$H$1))</f>
        <v>scf/activity-day</v>
      </c>
      <c r="I2532" s="10" t="s">
        <v>102</v>
      </c>
      <c r="J2532" s="2" t="s">
        <v>2024</v>
      </c>
      <c r="K2532" s="27" t="s">
        <v>2008</v>
      </c>
    </row>
    <row r="2533" spans="1:11" x14ac:dyDescent="0.35">
      <c r="A2533" s="10" t="s">
        <v>1184</v>
      </c>
      <c r="B2533" s="255">
        <v>12</v>
      </c>
      <c r="C2533" s="10" t="s">
        <v>232</v>
      </c>
      <c r="D2533" s="10">
        <v>1</v>
      </c>
      <c r="E2533" s="10">
        <v>15</v>
      </c>
      <c r="F2533" s="10" t="s">
        <v>690</v>
      </c>
      <c r="G2533" s="10" t="s">
        <v>767</v>
      </c>
      <c r="H2533" s="10" t="str" cm="1">
        <f t="array" aca="1" ref="H2533" ca="1">IF(INDEX(I2533:Z2533,$H$1)=0,"",INDEX(I2533:Z2533,$H$1))</f>
        <v>scf/h/device</v>
      </c>
      <c r="I2533" s="10" t="s">
        <v>2744</v>
      </c>
      <c r="J2533" s="2"/>
      <c r="K2533" s="27"/>
    </row>
    <row r="2534" spans="1:11" x14ac:dyDescent="0.35">
      <c r="A2534" s="10" t="s">
        <v>1184</v>
      </c>
      <c r="B2534" s="255">
        <v>12</v>
      </c>
      <c r="C2534" s="10" t="s">
        <v>232</v>
      </c>
      <c r="D2534" s="10">
        <v>1</v>
      </c>
      <c r="E2534" s="10">
        <v>16</v>
      </c>
      <c r="F2534" s="10" t="s">
        <v>690</v>
      </c>
      <c r="G2534" s="10" t="s">
        <v>767</v>
      </c>
      <c r="H2534" s="10" t="str" cm="1">
        <f t="array" aca="1" ref="H2534" ca="1">IF(INDEX(I2534:Z2534,$H$1)=0,"",INDEX(I2534:Z2534,$H$1))</f>
        <v>scf/d/device</v>
      </c>
      <c r="I2534" s="10" t="s">
        <v>20</v>
      </c>
      <c r="J2534" s="2" t="s">
        <v>2025</v>
      </c>
      <c r="K2534" s="27" t="s">
        <v>2009</v>
      </c>
    </row>
    <row r="2535" spans="1:11" x14ac:dyDescent="0.35">
      <c r="A2535" s="10" t="s">
        <v>1184</v>
      </c>
      <c r="B2535" s="255">
        <v>12</v>
      </c>
      <c r="C2535" s="10" t="s">
        <v>232</v>
      </c>
      <c r="D2535" s="10">
        <v>1</v>
      </c>
      <c r="E2535" s="10">
        <v>17</v>
      </c>
      <c r="F2535" s="10" t="s">
        <v>690</v>
      </c>
      <c r="G2535" s="10" t="s">
        <v>767</v>
      </c>
      <c r="H2535" s="10" t="str" cm="1">
        <f t="array" aca="1" ref="H2535" ca="1">IF(INDEX(I2535:Z2535,$H$1)=0,"",INDEX(I2535:Z2535,$H$1))</f>
        <v>scf/y/pipeline-mile</v>
      </c>
      <c r="I2535" s="10" t="s">
        <v>103</v>
      </c>
      <c r="J2535" s="2" t="s">
        <v>2026</v>
      </c>
      <c r="K2535" s="27" t="s">
        <v>2010</v>
      </c>
    </row>
    <row r="2536" spans="1:11" x14ac:dyDescent="0.35">
      <c r="A2536" s="10" t="s">
        <v>1184</v>
      </c>
      <c r="B2536" s="255">
        <v>12</v>
      </c>
      <c r="C2536" s="10" t="s">
        <v>232</v>
      </c>
      <c r="D2536" s="10">
        <v>1</v>
      </c>
      <c r="E2536" s="10">
        <v>18</v>
      </c>
      <c r="F2536" s="10" t="s">
        <v>690</v>
      </c>
      <c r="G2536" s="10" t="s">
        <v>767</v>
      </c>
      <c r="H2536" s="10" t="str" cm="1">
        <f t="array" aca="1" ref="H2536" ca="1">IF(INDEX(I2536:Z2536,$H$1)=0,"",INDEX(I2536:Z2536,$H$1))</f>
        <v>scf/y/source</v>
      </c>
      <c r="I2536" s="10" t="s">
        <v>101</v>
      </c>
      <c r="J2536" s="2" t="s">
        <v>2027</v>
      </c>
      <c r="K2536" s="27" t="s">
        <v>2011</v>
      </c>
    </row>
    <row r="2537" spans="1:11" x14ac:dyDescent="0.35">
      <c r="A2537" s="10" t="s">
        <v>1184</v>
      </c>
      <c r="B2537" s="255">
        <v>12</v>
      </c>
      <c r="C2537" s="10" t="s">
        <v>232</v>
      </c>
      <c r="D2537" s="10">
        <v>1</v>
      </c>
      <c r="E2537" s="10">
        <v>19</v>
      </c>
      <c r="F2537" s="10" t="s">
        <v>690</v>
      </c>
      <c r="G2537" s="10" t="s">
        <v>767</v>
      </c>
      <c r="H2537" s="10" t="str" cm="1">
        <f t="array" aca="1" ref="H2537" ca="1">IF(INDEX(I2537:Z2537,$H$1)=0,"",INDEX(I2537:Z2537,$H$1))</f>
        <v>ton</v>
      </c>
      <c r="I2537" s="10" t="s">
        <v>24</v>
      </c>
      <c r="J2537" s="2" t="s">
        <v>2028</v>
      </c>
      <c r="K2537" s="27" t="s">
        <v>1958</v>
      </c>
    </row>
    <row r="2538" spans="1:11" x14ac:dyDescent="0.35">
      <c r="A2538" s="10" t="s">
        <v>1184</v>
      </c>
      <c r="B2538" s="255">
        <v>12</v>
      </c>
      <c r="C2538" s="10" t="s">
        <v>232</v>
      </c>
      <c r="D2538" s="10">
        <v>1</v>
      </c>
      <c r="E2538" s="10">
        <v>19</v>
      </c>
      <c r="F2538" s="10" t="s">
        <v>690</v>
      </c>
      <c r="G2538" s="10" t="s">
        <v>767</v>
      </c>
      <c r="H2538" s="10" t="str" cm="1">
        <f t="array" aca="1" ref="H2538" ca="1">IF(INDEX(I2538:Z2538,$H$1)=0,"",INDEX(I2538:Z2538,$H$1))</f>
        <v>tonnes CH4</v>
      </c>
      <c r="I2538" s="10" t="s">
        <v>1944</v>
      </c>
      <c r="J2538" s="2"/>
      <c r="K2538" s="27"/>
    </row>
    <row r="2539" spans="1:11" x14ac:dyDescent="0.35">
      <c r="A2539" s="10" t="s">
        <v>1184</v>
      </c>
      <c r="B2539" s="255">
        <v>12</v>
      </c>
      <c r="C2539" s="10" t="s">
        <v>232</v>
      </c>
      <c r="D2539" s="10">
        <v>1</v>
      </c>
      <c r="E2539" s="10">
        <v>19</v>
      </c>
      <c r="F2539" s="10" t="s">
        <v>690</v>
      </c>
      <c r="G2539" s="10" t="s">
        <v>767</v>
      </c>
      <c r="H2539" s="10" t="str" cm="1">
        <f t="array" aca="1" ref="H2539" ca="1">IF(INDEX(I2539:Z2539,$H$1)=0,"",INDEX(I2539:Z2539,$H$1))</f>
        <v>tonnes CH4/pipeline-mile</v>
      </c>
      <c r="I2539" s="10" t="s">
        <v>2741</v>
      </c>
      <c r="J2539" s="2"/>
      <c r="K2539" s="27"/>
    </row>
    <row r="2540" spans="1:11" x14ac:dyDescent="0.35">
      <c r="A2540" s="10" t="s">
        <v>1184</v>
      </c>
      <c r="B2540" s="255">
        <v>12</v>
      </c>
      <c r="C2540" s="10" t="s">
        <v>232</v>
      </c>
      <c r="D2540" s="10">
        <v>1</v>
      </c>
      <c r="E2540" s="10">
        <v>20</v>
      </c>
      <c r="F2540" s="10" t="s">
        <v>690</v>
      </c>
      <c r="G2540" s="10" t="s">
        <v>767</v>
      </c>
      <c r="H2540" s="10" t="str" cm="1">
        <f t="array" aca="1" ref="H2540" ca="1">IF(INDEX(I2540:Z2540,$H$1)=0,"",INDEX(I2540:Z2540,$H$1))</f>
        <v>tonnes CH4/1000 bbl of Liquid</v>
      </c>
      <c r="I2540" s="10" t="s">
        <v>2000</v>
      </c>
      <c r="J2540" s="2" t="s">
        <v>2029</v>
      </c>
      <c r="K2540" s="27" t="s">
        <v>2012</v>
      </c>
    </row>
    <row r="2541" spans="1:11" x14ac:dyDescent="0.35">
      <c r="A2541" s="10" t="s">
        <v>1184</v>
      </c>
      <c r="B2541" s="255">
        <v>12</v>
      </c>
      <c r="C2541" s="10" t="s">
        <v>232</v>
      </c>
      <c r="D2541" s="10">
        <v>1</v>
      </c>
      <c r="E2541" s="10">
        <v>21</v>
      </c>
      <c r="F2541" s="10" t="s">
        <v>690</v>
      </c>
      <c r="G2541" s="10" t="s">
        <v>767</v>
      </c>
      <c r="H2541" s="10" t="str" cm="1">
        <f t="array" aca="1" ref="H2541" ca="1">IF(INDEX(I2541:Z2541,$H$1)=0,"",INDEX(I2541:Z2541,$H$1))</f>
        <v>tonnes CH4/bbl of Liquid</v>
      </c>
      <c r="I2541" s="10" t="s">
        <v>2001</v>
      </c>
      <c r="J2541" s="2" t="s">
        <v>2030</v>
      </c>
      <c r="K2541" s="27" t="s">
        <v>2013</v>
      </c>
    </row>
    <row r="2542" spans="1:11" x14ac:dyDescent="0.35">
      <c r="A2542" s="10" t="s">
        <v>1184</v>
      </c>
      <c r="B2542" s="255">
        <v>12</v>
      </c>
      <c r="C2542" s="10" t="s">
        <v>232</v>
      </c>
      <c r="D2542" s="10">
        <v>1</v>
      </c>
      <c r="E2542" s="10">
        <v>22</v>
      </c>
      <c r="F2542" s="10" t="s">
        <v>690</v>
      </c>
      <c r="G2542" s="10" t="s">
        <v>767</v>
      </c>
      <c r="H2542" s="10" t="str" cm="1">
        <f t="array" aca="1" ref="H2542" ca="1">IF(INDEX(I2542:Z2542,$H$1)=0,"",INDEX(I2542:Z2542,$H$1))</f>
        <v>tonnes CH4/d/source</v>
      </c>
      <c r="I2542" s="10" t="s">
        <v>2002</v>
      </c>
      <c r="J2542" s="2" t="s">
        <v>2031</v>
      </c>
      <c r="K2542" s="27" t="s">
        <v>2014</v>
      </c>
    </row>
    <row r="2543" spans="1:11" x14ac:dyDescent="0.35">
      <c r="A2543" s="10" t="s">
        <v>1184</v>
      </c>
      <c r="B2543" s="255">
        <v>12</v>
      </c>
      <c r="C2543" s="10" t="s">
        <v>232</v>
      </c>
      <c r="D2543" s="10">
        <v>1</v>
      </c>
      <c r="E2543" s="10">
        <v>23</v>
      </c>
      <c r="F2543" s="10" t="s">
        <v>690</v>
      </c>
      <c r="G2543" s="10" t="s">
        <v>767</v>
      </c>
      <c r="H2543" s="10" t="str" cm="1">
        <f t="array" aca="1" ref="H2543" ca="1">IF(INDEX(I2543:Z2543,$H$1)=0,"",INDEX(I2543:Z2543,$H$1))</f>
        <v>tonnes CH4/m3 of Liquid</v>
      </c>
      <c r="I2543" s="10" t="s">
        <v>2003</v>
      </c>
      <c r="J2543" s="2" t="s">
        <v>2032</v>
      </c>
      <c r="K2543" s="27" t="s">
        <v>2015</v>
      </c>
    </row>
    <row r="2544" spans="1:11" x14ac:dyDescent="0.35">
      <c r="A2544" s="10" t="s">
        <v>1184</v>
      </c>
      <c r="B2544" s="255">
        <v>12</v>
      </c>
      <c r="C2544" s="10" t="s">
        <v>232</v>
      </c>
      <c r="D2544" s="10">
        <v>1</v>
      </c>
      <c r="E2544" s="10">
        <v>26</v>
      </c>
      <c r="F2544" s="10" t="s">
        <v>690</v>
      </c>
      <c r="G2544" s="10" t="s">
        <v>767</v>
      </c>
      <c r="H2544" s="10" t="str" cm="1">
        <f t="array" aca="1" ref="H2544" ca="1">IF(INDEX(I2544:Z2544,$H$1)=0,"",INDEX(I2544:Z2544,$H$1))</f>
        <v>Nm3/h</v>
      </c>
      <c r="I2544" s="10" t="s">
        <v>2050</v>
      </c>
      <c r="J2544" s="10" t="s">
        <v>2050</v>
      </c>
      <c r="K2544" s="10" t="s">
        <v>2050</v>
      </c>
    </row>
    <row r="2545" spans="1:11" x14ac:dyDescent="0.35">
      <c r="A2545" s="10" t="s">
        <v>1184</v>
      </c>
      <c r="B2545" s="255">
        <v>12</v>
      </c>
      <c r="C2545" s="10" t="s">
        <v>232</v>
      </c>
      <c r="D2545" s="10">
        <v>1</v>
      </c>
      <c r="E2545" s="10">
        <v>27</v>
      </c>
      <c r="F2545" s="10" t="s">
        <v>690</v>
      </c>
      <c r="G2545" s="10" t="s">
        <v>767</v>
      </c>
      <c r="H2545" s="10" t="str" cm="1">
        <f t="array" aca="1" ref="H2545" ca="1">IF(INDEX(I2545:Z2545,$H$1)=0,"",INDEX(I2545:Z2545,$H$1))</f>
        <v>Nm3/d</v>
      </c>
      <c r="I2545" s="10" t="s">
        <v>2051</v>
      </c>
      <c r="J2545" s="10" t="s">
        <v>2051</v>
      </c>
      <c r="K2545" s="10" t="s">
        <v>2051</v>
      </c>
    </row>
    <row r="2546" spans="1:11" x14ac:dyDescent="0.35">
      <c r="A2546" s="10" t="s">
        <v>1184</v>
      </c>
      <c r="B2546" s="255">
        <v>12</v>
      </c>
      <c r="C2546" s="10" t="s">
        <v>232</v>
      </c>
      <c r="D2546" s="10">
        <v>1</v>
      </c>
      <c r="E2546" s="10">
        <v>28</v>
      </c>
      <c r="F2546" s="10" t="s">
        <v>690</v>
      </c>
      <c r="G2546" s="10" t="s">
        <v>767</v>
      </c>
      <c r="H2546" s="10" t="str" cm="1">
        <f t="array" aca="1" ref="H2546" ca="1">IF(INDEX(I2546:Z2546,$H$1)=0,"",INDEX(I2546:Z2546,$H$1))</f>
        <v>Nm3/y</v>
      </c>
      <c r="I2546" s="10" t="s">
        <v>880</v>
      </c>
      <c r="J2546" s="10" t="s">
        <v>880</v>
      </c>
      <c r="K2546" s="27" t="s">
        <v>1597</v>
      </c>
    </row>
    <row r="2547" spans="1:11" x14ac:dyDescent="0.35">
      <c r="A2547" s="10" t="s">
        <v>1184</v>
      </c>
      <c r="B2547" s="255">
        <v>12</v>
      </c>
      <c r="C2547" s="10" t="s">
        <v>232</v>
      </c>
      <c r="D2547" s="10">
        <v>1</v>
      </c>
      <c r="E2547" s="10">
        <v>29</v>
      </c>
      <c r="F2547" s="10" t="s">
        <v>690</v>
      </c>
      <c r="G2547" s="10" t="s">
        <v>767</v>
      </c>
      <c r="H2547" s="10" t="str" cm="1">
        <f t="array" aca="1" ref="H2547" ca="1">IF(INDEX(I2547:Z2547,$H$1)=0,"",INDEX(I2547:Z2547,$H$1))</f>
        <v>Nm3 CH4/h</v>
      </c>
      <c r="I2547" s="10" t="s">
        <v>869</v>
      </c>
      <c r="J2547" s="10" t="s">
        <v>869</v>
      </c>
      <c r="K2547" s="10" t="s">
        <v>869</v>
      </c>
    </row>
    <row r="2548" spans="1:11" x14ac:dyDescent="0.35">
      <c r="A2548" s="10" t="s">
        <v>1184</v>
      </c>
      <c r="B2548" s="255">
        <v>12</v>
      </c>
      <c r="C2548" s="10" t="s">
        <v>232</v>
      </c>
      <c r="D2548" s="10">
        <v>1</v>
      </c>
      <c r="E2548" s="10">
        <v>30</v>
      </c>
      <c r="F2548" s="10" t="s">
        <v>690</v>
      </c>
      <c r="G2548" s="10" t="s">
        <v>767</v>
      </c>
      <c r="H2548" s="10" t="str" cm="1">
        <f t="array" aca="1" ref="H2548" ca="1">IF(INDEX(I2548:Z2548,$H$1)=0,"",INDEX(I2548:Z2548,$H$1))</f>
        <v>Nm3 CH4/d</v>
      </c>
      <c r="I2548" s="10" t="s">
        <v>872</v>
      </c>
      <c r="J2548" s="10" t="s">
        <v>872</v>
      </c>
      <c r="K2548" s="10" t="s">
        <v>872</v>
      </c>
    </row>
    <row r="2549" spans="1:11" x14ac:dyDescent="0.35">
      <c r="A2549" s="10" t="s">
        <v>1184</v>
      </c>
      <c r="B2549" s="255">
        <v>12</v>
      </c>
      <c r="C2549" s="10" t="s">
        <v>232</v>
      </c>
      <c r="D2549" s="10">
        <v>1</v>
      </c>
      <c r="E2549" s="10">
        <v>31</v>
      </c>
      <c r="F2549" s="10" t="s">
        <v>690</v>
      </c>
      <c r="G2549" s="10" t="s">
        <v>767</v>
      </c>
      <c r="H2549" s="10" t="str" cm="1">
        <f t="array" aca="1" ref="H2549" ca="1">IF(INDEX(I2549:Z2549,$H$1)=0,"",INDEX(I2549:Z2549,$H$1))</f>
        <v>Nm3 CH4/y</v>
      </c>
      <c r="I2549" s="10" t="s">
        <v>870</v>
      </c>
      <c r="J2549" s="10" t="s">
        <v>870</v>
      </c>
      <c r="K2549" s="27" t="s">
        <v>1566</v>
      </c>
    </row>
    <row r="2550" spans="1:11" x14ac:dyDescent="0.35">
      <c r="A2550" s="10" t="s">
        <v>1184</v>
      </c>
      <c r="B2550" s="255">
        <v>12</v>
      </c>
      <c r="C2550" s="10" t="s">
        <v>232</v>
      </c>
      <c r="D2550" s="10">
        <v>1</v>
      </c>
      <c r="E2550" s="10">
        <v>32</v>
      </c>
      <c r="F2550" s="10" t="s">
        <v>690</v>
      </c>
      <c r="G2550" s="10" t="s">
        <v>767</v>
      </c>
      <c r="H2550" s="10" t="str" cm="1">
        <f t="array" aca="1" ref="H2550" ca="1">IF(INDEX(I2550:Z2550,$H$1)=0,"",INDEX(I2550:Z2550,$H$1))</f>
        <v>kg/h</v>
      </c>
      <c r="I2550" s="10" t="s">
        <v>2439</v>
      </c>
      <c r="J2550" s="10" t="s">
        <v>2439</v>
      </c>
      <c r="K2550" s="10" t="s">
        <v>2439</v>
      </c>
    </row>
    <row r="2551" spans="1:11" x14ac:dyDescent="0.35">
      <c r="A2551" s="10" t="s">
        <v>1184</v>
      </c>
      <c r="B2551" s="255">
        <v>12</v>
      </c>
      <c r="C2551" s="10" t="s">
        <v>232</v>
      </c>
      <c r="D2551" s="10">
        <v>1</v>
      </c>
      <c r="E2551" s="10">
        <v>33</v>
      </c>
      <c r="F2551" s="10" t="s">
        <v>690</v>
      </c>
      <c r="G2551" s="10" t="s">
        <v>767</v>
      </c>
      <c r="H2551" s="10" t="str" cm="1">
        <f t="array" aca="1" ref="H2551" ca="1">IF(INDEX(I2551:Z2551,$H$1)=0,"",INDEX(I2551:Z2551,$H$1))</f>
        <v>tonnes/d</v>
      </c>
      <c r="I2551" s="10" t="s">
        <v>2440</v>
      </c>
      <c r="J2551" s="10" t="s">
        <v>2440</v>
      </c>
      <c r="K2551" s="10" t="s">
        <v>2440</v>
      </c>
    </row>
    <row r="2552" spans="1:11" x14ac:dyDescent="0.35">
      <c r="A2552" s="10" t="s">
        <v>1184</v>
      </c>
      <c r="B2552" s="255">
        <v>12</v>
      </c>
      <c r="C2552" s="10" t="s">
        <v>232</v>
      </c>
      <c r="D2552" s="10">
        <v>1</v>
      </c>
      <c r="E2552" s="10">
        <v>34</v>
      </c>
      <c r="F2552" s="10" t="s">
        <v>690</v>
      </c>
      <c r="G2552" s="10" t="s">
        <v>767</v>
      </c>
      <c r="H2552" s="10" t="str" cm="1">
        <f t="array" aca="1" ref="H2552" ca="1">IF(INDEX(I2552:Z2552,$H$1)=0,"",INDEX(I2552:Z2552,$H$1))</f>
        <v>tonnes/mo</v>
      </c>
      <c r="I2552" s="10" t="s">
        <v>2441</v>
      </c>
      <c r="J2552" s="10" t="s">
        <v>2441</v>
      </c>
      <c r="K2552" s="10" t="s">
        <v>2441</v>
      </c>
    </row>
    <row r="2553" spans="1:11" x14ac:dyDescent="0.35">
      <c r="A2553" s="10" t="s">
        <v>1184</v>
      </c>
      <c r="B2553" s="255">
        <v>12</v>
      </c>
      <c r="C2553" s="10" t="s">
        <v>232</v>
      </c>
      <c r="D2553" s="10">
        <v>1</v>
      </c>
      <c r="E2553" s="10">
        <v>35</v>
      </c>
      <c r="F2553" s="10" t="s">
        <v>690</v>
      </c>
      <c r="G2553" s="10" t="s">
        <v>767</v>
      </c>
      <c r="H2553" s="10" t="str" cm="1">
        <f t="array" aca="1" ref="H2553" ca="1">IF(INDEX(I2553:Z2553,$H$1)=0,"",INDEX(I2553:Z2553,$H$1))</f>
        <v>tonnes/y</v>
      </c>
      <c r="I2553" s="10" t="s">
        <v>2442</v>
      </c>
      <c r="J2553" s="10" t="s">
        <v>2442</v>
      </c>
      <c r="K2553" s="10" t="s">
        <v>2442</v>
      </c>
    </row>
    <row r="2554" spans="1:11" x14ac:dyDescent="0.35">
      <c r="A2554" s="10" t="s">
        <v>1184</v>
      </c>
      <c r="B2554" s="255">
        <v>12</v>
      </c>
      <c r="C2554" s="10" t="s">
        <v>232</v>
      </c>
      <c r="D2554" s="10">
        <v>1</v>
      </c>
      <c r="E2554" s="10">
        <v>36</v>
      </c>
      <c r="F2554" s="10" t="s">
        <v>690</v>
      </c>
      <c r="G2554" s="10" t="s">
        <v>767</v>
      </c>
      <c r="H2554" s="10" t="str" cm="1">
        <f t="array" aca="1" ref="H2554" ca="1">IF(INDEX(I2554:Z2554,$H$1)=0,"",INDEX(I2554:Z2554,$H$1))</f>
        <v>GJ/h</v>
      </c>
      <c r="I2554" s="10" t="s">
        <v>2448</v>
      </c>
      <c r="J2554" s="10" t="s">
        <v>2448</v>
      </c>
      <c r="K2554" s="10" t="s">
        <v>2448</v>
      </c>
    </row>
    <row r="2555" spans="1:11" x14ac:dyDescent="0.35">
      <c r="A2555" s="10" t="s">
        <v>1184</v>
      </c>
      <c r="B2555" s="255">
        <v>12</v>
      </c>
      <c r="C2555" s="10" t="s">
        <v>232</v>
      </c>
      <c r="D2555" s="10">
        <v>1</v>
      </c>
      <c r="E2555" s="10">
        <v>37</v>
      </c>
      <c r="F2555" s="10" t="s">
        <v>690</v>
      </c>
      <c r="G2555" s="10" t="s">
        <v>767</v>
      </c>
      <c r="H2555" s="10" t="str" cm="1">
        <f t="array" aca="1" ref="H2555" ca="1">IF(INDEX(I2555:Z2555,$H$1)=0,"",INDEX(I2555:Z2555,$H$1))</f>
        <v>GJ/d</v>
      </c>
      <c r="I2555" s="10" t="s">
        <v>2449</v>
      </c>
      <c r="J2555" s="10" t="s">
        <v>2449</v>
      </c>
      <c r="K2555" s="10" t="s">
        <v>2449</v>
      </c>
    </row>
    <row r="2556" spans="1:11" x14ac:dyDescent="0.35">
      <c r="A2556" s="10" t="s">
        <v>1184</v>
      </c>
      <c r="B2556" s="255">
        <v>12</v>
      </c>
      <c r="C2556" s="10" t="s">
        <v>232</v>
      </c>
      <c r="D2556" s="10">
        <v>1</v>
      </c>
      <c r="E2556" s="10">
        <v>38</v>
      </c>
      <c r="F2556" s="10" t="s">
        <v>690</v>
      </c>
      <c r="G2556" s="10" t="s">
        <v>767</v>
      </c>
      <c r="H2556" s="10" t="str" cm="1">
        <f t="array" aca="1" ref="H2556" ca="1">IF(INDEX(I2556:Z2556,$H$1)=0,"",INDEX(I2556:Z2556,$H$1))</f>
        <v>GJ/mo</v>
      </c>
      <c r="I2556" s="10" t="s">
        <v>2450</v>
      </c>
      <c r="J2556" s="10" t="s">
        <v>2450</v>
      </c>
      <c r="K2556" s="10" t="s">
        <v>2450</v>
      </c>
    </row>
    <row r="2557" spans="1:11" x14ac:dyDescent="0.35">
      <c r="A2557" s="10" t="s">
        <v>1184</v>
      </c>
      <c r="B2557" s="255">
        <v>12</v>
      </c>
      <c r="C2557" s="10" t="s">
        <v>232</v>
      </c>
      <c r="D2557" s="10">
        <v>1</v>
      </c>
      <c r="E2557" s="10">
        <v>39</v>
      </c>
      <c r="F2557" s="10" t="s">
        <v>690</v>
      </c>
      <c r="G2557" s="10" t="s">
        <v>767</v>
      </c>
      <c r="H2557" s="10" t="str" cm="1">
        <f t="array" aca="1" ref="H2557" ca="1">IF(INDEX(I2557:Z2557,$H$1)=0,"",INDEX(I2557:Z2557,$H$1))</f>
        <v>GJ/y</v>
      </c>
      <c r="I2557" s="10" t="s">
        <v>2302</v>
      </c>
      <c r="J2557" s="10" t="s">
        <v>2302</v>
      </c>
      <c r="K2557" s="10" t="s">
        <v>2302</v>
      </c>
    </row>
    <row r="2558" spans="1:11" x14ac:dyDescent="0.35">
      <c r="A2558" s="10" t="s">
        <v>1184</v>
      </c>
      <c r="B2558" s="255">
        <v>12</v>
      </c>
      <c r="C2558" s="10" t="s">
        <v>232</v>
      </c>
      <c r="D2558" s="10">
        <v>1</v>
      </c>
      <c r="E2558" s="10">
        <v>40</v>
      </c>
      <c r="F2558" s="10" t="s">
        <v>690</v>
      </c>
      <c r="G2558" s="10" t="s">
        <v>767</v>
      </c>
      <c r="H2558" s="10" t="str" cm="1">
        <f t="array" aca="1" ref="H2558" ca="1">IF(INDEX(I2558:Z2558,$H$1)=0,"",INDEX(I2558:Z2558,$H$1))</f>
        <v>mmbtu/h</v>
      </c>
      <c r="I2558" s="10" t="s">
        <v>2451</v>
      </c>
      <c r="J2558" s="10" t="s">
        <v>2451</v>
      </c>
      <c r="K2558" s="10" t="s">
        <v>2451</v>
      </c>
    </row>
    <row r="2559" spans="1:11" x14ac:dyDescent="0.35">
      <c r="A2559" s="10" t="s">
        <v>1184</v>
      </c>
      <c r="B2559" s="255">
        <v>12</v>
      </c>
      <c r="C2559" s="10" t="s">
        <v>232</v>
      </c>
      <c r="D2559" s="10">
        <v>1</v>
      </c>
      <c r="E2559" s="10">
        <v>41</v>
      </c>
      <c r="F2559" s="10" t="s">
        <v>690</v>
      </c>
      <c r="G2559" s="10" t="s">
        <v>767</v>
      </c>
      <c r="H2559" s="10" t="str" cm="1">
        <f t="array" aca="1" ref="H2559" ca="1">IF(INDEX(I2559:Z2559,$H$1)=0,"",INDEX(I2559:Z2559,$H$1))</f>
        <v>mmbtu/d</v>
      </c>
      <c r="I2559" s="10" t="s">
        <v>2452</v>
      </c>
      <c r="J2559" s="10" t="s">
        <v>2452</v>
      </c>
      <c r="K2559" s="10" t="s">
        <v>2452</v>
      </c>
    </row>
    <row r="2560" spans="1:11" x14ac:dyDescent="0.35">
      <c r="A2560" s="10" t="s">
        <v>1184</v>
      </c>
      <c r="B2560" s="255">
        <v>12</v>
      </c>
      <c r="C2560" s="10" t="s">
        <v>232</v>
      </c>
      <c r="D2560" s="10">
        <v>1</v>
      </c>
      <c r="E2560" s="10">
        <v>42</v>
      </c>
      <c r="F2560" s="10" t="s">
        <v>690</v>
      </c>
      <c r="G2560" s="10" t="s">
        <v>767</v>
      </c>
      <c r="H2560" s="10" t="str" cm="1">
        <f t="array" aca="1" ref="H2560" ca="1">IF(INDEX(I2560:Z2560,$H$1)=0,"",INDEX(I2560:Z2560,$H$1))</f>
        <v>mmbtu/mo</v>
      </c>
      <c r="I2560" s="10" t="s">
        <v>2453</v>
      </c>
      <c r="J2560" s="10" t="s">
        <v>2453</v>
      </c>
      <c r="K2560" s="10" t="s">
        <v>2453</v>
      </c>
    </row>
    <row r="2561" spans="1:11" x14ac:dyDescent="0.35">
      <c r="A2561" s="10" t="s">
        <v>1184</v>
      </c>
      <c r="B2561" s="255">
        <v>12</v>
      </c>
      <c r="C2561" s="10" t="s">
        <v>232</v>
      </c>
      <c r="D2561" s="10">
        <v>1</v>
      </c>
      <c r="E2561" s="10">
        <v>43</v>
      </c>
      <c r="F2561" s="10" t="s">
        <v>690</v>
      </c>
      <c r="G2561" s="10" t="s">
        <v>767</v>
      </c>
      <c r="H2561" s="10" t="str" cm="1">
        <f t="array" aca="1" ref="H2561" ca="1">IF(INDEX(I2561:Z2561,$H$1)=0,"",INDEX(I2561:Z2561,$H$1))</f>
        <v>mmbtu/y</v>
      </c>
      <c r="I2561" s="10" t="s">
        <v>2454</v>
      </c>
      <c r="J2561" s="10" t="s">
        <v>2454</v>
      </c>
      <c r="K2561" s="10" t="s">
        <v>2454</v>
      </c>
    </row>
    <row r="2562" spans="1:11" x14ac:dyDescent="0.35">
      <c r="A2562" s="10" t="s">
        <v>1184</v>
      </c>
      <c r="B2562" s="255">
        <v>12</v>
      </c>
      <c r="C2562" s="10" t="s">
        <v>232</v>
      </c>
      <c r="D2562" s="10">
        <v>1</v>
      </c>
      <c r="E2562" s="10">
        <v>44</v>
      </c>
      <c r="F2562" s="10" t="s">
        <v>690</v>
      </c>
      <c r="G2562" s="10" t="s">
        <v>767</v>
      </c>
      <c r="H2562" s="10" t="str" cm="1">
        <f t="array" aca="1" ref="H2562" ca="1">IF(INDEX(I2562:Z2562,$H$1)=0,"",INDEX(I2562:Z2562,$H$1))</f>
        <v>m^3/h</v>
      </c>
      <c r="I2562" s="33" t="s">
        <v>2461</v>
      </c>
      <c r="J2562" s="33" t="s">
        <v>2461</v>
      </c>
      <c r="K2562" s="33" t="s">
        <v>2461</v>
      </c>
    </row>
    <row r="2563" spans="1:11" x14ac:dyDescent="0.35">
      <c r="A2563" s="10" t="s">
        <v>1184</v>
      </c>
      <c r="B2563" s="255">
        <v>12</v>
      </c>
      <c r="C2563" s="10" t="s">
        <v>232</v>
      </c>
      <c r="D2563" s="10">
        <v>1</v>
      </c>
      <c r="E2563" s="10">
        <v>45</v>
      </c>
      <c r="F2563" s="10" t="s">
        <v>690</v>
      </c>
      <c r="G2563" s="10" t="s">
        <v>767</v>
      </c>
      <c r="H2563" s="10" t="str" cm="1">
        <f t="array" aca="1" ref="H2563" ca="1">IF(INDEX(I2563:Z2563,$H$1)=0,"",INDEX(I2563:Z2563,$H$1))</f>
        <v>m^3/d</v>
      </c>
      <c r="I2563" s="10" t="s">
        <v>2462</v>
      </c>
      <c r="J2563" s="10" t="s">
        <v>2462</v>
      </c>
      <c r="K2563" s="10" t="s">
        <v>2462</v>
      </c>
    </row>
    <row r="2564" spans="1:11" x14ac:dyDescent="0.35">
      <c r="A2564" s="10" t="s">
        <v>1184</v>
      </c>
      <c r="B2564" s="255">
        <v>12</v>
      </c>
      <c r="C2564" s="10" t="s">
        <v>232</v>
      </c>
      <c r="D2564" s="10">
        <v>1</v>
      </c>
      <c r="E2564" s="10">
        <v>46</v>
      </c>
      <c r="F2564" s="10" t="s">
        <v>690</v>
      </c>
      <c r="G2564" s="10" t="s">
        <v>767</v>
      </c>
      <c r="H2564" s="10" t="str" cm="1">
        <f t="array" aca="1" ref="H2564" ca="1">IF(INDEX(I2564:Z2564,$H$1)=0,"",INDEX(I2564:Z2564,$H$1))</f>
        <v>m^3/mo</v>
      </c>
      <c r="I2564" s="10" t="s">
        <v>2463</v>
      </c>
      <c r="J2564" s="10" t="s">
        <v>2463</v>
      </c>
      <c r="K2564" s="10" t="s">
        <v>2463</v>
      </c>
    </row>
    <row r="2565" spans="1:11" x14ac:dyDescent="0.35">
      <c r="A2565" s="10" t="s">
        <v>1184</v>
      </c>
      <c r="B2565" s="255">
        <v>12</v>
      </c>
      <c r="C2565" s="10" t="s">
        <v>232</v>
      </c>
      <c r="D2565" s="10">
        <v>1</v>
      </c>
      <c r="E2565" s="10">
        <v>47</v>
      </c>
      <c r="F2565" s="10" t="s">
        <v>690</v>
      </c>
      <c r="G2565" s="10" t="s">
        <v>767</v>
      </c>
      <c r="H2565" s="10" t="str" cm="1">
        <f t="array" aca="1" ref="H2565" ca="1">IF(INDEX(I2565:Z2565,$H$1)=0,"",INDEX(I2565:Z2565,$H$1))</f>
        <v>m^3/y</v>
      </c>
      <c r="I2565" s="10" t="s">
        <v>2464</v>
      </c>
      <c r="J2565" s="10" t="s">
        <v>2464</v>
      </c>
      <c r="K2565" s="10" t="s">
        <v>2464</v>
      </c>
    </row>
    <row r="2566" spans="1:11" x14ac:dyDescent="0.35">
      <c r="A2566" s="10" t="s">
        <v>1184</v>
      </c>
      <c r="B2566" s="255">
        <v>12</v>
      </c>
      <c r="C2566" s="10" t="s">
        <v>232</v>
      </c>
      <c r="D2566" s="10">
        <v>1</v>
      </c>
      <c r="E2566" s="10">
        <v>48</v>
      </c>
      <c r="F2566" s="10" t="s">
        <v>690</v>
      </c>
      <c r="G2566" s="10" t="s">
        <v>767</v>
      </c>
      <c r="H2566" s="10" t="str" cm="1">
        <f t="array" aca="1" ref="H2566" ca="1">IF(INDEX(I2566:Z2566,$H$1)=0,"",INDEX(I2566:Z2566,$H$1))</f>
        <v>usg/h</v>
      </c>
      <c r="I2566" s="10" t="s">
        <v>2447</v>
      </c>
      <c r="J2566" s="10" t="s">
        <v>2447</v>
      </c>
      <c r="K2566" s="10" t="s">
        <v>2447</v>
      </c>
    </row>
    <row r="2567" spans="1:11" x14ac:dyDescent="0.35">
      <c r="A2567" s="10" t="s">
        <v>1184</v>
      </c>
      <c r="B2567" s="255">
        <v>12</v>
      </c>
      <c r="C2567" s="10" t="s">
        <v>232</v>
      </c>
      <c r="D2567" s="10">
        <v>1</v>
      </c>
      <c r="E2567" s="10">
        <v>49</v>
      </c>
      <c r="F2567" s="10" t="s">
        <v>690</v>
      </c>
      <c r="G2567" s="10" t="s">
        <v>767</v>
      </c>
      <c r="H2567" s="10" t="str" cm="1">
        <f t="array" aca="1" ref="H2567" ca="1">IF(INDEX(I2567:Z2567,$H$1)=0,"",INDEX(I2567:Z2567,$H$1))</f>
        <v>bbl/d</v>
      </c>
      <c r="I2567" s="10" t="s">
        <v>2444</v>
      </c>
      <c r="J2567" s="10" t="s">
        <v>2444</v>
      </c>
      <c r="K2567" s="10" t="s">
        <v>2444</v>
      </c>
    </row>
    <row r="2568" spans="1:11" x14ac:dyDescent="0.35">
      <c r="A2568" s="10" t="s">
        <v>1184</v>
      </c>
      <c r="B2568" s="255">
        <v>12</v>
      </c>
      <c r="C2568" s="10" t="s">
        <v>232</v>
      </c>
      <c r="D2568" s="10">
        <v>1</v>
      </c>
      <c r="E2568" s="10">
        <v>50</v>
      </c>
      <c r="F2568" s="10" t="s">
        <v>690</v>
      </c>
      <c r="G2568" s="10" t="s">
        <v>767</v>
      </c>
      <c r="H2568" s="10" t="str" cm="1">
        <f t="array" aca="1" ref="H2568" ca="1">IF(INDEX(I2568:Z2568,$H$1)=0,"",INDEX(I2568:Z2568,$H$1))</f>
        <v>bbl/mo</v>
      </c>
      <c r="I2568" s="10" t="s">
        <v>2445</v>
      </c>
      <c r="J2568" s="10" t="s">
        <v>2445</v>
      </c>
      <c r="K2568" s="10" t="s">
        <v>2445</v>
      </c>
    </row>
    <row r="2569" spans="1:11" x14ac:dyDescent="0.35">
      <c r="A2569" s="10" t="s">
        <v>1184</v>
      </c>
      <c r="B2569" s="255">
        <v>12</v>
      </c>
      <c r="C2569" s="10" t="s">
        <v>232</v>
      </c>
      <c r="D2569" s="10">
        <v>1</v>
      </c>
      <c r="E2569" s="10">
        <v>51</v>
      </c>
      <c r="F2569" s="10" t="s">
        <v>690</v>
      </c>
      <c r="G2569" s="10" t="s">
        <v>767</v>
      </c>
      <c r="H2569" s="10" t="str" cm="1">
        <f t="array" aca="1" ref="H2569" ca="1">IF(INDEX(I2569:Z2569,$H$1)=0,"",INDEX(I2569:Z2569,$H$1))</f>
        <v>bbl/y</v>
      </c>
      <c r="I2569" s="10" t="s">
        <v>2446</v>
      </c>
      <c r="J2569" s="10" t="s">
        <v>2446</v>
      </c>
      <c r="K2569" s="10" t="s">
        <v>2446</v>
      </c>
    </row>
    <row r="2570" spans="1:11" x14ac:dyDescent="0.35">
      <c r="A2570" s="10" t="s">
        <v>1184</v>
      </c>
      <c r="B2570" s="255">
        <v>12</v>
      </c>
      <c r="C2570" s="10" t="s">
        <v>232</v>
      </c>
      <c r="D2570" s="10">
        <v>1</v>
      </c>
      <c r="E2570" s="10">
        <v>52</v>
      </c>
      <c r="F2570" s="10" t="s">
        <v>690</v>
      </c>
      <c r="G2570" s="10" t="s">
        <v>767</v>
      </c>
      <c r="H2570" s="10" t="str" cm="1">
        <f t="array" aca="1" ref="H2570" ca="1">IF(INDEX(I2570:Z2570,$H$1)=0,"",INDEX(I2570:Z2570,$H$1))</f>
        <v>sm^3  CH4/h</v>
      </c>
      <c r="I2570" s="2" t="s">
        <v>2485</v>
      </c>
      <c r="J2570" s="2" t="s">
        <v>2485</v>
      </c>
      <c r="K2570" s="2" t="s">
        <v>2485</v>
      </c>
    </row>
    <row r="2571" spans="1:11" x14ac:dyDescent="0.35">
      <c r="A2571" s="10" t="s">
        <v>1184</v>
      </c>
      <c r="B2571" s="255">
        <v>12</v>
      </c>
      <c r="C2571" s="10" t="s">
        <v>232</v>
      </c>
      <c r="D2571" s="10">
        <v>1</v>
      </c>
      <c r="E2571" s="10">
        <v>52</v>
      </c>
      <c r="F2571" s="10" t="s">
        <v>690</v>
      </c>
      <c r="G2571" s="10" t="s">
        <v>767</v>
      </c>
      <c r="H2571" s="10" t="str" cm="1">
        <f t="array" aca="1" ref="H2571" ca="1">IF(INDEX(I2571:Z2571,$H$1)=0,"",INDEX(I2571:Z2571,$H$1))</f>
        <v>sm^3  CH4/d</v>
      </c>
      <c r="I2571" s="2" t="s">
        <v>2486</v>
      </c>
      <c r="J2571" s="2" t="s">
        <v>2486</v>
      </c>
      <c r="K2571" s="2" t="s">
        <v>2486</v>
      </c>
    </row>
    <row r="2572" spans="1:11" x14ac:dyDescent="0.35">
      <c r="A2572" s="10" t="s">
        <v>1184</v>
      </c>
      <c r="B2572" s="255">
        <v>12</v>
      </c>
      <c r="C2572" s="10" t="s">
        <v>232</v>
      </c>
      <c r="D2572" s="10">
        <v>1</v>
      </c>
      <c r="E2572" s="10">
        <v>52</v>
      </c>
      <c r="F2572" s="10" t="s">
        <v>690</v>
      </c>
      <c r="G2572" s="10" t="s">
        <v>767</v>
      </c>
      <c r="H2572" s="10" t="str" cm="1">
        <f t="array" aca="1" ref="H2572" ca="1">IF(INDEX(I2572:Z2572,$H$1)=0,"",INDEX(I2572:Z2572,$H$1))</f>
        <v>sm^3  CH4/mo</v>
      </c>
      <c r="I2572" s="2" t="s">
        <v>2487</v>
      </c>
      <c r="J2572" s="2" t="s">
        <v>2487</v>
      </c>
      <c r="K2572" s="2" t="s">
        <v>2487</v>
      </c>
    </row>
    <row r="2573" spans="1:11" x14ac:dyDescent="0.35">
      <c r="A2573" s="10" t="s">
        <v>1184</v>
      </c>
      <c r="B2573" s="255">
        <v>12</v>
      </c>
      <c r="C2573" s="10" t="s">
        <v>232</v>
      </c>
      <c r="D2573" s="10">
        <v>1</v>
      </c>
      <c r="E2573" s="10">
        <v>52</v>
      </c>
      <c r="F2573" s="10" t="s">
        <v>690</v>
      </c>
      <c r="G2573" s="10" t="s">
        <v>767</v>
      </c>
      <c r="H2573" s="10" t="str" cm="1">
        <f t="array" aca="1" ref="H2573" ca="1">IF(INDEX(I2573:Z2573,$H$1)=0,"",INDEX(I2573:Z2573,$H$1))</f>
        <v>sm^3  CH4/y</v>
      </c>
      <c r="I2573" s="2" t="s">
        <v>2488</v>
      </c>
      <c r="J2573" s="2" t="s">
        <v>2488</v>
      </c>
      <c r="K2573" s="2" t="s">
        <v>2488</v>
      </c>
    </row>
    <row r="2574" spans="1:11" x14ac:dyDescent="0.35">
      <c r="A2574" s="10" t="s">
        <v>1184</v>
      </c>
      <c r="B2574" s="255">
        <v>12</v>
      </c>
      <c r="C2574" s="10" t="s">
        <v>232</v>
      </c>
      <c r="D2574" s="10">
        <v>1</v>
      </c>
      <c r="E2574" s="10">
        <v>52</v>
      </c>
      <c r="F2574" s="10" t="s">
        <v>690</v>
      </c>
      <c r="G2574" s="10" t="s">
        <v>767</v>
      </c>
      <c r="H2574" s="10" t="str" cm="1">
        <f t="array" aca="1" ref="H2574" ca="1">IF(INDEX(I2574:Z2574,$H$1)=0,"",INDEX(I2574:Z2574,$H$1))</f>
        <v>sm^3/h</v>
      </c>
      <c r="I2574" s="2" t="s">
        <v>2471</v>
      </c>
      <c r="J2574" s="2" t="s">
        <v>2471</v>
      </c>
      <c r="K2574" s="2" t="s">
        <v>2471</v>
      </c>
    </row>
    <row r="2575" spans="1:11" x14ac:dyDescent="0.35">
      <c r="A2575" s="10" t="s">
        <v>1184</v>
      </c>
      <c r="B2575" s="255">
        <v>12</v>
      </c>
      <c r="C2575" s="10" t="s">
        <v>232</v>
      </c>
      <c r="D2575" s="10">
        <v>1</v>
      </c>
      <c r="E2575" s="10">
        <v>52</v>
      </c>
      <c r="F2575" s="10" t="s">
        <v>690</v>
      </c>
      <c r="G2575" s="10" t="s">
        <v>767</v>
      </c>
      <c r="H2575" s="10" t="str" cm="1">
        <f t="array" aca="1" ref="H2575" ca="1">IF(INDEX(I2575:Z2575,$H$1)=0,"",INDEX(I2575:Z2575,$H$1))</f>
        <v>sm^3/d</v>
      </c>
      <c r="I2575" s="2" t="s">
        <v>2468</v>
      </c>
      <c r="J2575" s="2" t="s">
        <v>2468</v>
      </c>
      <c r="K2575" s="2" t="s">
        <v>2468</v>
      </c>
    </row>
    <row r="2576" spans="1:11" x14ac:dyDescent="0.35">
      <c r="A2576" s="10" t="s">
        <v>1184</v>
      </c>
      <c r="B2576" s="255">
        <v>12</v>
      </c>
      <c r="C2576" s="10" t="s">
        <v>232</v>
      </c>
      <c r="D2576" s="10">
        <v>1</v>
      </c>
      <c r="E2576" s="10">
        <v>53</v>
      </c>
      <c r="F2576" s="10" t="s">
        <v>690</v>
      </c>
      <c r="G2576" s="10" t="s">
        <v>767</v>
      </c>
      <c r="H2576" s="10" t="str" cm="1">
        <f t="array" aca="1" ref="H2576" ca="1">IF(INDEX(I2576:Z2576,$H$1)=0,"",INDEX(I2576:Z2576,$H$1))</f>
        <v>sm^3/mo</v>
      </c>
      <c r="I2576" s="2" t="s">
        <v>2469</v>
      </c>
      <c r="J2576" s="2" t="s">
        <v>2469</v>
      </c>
      <c r="K2576" s="2" t="s">
        <v>2469</v>
      </c>
    </row>
    <row r="2577" spans="1:11" x14ac:dyDescent="0.35">
      <c r="A2577" s="10" t="s">
        <v>1184</v>
      </c>
      <c r="B2577" s="255">
        <v>12</v>
      </c>
      <c r="C2577" s="10" t="s">
        <v>232</v>
      </c>
      <c r="D2577" s="10">
        <v>1</v>
      </c>
      <c r="E2577" s="10">
        <v>54</v>
      </c>
      <c r="F2577" s="10" t="s">
        <v>690</v>
      </c>
      <c r="G2577" s="10" t="s">
        <v>767</v>
      </c>
      <c r="H2577" s="10" t="str" cm="1">
        <f t="array" aca="1" ref="H2577" ca="1">IF(INDEX(I2577:Z2577,$H$1)=0,"",INDEX(I2577:Z2577,$H$1))</f>
        <v>sm^3/y</v>
      </c>
      <c r="I2577" s="2" t="s">
        <v>2470</v>
      </c>
      <c r="J2577" s="2" t="s">
        <v>2470</v>
      </c>
      <c r="K2577" s="2" t="s">
        <v>2470</v>
      </c>
    </row>
    <row r="2578" spans="1:11" x14ac:dyDescent="0.35">
      <c r="A2578" s="10" t="s">
        <v>1184</v>
      </c>
      <c r="B2578" s="255">
        <v>12</v>
      </c>
      <c r="C2578" s="10" t="s">
        <v>232</v>
      </c>
      <c r="D2578" s="10">
        <v>1</v>
      </c>
      <c r="E2578" s="10">
        <v>55</v>
      </c>
      <c r="F2578" s="10" t="s">
        <v>690</v>
      </c>
      <c r="G2578" s="10" t="s">
        <v>767</v>
      </c>
      <c r="H2578" s="10" t="str" cm="1">
        <f t="array" aca="1" ref="H2578" ca="1">IF(INDEX(I2578:Z2578,$H$1)=0,"",INDEX(I2578:Z2578,$H$1))</f>
        <v>mmscf  CH4/h</v>
      </c>
      <c r="I2578" s="10" t="s">
        <v>2489</v>
      </c>
      <c r="J2578" s="10" t="s">
        <v>2489</v>
      </c>
      <c r="K2578" s="10" t="s">
        <v>2489</v>
      </c>
    </row>
    <row r="2579" spans="1:11" x14ac:dyDescent="0.35">
      <c r="A2579" s="10" t="s">
        <v>1184</v>
      </c>
      <c r="B2579" s="255">
        <v>12</v>
      </c>
      <c r="C2579" s="10" t="s">
        <v>232</v>
      </c>
      <c r="D2579" s="10">
        <v>1</v>
      </c>
      <c r="E2579" s="10">
        <v>55</v>
      </c>
      <c r="F2579" s="10" t="s">
        <v>690</v>
      </c>
      <c r="G2579" s="10" t="s">
        <v>767</v>
      </c>
      <c r="H2579" s="10" t="str" cm="1">
        <f t="array" aca="1" ref="H2579" ca="1">IF(INDEX(I2579:Z2579,$H$1)=0,"",INDEX(I2579:Z2579,$H$1))</f>
        <v>mmscf  CH4/d</v>
      </c>
      <c r="I2579" s="10" t="s">
        <v>2490</v>
      </c>
      <c r="J2579" s="10" t="s">
        <v>2490</v>
      </c>
      <c r="K2579" s="10" t="s">
        <v>2490</v>
      </c>
    </row>
    <row r="2580" spans="1:11" x14ac:dyDescent="0.35">
      <c r="A2580" s="10" t="s">
        <v>1184</v>
      </c>
      <c r="B2580" s="255">
        <v>12</v>
      </c>
      <c r="C2580" s="10" t="s">
        <v>232</v>
      </c>
      <c r="D2580" s="10">
        <v>1</v>
      </c>
      <c r="E2580" s="10">
        <v>55</v>
      </c>
      <c r="F2580" s="10" t="s">
        <v>690</v>
      </c>
      <c r="G2580" s="10" t="s">
        <v>767</v>
      </c>
      <c r="H2580" s="10" t="str" cm="1">
        <f t="array" aca="1" ref="H2580" ca="1">IF(INDEX(I2580:Z2580,$H$1)=0,"",INDEX(I2580:Z2580,$H$1))</f>
        <v>mmscf  CH4/mo</v>
      </c>
      <c r="I2580" s="10" t="s">
        <v>2491</v>
      </c>
      <c r="J2580" s="10" t="s">
        <v>2491</v>
      </c>
      <c r="K2580" s="10" t="s">
        <v>2491</v>
      </c>
    </row>
    <row r="2581" spans="1:11" x14ac:dyDescent="0.35">
      <c r="A2581" s="10" t="s">
        <v>1184</v>
      </c>
      <c r="B2581" s="255">
        <v>12</v>
      </c>
      <c r="C2581" s="10" t="s">
        <v>232</v>
      </c>
      <c r="D2581" s="10">
        <v>1</v>
      </c>
      <c r="E2581" s="10">
        <v>55</v>
      </c>
      <c r="F2581" s="10" t="s">
        <v>690</v>
      </c>
      <c r="G2581" s="10" t="s">
        <v>767</v>
      </c>
      <c r="H2581" s="10" t="str" cm="1">
        <f t="array" aca="1" ref="H2581" ca="1">IF(INDEX(I2581:Z2581,$H$1)=0,"",INDEX(I2581:Z2581,$H$1))</f>
        <v>mmscf  CH4/y</v>
      </c>
      <c r="I2581" s="10" t="s">
        <v>2492</v>
      </c>
      <c r="J2581" s="10" t="s">
        <v>2492</v>
      </c>
      <c r="K2581" s="10" t="s">
        <v>2492</v>
      </c>
    </row>
    <row r="2582" spans="1:11" x14ac:dyDescent="0.35">
      <c r="A2582" s="10" t="s">
        <v>1184</v>
      </c>
      <c r="B2582" s="255">
        <v>12</v>
      </c>
      <c r="C2582" s="10" t="s">
        <v>232</v>
      </c>
      <c r="D2582" s="10">
        <v>1</v>
      </c>
      <c r="E2582" s="10">
        <v>55</v>
      </c>
      <c r="F2582" s="10" t="s">
        <v>690</v>
      </c>
      <c r="G2582" s="10" t="s">
        <v>767</v>
      </c>
      <c r="H2582" s="10" t="str" cm="1">
        <f t="array" aca="1" ref="H2582" ca="1">IF(INDEX(I2582:Z2582,$H$1)=0,"",INDEX(I2582:Z2582,$H$1))</f>
        <v>mmscf/h</v>
      </c>
      <c r="I2582" s="10" t="s">
        <v>2457</v>
      </c>
      <c r="J2582" s="10" t="s">
        <v>2457</v>
      </c>
      <c r="K2582" s="10" t="s">
        <v>2457</v>
      </c>
    </row>
    <row r="2583" spans="1:11" x14ac:dyDescent="0.35">
      <c r="A2583" s="10" t="s">
        <v>1184</v>
      </c>
      <c r="B2583" s="255">
        <v>12</v>
      </c>
      <c r="C2583" s="10" t="s">
        <v>232</v>
      </c>
      <c r="D2583" s="10">
        <v>1</v>
      </c>
      <c r="E2583" s="10">
        <v>56</v>
      </c>
      <c r="F2583" s="10" t="s">
        <v>690</v>
      </c>
      <c r="G2583" s="10" t="s">
        <v>767</v>
      </c>
      <c r="H2583" s="10" t="str" cm="1">
        <f t="array" aca="1" ref="H2583" ca="1">IF(INDEX(I2583:Z2583,$H$1)=0,"",INDEX(I2583:Z2583,$H$1))</f>
        <v>mmscf/d</v>
      </c>
      <c r="I2583" s="10" t="s">
        <v>2458</v>
      </c>
      <c r="J2583" s="10" t="s">
        <v>2458</v>
      </c>
      <c r="K2583" s="10" t="s">
        <v>2458</v>
      </c>
    </row>
    <row r="2584" spans="1:11" x14ac:dyDescent="0.35">
      <c r="A2584" s="10" t="s">
        <v>1184</v>
      </c>
      <c r="B2584" s="255">
        <v>12</v>
      </c>
      <c r="C2584" s="10" t="s">
        <v>232</v>
      </c>
      <c r="D2584" s="10">
        <v>1</v>
      </c>
      <c r="E2584" s="10">
        <v>57</v>
      </c>
      <c r="F2584" s="10" t="s">
        <v>690</v>
      </c>
      <c r="G2584" s="10" t="s">
        <v>767</v>
      </c>
      <c r="H2584" s="10" t="str" cm="1">
        <f t="array" aca="1" ref="H2584" ca="1">IF(INDEX(I2584:Z2584,$H$1)=0,"",INDEX(I2584:Z2584,$H$1))</f>
        <v>mmscf/mo</v>
      </c>
      <c r="I2584" s="10" t="s">
        <v>2459</v>
      </c>
      <c r="J2584" s="10" t="s">
        <v>2459</v>
      </c>
      <c r="K2584" s="10" t="s">
        <v>2459</v>
      </c>
    </row>
    <row r="2585" spans="1:11" x14ac:dyDescent="0.35">
      <c r="A2585" s="10" t="s">
        <v>1184</v>
      </c>
      <c r="B2585" s="255">
        <v>12</v>
      </c>
      <c r="C2585" s="10" t="s">
        <v>232</v>
      </c>
      <c r="D2585" s="10">
        <v>1</v>
      </c>
      <c r="E2585" s="10">
        <v>58</v>
      </c>
      <c r="F2585" s="10" t="s">
        <v>690</v>
      </c>
      <c r="G2585" s="10" t="s">
        <v>767</v>
      </c>
      <c r="H2585" s="10" t="str" cm="1">
        <f t="array" aca="1" ref="H2585" ca="1">IF(INDEX(I2585:Z2585,$H$1)=0,"",INDEX(I2585:Z2585,$H$1))</f>
        <v>mmscf/y</v>
      </c>
      <c r="I2585" s="10" t="s">
        <v>2460</v>
      </c>
      <c r="J2585" s="10" t="s">
        <v>2460</v>
      </c>
      <c r="K2585" s="10" t="s">
        <v>2460</v>
      </c>
    </row>
    <row r="2586" spans="1:11" x14ac:dyDescent="0.35">
      <c r="A2586" s="10" t="s">
        <v>1184</v>
      </c>
      <c r="B2586" s="255">
        <v>12</v>
      </c>
      <c r="C2586" s="10" t="s">
        <v>232</v>
      </c>
      <c r="D2586" s="10">
        <v>1</v>
      </c>
      <c r="E2586" s="10">
        <v>59</v>
      </c>
      <c r="F2586" s="10" t="s">
        <v>690</v>
      </c>
      <c r="G2586" s="10" t="s">
        <v>767</v>
      </c>
      <c r="H2586" s="10" t="str" cm="1">
        <f t="array" aca="1" ref="H2586" ca="1">IF(INDEX(I2586:Z2586,$H$1)=0,"",INDEX(I2586:Z2586,$H$1))</f>
        <v>E+03 sm^3/d</v>
      </c>
      <c r="I2586" s="2" t="s">
        <v>2465</v>
      </c>
      <c r="J2586" s="2" t="s">
        <v>2465</v>
      </c>
      <c r="K2586" s="2" t="s">
        <v>2465</v>
      </c>
    </row>
    <row r="2587" spans="1:11" x14ac:dyDescent="0.35">
      <c r="A2587" s="10" t="s">
        <v>1184</v>
      </c>
      <c r="B2587" s="255">
        <v>12</v>
      </c>
      <c r="C2587" s="10" t="s">
        <v>232</v>
      </c>
      <c r="D2587" s="10">
        <v>1</v>
      </c>
      <c r="E2587" s="10">
        <v>60</v>
      </c>
      <c r="F2587" s="10" t="s">
        <v>690</v>
      </c>
      <c r="G2587" s="10" t="s">
        <v>767</v>
      </c>
      <c r="H2587" s="10" t="str" cm="1">
        <f t="array" aca="1" ref="H2587" ca="1">IF(INDEX(I2587:Z2587,$H$1)=0,"",INDEX(I2587:Z2587,$H$1))</f>
        <v>E+03 sm^3/mo</v>
      </c>
      <c r="I2587" s="2" t="s">
        <v>2466</v>
      </c>
      <c r="J2587" s="2" t="s">
        <v>2466</v>
      </c>
      <c r="K2587" s="2" t="s">
        <v>2466</v>
      </c>
    </row>
    <row r="2588" spans="1:11" x14ac:dyDescent="0.35">
      <c r="A2588" s="10" t="s">
        <v>1184</v>
      </c>
      <c r="B2588" s="255">
        <v>12</v>
      </c>
      <c r="C2588" s="10" t="s">
        <v>232</v>
      </c>
      <c r="D2588" s="10">
        <v>1</v>
      </c>
      <c r="E2588" s="10">
        <v>61</v>
      </c>
      <c r="F2588" s="10" t="s">
        <v>690</v>
      </c>
      <c r="G2588" s="10" t="s">
        <v>767</v>
      </c>
      <c r="H2588" s="10" t="str" cm="1">
        <f t="array" aca="1" ref="H2588" ca="1">IF(INDEX(I2588:Z2588,$H$1)=0,"",INDEX(I2588:Z2588,$H$1))</f>
        <v>E+03 sm^3/y</v>
      </c>
      <c r="I2588" s="2" t="s">
        <v>2467</v>
      </c>
      <c r="J2588" s="2" t="s">
        <v>2467</v>
      </c>
      <c r="K2588" s="2" t="s">
        <v>2467</v>
      </c>
    </row>
    <row r="2589" spans="1:11" x14ac:dyDescent="0.35">
      <c r="A2589" s="10" t="s">
        <v>1184</v>
      </c>
      <c r="B2589" s="255">
        <v>12</v>
      </c>
      <c r="C2589" s="10" t="s">
        <v>232</v>
      </c>
      <c r="D2589" s="10">
        <v>1</v>
      </c>
      <c r="E2589" s="10">
        <v>5</v>
      </c>
      <c r="F2589" s="10" t="s">
        <v>38</v>
      </c>
      <c r="G2589" s="10" t="s">
        <v>767</v>
      </c>
      <c r="H2589" s="10" t="str" cm="1">
        <f t="array" aca="1" ref="H2589" ca="1">IF(INDEX(I2589:Z2589,$H$1)=0,"",INDEX(I2589:Z2589,$H$1))</f>
        <v>m3</v>
      </c>
      <c r="I2589" s="10" t="s">
        <v>1942</v>
      </c>
      <c r="J2589" s="2" t="s">
        <v>1961</v>
      </c>
      <c r="K2589" s="10" t="s">
        <v>1942</v>
      </c>
    </row>
    <row r="2590" spans="1:11" x14ac:dyDescent="0.35">
      <c r="A2590" s="10" t="s">
        <v>1184</v>
      </c>
      <c r="B2590" s="255">
        <v>12</v>
      </c>
      <c r="C2590" s="10" t="s">
        <v>232</v>
      </c>
      <c r="D2590" s="10">
        <v>1</v>
      </c>
      <c r="E2590" s="10">
        <v>6</v>
      </c>
      <c r="F2590" s="10" t="s">
        <v>38</v>
      </c>
      <c r="G2590" s="10" t="s">
        <v>767</v>
      </c>
      <c r="H2590" s="10" t="str" cm="1">
        <f t="array" aca="1" ref="H2590" ca="1">IF(INDEX(I2590:Z2590,$H$1)=0,"",INDEX(I2590:Z2590,$H$1))</f>
        <v>m3 CH4</v>
      </c>
      <c r="I2590" s="10" t="s">
        <v>1943</v>
      </c>
      <c r="J2590" s="2" t="s">
        <v>1962</v>
      </c>
      <c r="K2590" s="10" t="s">
        <v>1943</v>
      </c>
    </row>
    <row r="2591" spans="1:11" x14ac:dyDescent="0.35">
      <c r="A2591" s="10" t="s">
        <v>1184</v>
      </c>
      <c r="B2591" s="255">
        <v>12</v>
      </c>
      <c r="C2591" s="10" t="s">
        <v>232</v>
      </c>
      <c r="D2591" s="10">
        <v>1</v>
      </c>
      <c r="E2591" s="10">
        <v>7</v>
      </c>
      <c r="F2591" s="10" t="s">
        <v>38</v>
      </c>
      <c r="G2591" s="10" t="s">
        <v>767</v>
      </c>
      <c r="H2591" s="10" t="str" cm="1">
        <f t="array" aca="1" ref="H2591" ca="1">IF(INDEX(I2591:Z2591,$H$1)=0,"",INDEX(I2591:Z2591,$H$1))</f>
        <v>kg</v>
      </c>
      <c r="I2591" s="10" t="s">
        <v>22</v>
      </c>
      <c r="J2591" s="2" t="s">
        <v>1963</v>
      </c>
      <c r="K2591" s="10" t="s">
        <v>22</v>
      </c>
    </row>
    <row r="2592" spans="1:11" x14ac:dyDescent="0.35">
      <c r="A2592" s="10" t="s">
        <v>1184</v>
      </c>
      <c r="B2592" s="255">
        <v>12</v>
      </c>
      <c r="C2592" s="10" t="s">
        <v>232</v>
      </c>
      <c r="D2592" s="10">
        <v>1</v>
      </c>
      <c r="E2592" s="10">
        <v>8</v>
      </c>
      <c r="F2592" s="10" t="s">
        <v>38</v>
      </c>
      <c r="G2592" s="10" t="s">
        <v>767</v>
      </c>
      <c r="H2592" s="10" t="str" cm="1">
        <f t="array" aca="1" ref="H2592" ca="1">IF(INDEX(I2592:Z2592,$H$1)=0,"",INDEX(I2592:Z2592,$H$1))</f>
        <v>tonnes CH4</v>
      </c>
      <c r="I2592" s="10" t="s">
        <v>1944</v>
      </c>
      <c r="J2592" s="2" t="s">
        <v>1964</v>
      </c>
      <c r="K2592" s="27" t="s">
        <v>1952</v>
      </c>
    </row>
    <row r="2593" spans="1:11" x14ac:dyDescent="0.35">
      <c r="A2593" s="10" t="s">
        <v>1184</v>
      </c>
      <c r="B2593" s="255">
        <v>12</v>
      </c>
      <c r="C2593" s="10" t="s">
        <v>232</v>
      </c>
      <c r="D2593" s="10">
        <v>1</v>
      </c>
      <c r="E2593" s="10">
        <v>9</v>
      </c>
      <c r="F2593" s="10" t="s">
        <v>38</v>
      </c>
      <c r="G2593" s="10" t="s">
        <v>767</v>
      </c>
      <c r="H2593" s="10" t="str" cm="1">
        <f t="array" aca="1" ref="H2593" ca="1">IF(INDEX(I2593:Z2593,$H$1)=0,"",INDEX(I2593:Z2593,$H$1))</f>
        <v>tonnes CH4/y</v>
      </c>
      <c r="I2593" s="10" t="s">
        <v>314</v>
      </c>
      <c r="J2593" s="2" t="s">
        <v>1965</v>
      </c>
      <c r="K2593" s="27" t="s">
        <v>1953</v>
      </c>
    </row>
    <row r="2594" spans="1:11" x14ac:dyDescent="0.35">
      <c r="A2594" s="10" t="s">
        <v>1184</v>
      </c>
      <c r="B2594" s="255">
        <v>12</v>
      </c>
      <c r="C2594" s="10" t="s">
        <v>232</v>
      </c>
      <c r="D2594" s="10">
        <v>1</v>
      </c>
      <c r="E2594" s="10">
        <v>10</v>
      </c>
      <c r="F2594" s="10" t="s">
        <v>38</v>
      </c>
      <c r="G2594" s="10" t="s">
        <v>767</v>
      </c>
      <c r="H2594" s="10" t="str" cm="1">
        <f t="array" aca="1" ref="H2594" ca="1">IF(INDEX(I2594:Z2594,$H$1)=0,"",INDEX(I2594:Z2594,$H$1))</f>
        <v>m3/d/device</v>
      </c>
      <c r="I2594" s="10" t="s">
        <v>1945</v>
      </c>
      <c r="J2594" s="2" t="s">
        <v>1966</v>
      </c>
      <c r="K2594" s="27" t="s">
        <v>1954</v>
      </c>
    </row>
    <row r="2595" spans="1:11" x14ac:dyDescent="0.35">
      <c r="A2595" s="10" t="s">
        <v>1184</v>
      </c>
      <c r="B2595" s="255">
        <v>12</v>
      </c>
      <c r="C2595" s="10" t="s">
        <v>232</v>
      </c>
      <c r="D2595" s="10">
        <v>1</v>
      </c>
      <c r="E2595" s="10">
        <v>11</v>
      </c>
      <c r="F2595" s="10" t="s">
        <v>38</v>
      </c>
      <c r="G2595" s="10" t="s">
        <v>767</v>
      </c>
      <c r="H2595" s="10" t="str" cm="1">
        <f t="array" aca="1" ref="H2595" ca="1">IF(INDEX(I2595:Z2595,$H$1)=0,"",INDEX(I2595:Z2595,$H$1))</f>
        <v>km</v>
      </c>
      <c r="I2595" s="10" t="s">
        <v>106</v>
      </c>
      <c r="J2595" s="2" t="s">
        <v>1967</v>
      </c>
      <c r="K2595" s="10" t="s">
        <v>106</v>
      </c>
    </row>
    <row r="2596" spans="1:11" x14ac:dyDescent="0.35">
      <c r="A2596" s="10" t="s">
        <v>1184</v>
      </c>
      <c r="B2596" s="255">
        <v>12</v>
      </c>
      <c r="C2596" s="10" t="s">
        <v>232</v>
      </c>
      <c r="D2596" s="10">
        <v>1</v>
      </c>
      <c r="E2596" s="10">
        <v>12</v>
      </c>
      <c r="F2596" s="10" t="s">
        <v>38</v>
      </c>
      <c r="G2596" s="10" t="s">
        <v>767</v>
      </c>
      <c r="H2596" s="10" t="str" cm="1">
        <f t="array" aca="1" ref="H2596" ca="1">IF(INDEX(I2596:Z2596,$H$1)=0,"",INDEX(I2596:Z2596,$H$1))</f>
        <v>m3</v>
      </c>
      <c r="I2596" s="10" t="s">
        <v>1942</v>
      </c>
      <c r="J2596" s="2" t="s">
        <v>1961</v>
      </c>
      <c r="K2596" s="10" t="s">
        <v>1942</v>
      </c>
    </row>
    <row r="2597" spans="1:11" x14ac:dyDescent="0.35">
      <c r="A2597" s="10" t="s">
        <v>1184</v>
      </c>
      <c r="B2597" s="255">
        <v>12</v>
      </c>
      <c r="C2597" s="10" t="s">
        <v>232</v>
      </c>
      <c r="D2597" s="10">
        <v>1</v>
      </c>
      <c r="E2597" s="10">
        <v>13</v>
      </c>
      <c r="F2597" s="10" t="s">
        <v>38</v>
      </c>
      <c r="G2597" s="10" t="s">
        <v>767</v>
      </c>
      <c r="H2597" s="10" t="str" cm="1">
        <f t="array" aca="1" ref="H2597" ca="1">IF(INDEX(I2597:Z2597,$H$1)=0,"",INDEX(I2597:Z2597,$H$1))</f>
        <v>m3/106 m3 gas processed</v>
      </c>
      <c r="I2597" s="10" t="s">
        <v>1946</v>
      </c>
      <c r="J2597" s="2" t="s">
        <v>1968</v>
      </c>
      <c r="K2597" s="27" t="s">
        <v>1955</v>
      </c>
    </row>
    <row r="2598" spans="1:11" x14ac:dyDescent="0.35">
      <c r="A2598" s="10" t="s">
        <v>1184</v>
      </c>
      <c r="B2598" s="255">
        <v>12</v>
      </c>
      <c r="C2598" s="10" t="s">
        <v>232</v>
      </c>
      <c r="D2598" s="10">
        <v>1</v>
      </c>
      <c r="E2598" s="10">
        <v>14</v>
      </c>
      <c r="F2598" s="10" t="s">
        <v>38</v>
      </c>
      <c r="G2598" s="10" t="s">
        <v>767</v>
      </c>
      <c r="H2598" s="10" t="str" cm="1">
        <f t="array" aca="1" ref="H2598" ca="1">IF(INDEX(I2598:Z2598,$H$1)=0,"",INDEX(I2598:Z2598,$H$1))</f>
        <v>m3/activity</v>
      </c>
      <c r="I2598" s="10" t="s">
        <v>1947</v>
      </c>
      <c r="J2598" s="2" t="s">
        <v>1969</v>
      </c>
      <c r="K2598" s="27" t="s">
        <v>1956</v>
      </c>
    </row>
    <row r="2599" spans="1:11" x14ac:dyDescent="0.35">
      <c r="A2599" s="10" t="s">
        <v>1184</v>
      </c>
      <c r="B2599" s="255">
        <v>12</v>
      </c>
      <c r="C2599" s="10" t="s">
        <v>232</v>
      </c>
      <c r="D2599" s="10">
        <v>1</v>
      </c>
      <c r="E2599" s="10">
        <v>15</v>
      </c>
      <c r="F2599" s="10" t="s">
        <v>38</v>
      </c>
      <c r="G2599" s="10" t="s">
        <v>767</v>
      </c>
      <c r="H2599" s="10" t="str" cm="1">
        <f t="array" aca="1" ref="H2599" ca="1">IF(INDEX(I2599:Z2599,$H$1)=0,"",INDEX(I2599:Z2599,$H$1))</f>
        <v>m3/activity-day</v>
      </c>
      <c r="I2599" s="10" t="s">
        <v>1948</v>
      </c>
      <c r="J2599" s="2" t="s">
        <v>1970</v>
      </c>
      <c r="K2599" s="27" t="s">
        <v>1957</v>
      </c>
    </row>
    <row r="2600" spans="1:11" x14ac:dyDescent="0.35">
      <c r="A2600" s="10" t="s">
        <v>1184</v>
      </c>
      <c r="B2600" s="255">
        <v>12</v>
      </c>
      <c r="C2600" s="10" t="s">
        <v>232</v>
      </c>
      <c r="D2600" s="10">
        <v>1</v>
      </c>
      <c r="E2600" s="10">
        <v>16</v>
      </c>
      <c r="F2600" s="10" t="s">
        <v>38</v>
      </c>
      <c r="G2600" s="10" t="s">
        <v>767</v>
      </c>
      <c r="H2600" s="10" t="str" cm="1">
        <f t="array" aca="1" ref="H2600" ca="1">IF(INDEX(I2600:Z2600,$H$1)=0,"",INDEX(I2600:Z2600,$H$1))</f>
        <v>m3/d/device</v>
      </c>
      <c r="I2600" s="10" t="s">
        <v>1945</v>
      </c>
      <c r="J2600" s="2" t="s">
        <v>1966</v>
      </c>
      <c r="K2600" s="27" t="s">
        <v>1954</v>
      </c>
    </row>
    <row r="2601" spans="1:11" x14ac:dyDescent="0.35">
      <c r="A2601" s="10" t="s">
        <v>1184</v>
      </c>
      <c r="B2601" s="255">
        <v>12</v>
      </c>
      <c r="C2601" s="10" t="s">
        <v>232</v>
      </c>
      <c r="D2601" s="10">
        <v>1</v>
      </c>
      <c r="E2601" s="10">
        <v>16</v>
      </c>
      <c r="F2601" s="10" t="s">
        <v>38</v>
      </c>
      <c r="G2601" s="10" t="s">
        <v>767</v>
      </c>
      <c r="H2601" s="10" t="str" cm="1">
        <f t="array" aca="1" ref="H2601" ca="1">IF(INDEX(I2601:Z2601,$H$1)=0,"",INDEX(I2601:Z2601,$H$1))</f>
        <v>m3/y/pipeline-km</v>
      </c>
      <c r="I2601" s="10" t="s">
        <v>2730</v>
      </c>
      <c r="J2601" s="2"/>
      <c r="K2601" s="27"/>
    </row>
    <row r="2602" spans="1:11" x14ac:dyDescent="0.35">
      <c r="A2602" s="10" t="s">
        <v>1184</v>
      </c>
      <c r="B2602" s="255">
        <v>12</v>
      </c>
      <c r="C2602" s="10" t="s">
        <v>232</v>
      </c>
      <c r="D2602" s="10">
        <v>1</v>
      </c>
      <c r="E2602" s="10">
        <v>17</v>
      </c>
      <c r="F2602" s="10" t="s">
        <v>38</v>
      </c>
      <c r="G2602" s="10" t="s">
        <v>767</v>
      </c>
      <c r="H2602" s="10" t="str" cm="1">
        <f t="array" aca="1" ref="H2602" ca="1">IF(INDEX(I2602:Z2602,$H$1)=0,"",INDEX(I2602:Z2602,$H$1))</f>
        <v>scf/y/pipeline-km</v>
      </c>
      <c r="I2602" s="10" t="s">
        <v>104</v>
      </c>
      <c r="J2602" s="2" t="s">
        <v>1971</v>
      </c>
      <c r="K2602" s="27" t="s">
        <v>1993</v>
      </c>
    </row>
    <row r="2603" spans="1:11" x14ac:dyDescent="0.35">
      <c r="A2603" s="10" t="s">
        <v>1184</v>
      </c>
      <c r="B2603" s="255">
        <v>12</v>
      </c>
      <c r="C2603" s="10" t="s">
        <v>232</v>
      </c>
      <c r="D2603" s="10">
        <v>1</v>
      </c>
      <c r="E2603" s="10">
        <v>18</v>
      </c>
      <c r="F2603" s="10" t="s">
        <v>38</v>
      </c>
      <c r="G2603" s="10" t="s">
        <v>767</v>
      </c>
      <c r="H2603" s="10" t="str" cm="1">
        <f t="array" aca="1" ref="H2603" ca="1">IF(INDEX(I2603:Z2603,$H$1)=0,"",INDEX(I2603:Z2603,$H$1))</f>
        <v>m3/y/source</v>
      </c>
      <c r="I2603" s="10" t="s">
        <v>1949</v>
      </c>
      <c r="J2603" s="2" t="s">
        <v>1972</v>
      </c>
      <c r="K2603" s="27" t="s">
        <v>1996</v>
      </c>
    </row>
    <row r="2604" spans="1:11" x14ac:dyDescent="0.35">
      <c r="A2604" s="10" t="s">
        <v>1184</v>
      </c>
      <c r="B2604" s="255">
        <v>12</v>
      </c>
      <c r="C2604" s="10" t="s">
        <v>232</v>
      </c>
      <c r="D2604" s="10">
        <v>1</v>
      </c>
      <c r="E2604" s="10">
        <v>19</v>
      </c>
      <c r="F2604" s="10" t="s">
        <v>38</v>
      </c>
      <c r="G2604" s="10" t="s">
        <v>767</v>
      </c>
      <c r="H2604" s="10" t="str" cm="1">
        <f t="array" aca="1" ref="H2604" ca="1">IF(INDEX(I2604:Z2604,$H$1)=0,"",INDEX(I2604:Z2604,$H$1))</f>
        <v>tonne</v>
      </c>
      <c r="I2604" s="10" t="s">
        <v>25</v>
      </c>
      <c r="J2604" s="2" t="s">
        <v>769</v>
      </c>
      <c r="K2604" s="27" t="s">
        <v>1958</v>
      </c>
    </row>
    <row r="2605" spans="1:11" x14ac:dyDescent="0.35">
      <c r="A2605" s="10" t="s">
        <v>1184</v>
      </c>
      <c r="B2605" s="255">
        <v>12</v>
      </c>
      <c r="C2605" s="10" t="s">
        <v>232</v>
      </c>
      <c r="D2605" s="10">
        <v>1</v>
      </c>
      <c r="E2605" s="10">
        <v>19</v>
      </c>
      <c r="F2605" s="10" t="s">
        <v>38</v>
      </c>
      <c r="G2605" s="10" t="s">
        <v>767</v>
      </c>
      <c r="H2605" s="10" t="str" cm="1">
        <f t="array" aca="1" ref="H2605" ca="1">IF(INDEX(I2605:Z2605,$H$1)=0,"",INDEX(I2605:Z2605,$H$1))</f>
        <v>tonne/y</v>
      </c>
      <c r="I2605" s="10" t="s">
        <v>2455</v>
      </c>
      <c r="J2605" s="2" t="s">
        <v>769</v>
      </c>
      <c r="K2605" s="27" t="s">
        <v>2456</v>
      </c>
    </row>
    <row r="2606" spans="1:11" x14ac:dyDescent="0.35">
      <c r="A2606" s="10" t="s">
        <v>1184</v>
      </c>
      <c r="B2606" s="255">
        <v>12</v>
      </c>
      <c r="C2606" s="10" t="s">
        <v>232</v>
      </c>
      <c r="D2606" s="10">
        <v>1</v>
      </c>
      <c r="E2606" s="10">
        <v>19</v>
      </c>
      <c r="F2606" s="10" t="s">
        <v>38</v>
      </c>
      <c r="G2606" s="10" t="s">
        <v>767</v>
      </c>
      <c r="H2606" s="10" t="str" cm="1">
        <f t="array" aca="1" ref="H2606" ca="1">IF(INDEX(I2606:Z2606,$H$1)=0,"",INDEX(I2606:Z2606,$H$1))</f>
        <v>GJ/y</v>
      </c>
      <c r="I2606" s="10" t="s">
        <v>2302</v>
      </c>
      <c r="J2606" s="10" t="s">
        <v>2302</v>
      </c>
      <c r="K2606" s="10" t="s">
        <v>2302</v>
      </c>
    </row>
    <row r="2607" spans="1:11" x14ac:dyDescent="0.35">
      <c r="A2607" s="10" t="s">
        <v>1184</v>
      </c>
      <c r="B2607" s="255">
        <v>12</v>
      </c>
      <c r="C2607" s="10" t="s">
        <v>232</v>
      </c>
      <c r="D2607" s="10">
        <v>1</v>
      </c>
      <c r="E2607" s="10">
        <v>19</v>
      </c>
      <c r="F2607" s="10" t="s">
        <v>38</v>
      </c>
      <c r="G2607" s="10" t="s">
        <v>767</v>
      </c>
      <c r="H2607" s="10" t="str" cm="1">
        <f t="array" aca="1" ref="H2607" ca="1">IF(INDEX(I2607:Z2607,$H$1)=0,"",INDEX(I2607:Z2607,$H$1))</f>
        <v>m3/h</v>
      </c>
      <c r="I2607" s="10" t="s">
        <v>2443</v>
      </c>
      <c r="J2607" s="10" t="s">
        <v>2443</v>
      </c>
      <c r="K2607" s="10" t="s">
        <v>2443</v>
      </c>
    </row>
    <row r="2608" spans="1:11" x14ac:dyDescent="0.35">
      <c r="A2608" s="10" t="s">
        <v>1184</v>
      </c>
      <c r="B2608" s="255">
        <v>12</v>
      </c>
      <c r="C2608" s="10" t="s">
        <v>232</v>
      </c>
      <c r="D2608" s="10">
        <v>1</v>
      </c>
      <c r="E2608" s="10">
        <v>26</v>
      </c>
      <c r="F2608" s="10" t="s">
        <v>38</v>
      </c>
      <c r="G2608" s="10" t="s">
        <v>767</v>
      </c>
      <c r="H2608" s="10" t="str" cm="1">
        <f t="array" aca="1" ref="H2608" ca="1">IF(INDEX(I2608:Z2608,$H$1)=0,"",INDEX(I2608:Z2608,$H$1))</f>
        <v>Nm3/h</v>
      </c>
      <c r="I2608" s="10" t="s">
        <v>2050</v>
      </c>
      <c r="J2608" s="10" t="s">
        <v>2050</v>
      </c>
      <c r="K2608" s="10" t="s">
        <v>2050</v>
      </c>
    </row>
    <row r="2609" spans="1:11" x14ac:dyDescent="0.35">
      <c r="A2609" s="10" t="s">
        <v>1184</v>
      </c>
      <c r="B2609" s="255">
        <v>12</v>
      </c>
      <c r="C2609" s="10" t="s">
        <v>232</v>
      </c>
      <c r="D2609" s="10">
        <v>1</v>
      </c>
      <c r="E2609" s="10">
        <v>20</v>
      </c>
      <c r="F2609" s="10" t="s">
        <v>38</v>
      </c>
      <c r="G2609" s="10" t="s">
        <v>767</v>
      </c>
      <c r="H2609" s="10" t="str" cm="1">
        <f t="array" aca="1" ref="H2609" ca="1">IF(INDEX(I2609:Z2609,$H$1)=0,"",INDEX(I2609:Z2609,$H$1))</f>
        <v>m3 CH4/m3 of Liquid</v>
      </c>
      <c r="I2609" s="10" t="s">
        <v>1950</v>
      </c>
      <c r="J2609" s="2" t="s">
        <v>1973</v>
      </c>
      <c r="K2609" s="27" t="s">
        <v>1959</v>
      </c>
    </row>
    <row r="2610" spans="1:11" x14ac:dyDescent="0.35">
      <c r="A2610" s="10" t="s">
        <v>1184</v>
      </c>
      <c r="B2610" s="255">
        <v>12</v>
      </c>
      <c r="C2610" s="10" t="s">
        <v>232</v>
      </c>
      <c r="D2610" s="10">
        <v>1</v>
      </c>
      <c r="E2610" s="10">
        <v>21</v>
      </c>
      <c r="F2610" s="10" t="s">
        <v>38</v>
      </c>
      <c r="G2610" s="10" t="s">
        <v>767</v>
      </c>
      <c r="H2610" s="10" t="str" cm="1">
        <f t="array" aca="1" ref="H2610" ca="1">IF(INDEX(I2610:Z2610,$H$1)=0,"",INDEX(I2610:Z2610,$H$1))</f>
        <v>m3 CH4/m3 of Liquid</v>
      </c>
      <c r="I2610" s="10" t="s">
        <v>1950</v>
      </c>
      <c r="J2610" s="2" t="s">
        <v>1973</v>
      </c>
      <c r="K2610" s="27" t="s">
        <v>1959</v>
      </c>
    </row>
    <row r="2611" spans="1:11" x14ac:dyDescent="0.35">
      <c r="A2611" s="10" t="s">
        <v>1184</v>
      </c>
      <c r="B2611" s="255">
        <v>12</v>
      </c>
      <c r="C2611" s="10" t="s">
        <v>232</v>
      </c>
      <c r="D2611" s="10">
        <v>1</v>
      </c>
      <c r="E2611" s="10">
        <v>22</v>
      </c>
      <c r="F2611" s="10" t="s">
        <v>38</v>
      </c>
      <c r="G2611" s="10" t="s">
        <v>767</v>
      </c>
      <c r="H2611" s="10" t="str" cm="1">
        <f t="array" aca="1" ref="H2611" ca="1">IF(INDEX(I2611:Z2611,$H$1)=0,"",INDEX(I2611:Z2611,$H$1))</f>
        <v>m3 CH4/d/source</v>
      </c>
      <c r="I2611" s="10" t="s">
        <v>1951</v>
      </c>
      <c r="J2611" s="2" t="s">
        <v>1974</v>
      </c>
      <c r="K2611" s="27" t="s">
        <v>1960</v>
      </c>
    </row>
    <row r="2612" spans="1:11" x14ac:dyDescent="0.35">
      <c r="A2612" s="10" t="s">
        <v>1184</v>
      </c>
      <c r="B2612" s="255">
        <v>12</v>
      </c>
      <c r="C2612" s="10" t="s">
        <v>232</v>
      </c>
      <c r="D2612" s="10">
        <v>1</v>
      </c>
      <c r="E2612" s="10">
        <v>23</v>
      </c>
      <c r="F2612" s="10" t="s">
        <v>38</v>
      </c>
      <c r="G2612" s="10" t="s">
        <v>767</v>
      </c>
      <c r="H2612" s="10" t="str" cm="1">
        <f t="array" aca="1" ref="H2612" ca="1">IF(INDEX(I2612:Z2612,$H$1)=0,"",INDEX(I2612:Z2612,$H$1))</f>
        <v>m3 CH4/m3 of Liquid</v>
      </c>
      <c r="I2612" s="10" t="s">
        <v>1950</v>
      </c>
      <c r="J2612" s="2" t="s">
        <v>1973</v>
      </c>
      <c r="K2612" s="27" t="s">
        <v>1959</v>
      </c>
    </row>
    <row r="2613" spans="1:11" x14ac:dyDescent="0.35">
      <c r="A2613" s="10" t="s">
        <v>1184</v>
      </c>
      <c r="B2613" s="255">
        <v>12</v>
      </c>
      <c r="C2613" s="10" t="s">
        <v>232</v>
      </c>
      <c r="D2613" s="10">
        <v>1</v>
      </c>
      <c r="E2613" s="10">
        <v>26</v>
      </c>
      <c r="F2613" s="10" t="s">
        <v>38</v>
      </c>
      <c r="G2613" s="10" t="s">
        <v>767</v>
      </c>
      <c r="H2613" s="10" t="str" cm="1">
        <f t="array" aca="1" ref="H2613" ca="1">IF(INDEX(I2613:Z2613,$H$1)=0,"",INDEX(I2613:Z2613,$H$1))</f>
        <v>Nm3/h</v>
      </c>
      <c r="I2613" s="10" t="s">
        <v>2050</v>
      </c>
      <c r="J2613" s="10" t="s">
        <v>2050</v>
      </c>
      <c r="K2613" s="10" t="s">
        <v>2050</v>
      </c>
    </row>
    <row r="2614" spans="1:11" x14ac:dyDescent="0.35">
      <c r="A2614" s="10" t="s">
        <v>1184</v>
      </c>
      <c r="B2614" s="255">
        <v>12</v>
      </c>
      <c r="C2614" s="10" t="s">
        <v>232</v>
      </c>
      <c r="D2614" s="10">
        <v>1</v>
      </c>
      <c r="E2614" s="10">
        <v>27</v>
      </c>
      <c r="F2614" s="10" t="s">
        <v>38</v>
      </c>
      <c r="G2614" s="10" t="s">
        <v>767</v>
      </c>
      <c r="H2614" s="10" t="str" cm="1">
        <f t="array" aca="1" ref="H2614" ca="1">IF(INDEX(I2614:Z2614,$H$1)=0,"",INDEX(I2614:Z2614,$H$1))</f>
        <v>Nm3/h</v>
      </c>
      <c r="I2614" s="10" t="s">
        <v>2050</v>
      </c>
      <c r="J2614" s="10" t="s">
        <v>2050</v>
      </c>
      <c r="K2614" s="10" t="s">
        <v>2050</v>
      </c>
    </row>
    <row r="2615" spans="1:11" x14ac:dyDescent="0.35">
      <c r="A2615" s="10" t="s">
        <v>1184</v>
      </c>
      <c r="B2615" s="255">
        <v>12</v>
      </c>
      <c r="C2615" s="10" t="s">
        <v>232</v>
      </c>
      <c r="D2615" s="10">
        <v>1</v>
      </c>
      <c r="E2615" s="10">
        <v>28</v>
      </c>
      <c r="F2615" s="10" t="s">
        <v>38</v>
      </c>
      <c r="G2615" s="10" t="s">
        <v>767</v>
      </c>
      <c r="H2615" s="10" t="str" cm="1">
        <f t="array" aca="1" ref="H2615" ca="1">IF(INDEX(I2615:Z2615,$H$1)=0,"",INDEX(I2615:Z2615,$H$1))</f>
        <v>Nm3/h</v>
      </c>
      <c r="I2615" s="10" t="s">
        <v>2050</v>
      </c>
      <c r="J2615" s="10" t="s">
        <v>2050</v>
      </c>
      <c r="K2615" s="10" t="s">
        <v>2050</v>
      </c>
    </row>
    <row r="2616" spans="1:11" x14ac:dyDescent="0.35">
      <c r="A2616" s="10" t="s">
        <v>1184</v>
      </c>
      <c r="B2616" s="255">
        <v>12</v>
      </c>
      <c r="C2616" s="10" t="s">
        <v>232</v>
      </c>
      <c r="D2616" s="10">
        <v>1</v>
      </c>
      <c r="E2616" s="10">
        <v>29</v>
      </c>
      <c r="F2616" s="10" t="s">
        <v>38</v>
      </c>
      <c r="G2616" s="10" t="s">
        <v>767</v>
      </c>
      <c r="H2616" s="10" t="str" cm="1">
        <f t="array" aca="1" ref="H2616" ca="1">IF(INDEX(I2616:Z2616,$H$1)=0,"",INDEX(I2616:Z2616,$H$1))</f>
        <v>Nm3 CH4/h</v>
      </c>
      <c r="I2616" s="10" t="s">
        <v>869</v>
      </c>
      <c r="J2616" s="10" t="s">
        <v>869</v>
      </c>
      <c r="K2616" s="10" t="s">
        <v>869</v>
      </c>
    </row>
    <row r="2617" spans="1:11" x14ac:dyDescent="0.35">
      <c r="A2617" s="10" t="s">
        <v>1184</v>
      </c>
      <c r="B2617" s="255">
        <v>12</v>
      </c>
      <c r="C2617" s="10" t="s">
        <v>232</v>
      </c>
      <c r="D2617" s="10">
        <v>1</v>
      </c>
      <c r="E2617" s="10">
        <v>30</v>
      </c>
      <c r="F2617" s="10" t="s">
        <v>38</v>
      </c>
      <c r="G2617" s="10" t="s">
        <v>767</v>
      </c>
      <c r="H2617" s="10" t="str" cm="1">
        <f t="array" aca="1" ref="H2617" ca="1">IF(INDEX(I2617:Z2617,$H$1)=0,"",INDEX(I2617:Z2617,$H$1))</f>
        <v>Nm3 CH4/h</v>
      </c>
      <c r="I2617" s="10" t="s">
        <v>869</v>
      </c>
      <c r="J2617" s="10" t="s">
        <v>869</v>
      </c>
      <c r="K2617" s="10" t="s">
        <v>869</v>
      </c>
    </row>
    <row r="2618" spans="1:11" x14ac:dyDescent="0.35">
      <c r="A2618" s="10" t="s">
        <v>1184</v>
      </c>
      <c r="B2618" s="255">
        <v>12</v>
      </c>
      <c r="C2618" s="10" t="s">
        <v>232</v>
      </c>
      <c r="D2618" s="10">
        <v>1</v>
      </c>
      <c r="E2618" s="10">
        <v>31</v>
      </c>
      <c r="F2618" s="10" t="s">
        <v>38</v>
      </c>
      <c r="G2618" s="10" t="s">
        <v>767</v>
      </c>
      <c r="H2618" s="10" t="str" cm="1">
        <f t="array" aca="1" ref="H2618" ca="1">IF(INDEX(I2618:Z2618,$H$1)=0,"",INDEX(I2618:Z2618,$H$1))</f>
        <v>Nm3 CH4/h</v>
      </c>
      <c r="I2618" s="10" t="s">
        <v>869</v>
      </c>
      <c r="J2618" s="10" t="s">
        <v>869</v>
      </c>
      <c r="K2618" s="10" t="s">
        <v>869</v>
      </c>
    </row>
    <row r="2619" spans="1:11" ht="16.5" x14ac:dyDescent="0.35">
      <c r="A2619" s="10" t="s">
        <v>1184</v>
      </c>
      <c r="B2619" s="255">
        <v>12</v>
      </c>
      <c r="C2619" s="10" t="s">
        <v>232</v>
      </c>
      <c r="D2619" s="10">
        <v>1</v>
      </c>
      <c r="E2619" s="10">
        <v>5</v>
      </c>
      <c r="F2619" s="10" t="s">
        <v>693</v>
      </c>
      <c r="G2619" s="10" t="s">
        <v>767</v>
      </c>
      <c r="H2619" s="10" t="str" cm="1">
        <f t="array" aca="1" ref="H2619" ca="1">IF(INDEX(I2619:Z2619,$H$1)=0,"",INDEX(I2619:Z2619,$H$1))</f>
        <v>"bbl" to "m3"</v>
      </c>
      <c r="I2619" s="1" t="s">
        <v>69</v>
      </c>
      <c r="J2619" s="2" t="s">
        <v>1924</v>
      </c>
      <c r="K2619" s="27" t="s">
        <v>1975</v>
      </c>
    </row>
    <row r="2620" spans="1:11" ht="16.5" x14ac:dyDescent="0.35">
      <c r="A2620" s="10" t="s">
        <v>1184</v>
      </c>
      <c r="B2620" s="255">
        <v>12</v>
      </c>
      <c r="C2620" s="10" t="s">
        <v>232</v>
      </c>
      <c r="D2620" s="10">
        <v>1</v>
      </c>
      <c r="E2620" s="10">
        <v>6</v>
      </c>
      <c r="F2620" s="10" t="s">
        <v>693</v>
      </c>
      <c r="G2620" s="10" t="s">
        <v>767</v>
      </c>
      <c r="H2620" s="10" t="str" cm="1">
        <f t="array" aca="1" ref="H2620" ca="1">IF(INDEX(I2620:Z2620,$H$1)=0,"",INDEX(I2620:Z2620,$H$1))</f>
        <v>"lb CH4" to "m3 CH4"</v>
      </c>
      <c r="I2620" s="1" t="s">
        <v>526</v>
      </c>
      <c r="J2620" s="2" t="s">
        <v>1925</v>
      </c>
      <c r="K2620" s="27" t="s">
        <v>1976</v>
      </c>
    </row>
    <row r="2621" spans="1:11" x14ac:dyDescent="0.35">
      <c r="A2621" s="10" t="s">
        <v>1184</v>
      </c>
      <c r="B2621" s="255">
        <v>12</v>
      </c>
      <c r="C2621" s="10" t="s">
        <v>232</v>
      </c>
      <c r="D2621" s="10">
        <v>1</v>
      </c>
      <c r="E2621" s="10">
        <v>7</v>
      </c>
      <c r="F2621" s="10" t="s">
        <v>693</v>
      </c>
      <c r="G2621" s="10" t="s">
        <v>767</v>
      </c>
      <c r="H2621" s="10" t="str" cm="1">
        <f t="array" aca="1" ref="H2621" ca="1">IF(INDEX(I2621:Z2621,$H$1)=0,"",INDEX(I2621:Z2621,$H$1))</f>
        <v>"lb" to "kg"</v>
      </c>
      <c r="I2621" s="1" t="s">
        <v>23</v>
      </c>
      <c r="J2621" s="2" t="s">
        <v>1926</v>
      </c>
      <c r="K2621" s="27" t="s">
        <v>1977</v>
      </c>
    </row>
    <row r="2622" spans="1:11" ht="16.5" x14ac:dyDescent="0.35">
      <c r="A2622" s="10" t="s">
        <v>1184</v>
      </c>
      <c r="B2622" s="255">
        <v>12</v>
      </c>
      <c r="C2622" s="10" t="s">
        <v>232</v>
      </c>
      <c r="D2622" s="10">
        <v>1</v>
      </c>
      <c r="E2622" s="10">
        <v>8</v>
      </c>
      <c r="F2622" s="10" t="s">
        <v>693</v>
      </c>
      <c r="G2622" s="10" t="s">
        <v>767</v>
      </c>
      <c r="H2622" s="10" t="str" cm="1">
        <f t="array" aca="1" ref="H2622" ca="1">IF(INDEX(I2622:Z2622,$H$1)=0,"",INDEX(I2622:Z2622,$H$1))</f>
        <v>"m3 CH4" to "tonnes CH4"</v>
      </c>
      <c r="I2622" s="3" t="s">
        <v>525</v>
      </c>
      <c r="J2622" s="2" t="s">
        <v>2033</v>
      </c>
      <c r="K2622" s="31" t="s">
        <v>1978</v>
      </c>
    </row>
    <row r="2623" spans="1:11" ht="16.5" x14ac:dyDescent="0.35">
      <c r="A2623" s="10" t="s">
        <v>1184</v>
      </c>
      <c r="B2623" s="255">
        <v>12</v>
      </c>
      <c r="C2623" s="10" t="s">
        <v>232</v>
      </c>
      <c r="D2623" s="10">
        <v>1</v>
      </c>
      <c r="E2623" s="10">
        <v>9</v>
      </c>
      <c r="F2623" s="10" t="s">
        <v>693</v>
      </c>
      <c r="G2623" s="10" t="s">
        <v>767</v>
      </c>
      <c r="H2623" s="10" t="str" cm="1">
        <f t="array" aca="1" ref="H2623" ca="1">IF(INDEX(I2623:Z2623,$H$1)=0,"",INDEX(I2623:Z2623,$H$1))</f>
        <v>"m3 CH4/d" to "tonnes CH4/y"</v>
      </c>
      <c r="I2623" s="1" t="s">
        <v>524</v>
      </c>
      <c r="J2623" s="2" t="s">
        <v>2034</v>
      </c>
      <c r="K2623" s="27" t="s">
        <v>1992</v>
      </c>
    </row>
    <row r="2624" spans="1:11" ht="16.5" x14ac:dyDescent="0.35">
      <c r="A2624" s="10" t="s">
        <v>1184</v>
      </c>
      <c r="B2624" s="255">
        <v>12</v>
      </c>
      <c r="C2624" s="10" t="s">
        <v>232</v>
      </c>
      <c r="D2624" s="10">
        <v>1</v>
      </c>
      <c r="E2624" s="10">
        <v>10</v>
      </c>
      <c r="F2624" s="10" t="s">
        <v>693</v>
      </c>
      <c r="G2624" s="10" t="s">
        <v>767</v>
      </c>
      <c r="H2624" s="10" t="str" cm="1">
        <f t="array" aca="1" ref="H2624" ca="1">IF(INDEX(I2624:Z2624,$H$1)=0,"",INDEX(I2624:Z2624,$H$1))</f>
        <v>"m3/hr/device" to "m3/d/device"</v>
      </c>
      <c r="I2624" s="1" t="s">
        <v>523</v>
      </c>
      <c r="J2624" s="2" t="s">
        <v>1927</v>
      </c>
      <c r="K2624" s="27" t="s">
        <v>1979</v>
      </c>
    </row>
    <row r="2625" spans="1:11" x14ac:dyDescent="0.35">
      <c r="A2625" s="10" t="s">
        <v>1184</v>
      </c>
      <c r="B2625" s="255">
        <v>12</v>
      </c>
      <c r="C2625" s="10" t="s">
        <v>232</v>
      </c>
      <c r="D2625" s="10">
        <v>1</v>
      </c>
      <c r="E2625" s="10">
        <v>11</v>
      </c>
      <c r="F2625" s="10" t="s">
        <v>693</v>
      </c>
      <c r="G2625" s="10" t="s">
        <v>767</v>
      </c>
      <c r="H2625" s="10" t="str" cm="1">
        <f t="array" aca="1" ref="H2625" ca="1">IF(INDEX(I2625:Z2625,$H$1)=0,"",INDEX(I2625:Z2625,$H$1))</f>
        <v>"mile" to "km"</v>
      </c>
      <c r="I2625" s="1" t="s">
        <v>107</v>
      </c>
      <c r="J2625" s="2" t="s">
        <v>1928</v>
      </c>
      <c r="K2625" s="27" t="s">
        <v>1980</v>
      </c>
    </row>
    <row r="2626" spans="1:11" ht="16.5" x14ac:dyDescent="0.35">
      <c r="A2626" s="10" t="s">
        <v>1184</v>
      </c>
      <c r="B2626" s="255">
        <v>12</v>
      </c>
      <c r="C2626" s="10" t="s">
        <v>232</v>
      </c>
      <c r="D2626" s="10">
        <v>1</v>
      </c>
      <c r="E2626" s="10">
        <v>12</v>
      </c>
      <c r="F2626" s="10" t="s">
        <v>693</v>
      </c>
      <c r="G2626" s="10" t="s">
        <v>767</v>
      </c>
      <c r="H2626" s="10" t="str" cm="1">
        <f t="array" aca="1" ref="H2626" ca="1">IF(INDEX(I2626:Z2626,$H$1)=0,"",INDEX(I2626:Z2626,$H$1))</f>
        <v>"scf" to "m3"</v>
      </c>
      <c r="I2626" s="1" t="s">
        <v>70</v>
      </c>
      <c r="J2626" s="2" t="s">
        <v>1929</v>
      </c>
      <c r="K2626" s="27" t="s">
        <v>1981</v>
      </c>
    </row>
    <row r="2627" spans="1:11" ht="16.5" x14ac:dyDescent="0.35">
      <c r="A2627" s="10" t="s">
        <v>1184</v>
      </c>
      <c r="B2627" s="255">
        <v>12</v>
      </c>
      <c r="C2627" s="10" t="s">
        <v>232</v>
      </c>
      <c r="D2627" s="10">
        <v>1</v>
      </c>
      <c r="E2627" s="10">
        <v>13</v>
      </c>
      <c r="F2627" s="10" t="s">
        <v>693</v>
      </c>
      <c r="G2627" s="10" t="s">
        <v>767</v>
      </c>
      <c r="H2627" s="10" t="str" cm="1">
        <f t="array" aca="1" ref="H2627" ca="1">IF(INDEX(I2627:Z2627,$H$1)=0,"",INDEX(I2627:Z2627,$H$1))</f>
        <v>"scf/106 scf gas processed" to "m3/106 m3 gas processed"</v>
      </c>
      <c r="I2627" s="1" t="s">
        <v>68</v>
      </c>
      <c r="J2627" s="2" t="s">
        <v>1930</v>
      </c>
      <c r="K2627" s="27" t="s">
        <v>1982</v>
      </c>
    </row>
    <row r="2628" spans="1:11" x14ac:dyDescent="0.35">
      <c r="A2628" s="10" t="s">
        <v>1184</v>
      </c>
      <c r="B2628" s="255">
        <v>12</v>
      </c>
      <c r="C2628" s="10" t="s">
        <v>232</v>
      </c>
      <c r="D2628" s="10">
        <v>1</v>
      </c>
      <c r="E2628" s="10">
        <v>14</v>
      </c>
      <c r="F2628" s="10" t="s">
        <v>693</v>
      </c>
      <c r="G2628" s="10" t="s">
        <v>767</v>
      </c>
      <c r="H2628" s="10" t="str" cm="1">
        <f t="array" aca="1" ref="H2628" ca="1">IF(INDEX(I2628:Z2628,$H$1)=0,"",INDEX(I2628:Z2628,$H$1))</f>
        <v>"scf/activity" to "m3/activity"</v>
      </c>
      <c r="I2628" s="1" t="s">
        <v>110</v>
      </c>
      <c r="J2628" s="2" t="s">
        <v>1931</v>
      </c>
      <c r="K2628" s="27" t="s">
        <v>1983</v>
      </c>
    </row>
    <row r="2629" spans="1:11" ht="16.5" x14ac:dyDescent="0.35">
      <c r="A2629" s="10" t="s">
        <v>1184</v>
      </c>
      <c r="B2629" s="255">
        <v>12</v>
      </c>
      <c r="C2629" s="10" t="s">
        <v>232</v>
      </c>
      <c r="D2629" s="10">
        <v>1</v>
      </c>
      <c r="E2629" s="10">
        <v>15</v>
      </c>
      <c r="F2629" s="10" t="s">
        <v>693</v>
      </c>
      <c r="G2629" s="10" t="s">
        <v>767</v>
      </c>
      <c r="H2629" s="10" t="str" cm="1">
        <f t="array" aca="1" ref="H2629" ca="1">IF(INDEX(I2629:Z2629,$H$1)=0,"",INDEX(I2629:Z2629,$H$1))</f>
        <v>"scf/activity-day" to "m3/activity-day"</v>
      </c>
      <c r="I2629" s="1" t="s">
        <v>522</v>
      </c>
      <c r="J2629" s="2" t="s">
        <v>1932</v>
      </c>
      <c r="K2629" s="27" t="s">
        <v>1984</v>
      </c>
    </row>
    <row r="2630" spans="1:11" ht="16.5" x14ac:dyDescent="0.35">
      <c r="A2630" s="10" t="s">
        <v>1184</v>
      </c>
      <c r="B2630" s="255">
        <v>12</v>
      </c>
      <c r="C2630" s="10" t="s">
        <v>232</v>
      </c>
      <c r="D2630" s="10">
        <v>1</v>
      </c>
      <c r="E2630" s="10">
        <v>16</v>
      </c>
      <c r="F2630" s="10" t="s">
        <v>693</v>
      </c>
      <c r="G2630" s="10" t="s">
        <v>767</v>
      </c>
      <c r="H2630" s="10" t="str" cm="1">
        <f t="array" aca="1" ref="H2630" ca="1">IF(INDEX(I2630:Z2630,$H$1)=0,"",INDEX(I2630:Z2630,$H$1))</f>
        <v>"scf/d/device" to "m3/d/device"</v>
      </c>
      <c r="I2630" s="1" t="s">
        <v>86</v>
      </c>
      <c r="J2630" s="2" t="s">
        <v>1933</v>
      </c>
      <c r="K2630" s="27" t="s">
        <v>1985</v>
      </c>
    </row>
    <row r="2631" spans="1:11" ht="16.5" x14ac:dyDescent="0.35">
      <c r="A2631" s="10" t="s">
        <v>1184</v>
      </c>
      <c r="B2631" s="255">
        <v>12</v>
      </c>
      <c r="C2631" s="10" t="s">
        <v>232</v>
      </c>
      <c r="D2631" s="10">
        <v>1</v>
      </c>
      <c r="E2631" s="10">
        <v>17</v>
      </c>
      <c r="F2631" s="10" t="s">
        <v>693</v>
      </c>
      <c r="G2631" s="10" t="s">
        <v>767</v>
      </c>
      <c r="H2631" s="10" t="str" cm="1">
        <f t="array" aca="1" ref="H2631" ca="1">IF(INDEX(I2631:Z2631,$H$1)=0,"",INDEX(I2631:Z2631,$H$1))</f>
        <v>"scf/y/pipeline-mile" to "m3/y/pipeline-km"</v>
      </c>
      <c r="I2631" s="1" t="s">
        <v>129</v>
      </c>
      <c r="J2631" s="2" t="s">
        <v>1934</v>
      </c>
      <c r="K2631" s="27" t="s">
        <v>1994</v>
      </c>
    </row>
    <row r="2632" spans="1:11" ht="16.5" x14ac:dyDescent="0.35">
      <c r="A2632" s="10" t="s">
        <v>1184</v>
      </c>
      <c r="B2632" s="255">
        <v>12</v>
      </c>
      <c r="C2632" s="10" t="s">
        <v>232</v>
      </c>
      <c r="D2632" s="10">
        <v>1</v>
      </c>
      <c r="E2632" s="10">
        <v>18</v>
      </c>
      <c r="F2632" s="10" t="s">
        <v>693</v>
      </c>
      <c r="G2632" s="10" t="s">
        <v>767</v>
      </c>
      <c r="H2632" s="10" t="str" cm="1">
        <f t="array" aca="1" ref="H2632" ca="1">IF(INDEX(I2632:Z2632,$H$1)=0,"",INDEX(I2632:Z2632,$H$1))</f>
        <v>"scf/y/source" to "m3/y/source"</v>
      </c>
      <c r="I2632" s="1" t="s">
        <v>108</v>
      </c>
      <c r="J2632" s="2" t="s">
        <v>1935</v>
      </c>
      <c r="K2632" s="27" t="s">
        <v>1995</v>
      </c>
    </row>
    <row r="2633" spans="1:11" x14ac:dyDescent="0.35">
      <c r="A2633" s="10" t="s">
        <v>1184</v>
      </c>
      <c r="B2633" s="255">
        <v>12</v>
      </c>
      <c r="C2633" s="10" t="s">
        <v>232</v>
      </c>
      <c r="D2633" s="10">
        <v>1</v>
      </c>
      <c r="E2633" s="10">
        <v>19</v>
      </c>
      <c r="F2633" s="10" t="s">
        <v>693</v>
      </c>
      <c r="G2633" s="10" t="s">
        <v>767</v>
      </c>
      <c r="H2633" s="10" t="str" cm="1">
        <f t="array" aca="1" ref="H2633" ca="1">IF(INDEX(I2633:Z2633,$H$1)=0,"",INDEX(I2633:Z2633,$H$1))</f>
        <v>"ton" to "tonne"</v>
      </c>
      <c r="I2633" s="1" t="s">
        <v>26</v>
      </c>
      <c r="J2633" s="2" t="s">
        <v>1936</v>
      </c>
      <c r="K2633" s="27" t="s">
        <v>1986</v>
      </c>
    </row>
    <row r="2634" spans="1:11" ht="16.5" x14ac:dyDescent="0.35">
      <c r="A2634" s="10" t="s">
        <v>1184</v>
      </c>
      <c r="B2634" s="255">
        <v>12</v>
      </c>
      <c r="C2634" s="10" t="s">
        <v>232</v>
      </c>
      <c r="D2634" s="10">
        <v>1</v>
      </c>
      <c r="E2634" s="10">
        <v>20</v>
      </c>
      <c r="F2634" s="10" t="s">
        <v>693</v>
      </c>
      <c r="G2634" s="10" t="s">
        <v>767</v>
      </c>
      <c r="H2634" s="10" t="str" cm="1">
        <f t="array" aca="1" ref="H2634" ca="1">IF(INDEX(I2634:Z2634,$H$1)=0,"",INDEX(I2634:Z2634,$H$1))</f>
        <v>"tonnes CH4/1000 bbl of Liquid" to "m3 CH4/m3 of Liquid"</v>
      </c>
      <c r="I2634" s="1" t="s">
        <v>521</v>
      </c>
      <c r="J2634" s="2" t="s">
        <v>1937</v>
      </c>
      <c r="K2634" s="27" t="s">
        <v>1987</v>
      </c>
    </row>
    <row r="2635" spans="1:11" ht="16.5" x14ac:dyDescent="0.35">
      <c r="A2635" s="10" t="s">
        <v>1184</v>
      </c>
      <c r="B2635" s="255">
        <v>12</v>
      </c>
      <c r="C2635" s="10" t="s">
        <v>232</v>
      </c>
      <c r="D2635" s="10">
        <v>1</v>
      </c>
      <c r="E2635" s="10">
        <v>21</v>
      </c>
      <c r="F2635" s="10" t="s">
        <v>693</v>
      </c>
      <c r="G2635" s="10" t="s">
        <v>767</v>
      </c>
      <c r="H2635" s="10" t="str" cm="1">
        <f t="array" aca="1" ref="H2635" ca="1">IF(INDEX(I2635:Z2635,$H$1)=0,"",INDEX(I2635:Z2635,$H$1))</f>
        <v>"tonnes CH4/bbl of Liquid" to "m3 CH4/m3 of Liquid"</v>
      </c>
      <c r="I2635" s="1" t="s">
        <v>518</v>
      </c>
      <c r="J2635" s="2" t="s">
        <v>1938</v>
      </c>
      <c r="K2635" s="27" t="s">
        <v>1988</v>
      </c>
    </row>
    <row r="2636" spans="1:11" ht="16.5" x14ac:dyDescent="0.35">
      <c r="A2636" s="10" t="s">
        <v>1184</v>
      </c>
      <c r="B2636" s="255">
        <v>12</v>
      </c>
      <c r="C2636" s="10" t="s">
        <v>232</v>
      </c>
      <c r="D2636" s="10">
        <v>1</v>
      </c>
      <c r="E2636" s="10">
        <v>22</v>
      </c>
      <c r="F2636" s="10" t="s">
        <v>693</v>
      </c>
      <c r="G2636" s="10" t="s">
        <v>767</v>
      </c>
      <c r="H2636" s="10" t="str" cm="1">
        <f t="array" aca="1" ref="H2636" ca="1">IF(INDEX(I2636:Z2636,$H$1)=0,"",INDEX(I2636:Z2636,$H$1))</f>
        <v>"tonnes CH4/d/source" to "m3 CH4/d/source"</v>
      </c>
      <c r="I2636" s="1" t="s">
        <v>519</v>
      </c>
      <c r="J2636" s="2" t="s">
        <v>1939</v>
      </c>
      <c r="K2636" s="27" t="s">
        <v>1989</v>
      </c>
    </row>
    <row r="2637" spans="1:11" ht="16.5" x14ac:dyDescent="0.35">
      <c r="A2637" s="10" t="s">
        <v>1184</v>
      </c>
      <c r="B2637" s="255">
        <v>12</v>
      </c>
      <c r="C2637" s="10" t="s">
        <v>232</v>
      </c>
      <c r="D2637" s="10">
        <v>1</v>
      </c>
      <c r="E2637" s="10">
        <v>23</v>
      </c>
      <c r="F2637" s="10" t="s">
        <v>693</v>
      </c>
      <c r="G2637" s="10" t="s">
        <v>767</v>
      </c>
      <c r="H2637" s="10" t="str" cm="1">
        <f t="array" aca="1" ref="H2637" ca="1">IF(INDEX(I2637:Z2637,$H$1)=0,"",INDEX(I2637:Z2637,$H$1))</f>
        <v>"tonnes CH4/m3 of Liquid" to "m3 CH4/m3 of Liquid"</v>
      </c>
      <c r="I2637" s="1" t="s">
        <v>520</v>
      </c>
      <c r="J2637" s="2" t="s">
        <v>1940</v>
      </c>
      <c r="K2637" s="27" t="s">
        <v>1990</v>
      </c>
    </row>
    <row r="2638" spans="1:11" x14ac:dyDescent="0.35">
      <c r="A2638" s="10" t="s">
        <v>1184</v>
      </c>
      <c r="B2638" s="255">
        <v>12</v>
      </c>
      <c r="C2638" s="10" t="s">
        <v>232</v>
      </c>
      <c r="D2638" s="10">
        <v>1</v>
      </c>
      <c r="E2638" s="10">
        <v>24</v>
      </c>
      <c r="F2638" s="10" t="s">
        <v>693</v>
      </c>
      <c r="G2638" s="10" t="s">
        <v>767</v>
      </c>
      <c r="H2638" s="10" t="str" cm="1">
        <f t="array" aca="1" ref="H2638" ca="1">IF(INDEX(I2638:Z2638,$H$1)=0,"",INDEX(I2638:Z2638,$H$1))</f>
        <v>None</v>
      </c>
      <c r="I2638" s="1" t="s">
        <v>14</v>
      </c>
      <c r="J2638" s="2" t="s">
        <v>1941</v>
      </c>
      <c r="K2638" s="27" t="s">
        <v>1991</v>
      </c>
    </row>
    <row r="2639" spans="1:11" x14ac:dyDescent="0.35">
      <c r="A2639" s="10" t="s">
        <v>1184</v>
      </c>
      <c r="B2639" s="255">
        <v>12</v>
      </c>
      <c r="C2639" s="10" t="s">
        <v>250</v>
      </c>
      <c r="D2639" s="10">
        <v>2</v>
      </c>
      <c r="E2639" s="10">
        <v>28</v>
      </c>
      <c r="F2639" s="10" t="s">
        <v>690</v>
      </c>
      <c r="G2639" s="10" t="s">
        <v>688</v>
      </c>
      <c r="H2639" s="10" t="str" cm="1">
        <f t="array" aca="1" ref="H2639" ca="1">IF(INDEX(I2639:Z2639,$H$1)=0,"",INDEX(I2639:Z2639,$H$1))</f>
        <v>Leak Control Factor Look-up Table</v>
      </c>
      <c r="I2639" s="10" t="s">
        <v>250</v>
      </c>
      <c r="J2639" s="10" t="s">
        <v>1301</v>
      </c>
      <c r="K2639" s="27" t="s">
        <v>1801</v>
      </c>
    </row>
    <row r="2640" spans="1:11" x14ac:dyDescent="0.35">
      <c r="A2640" s="10" t="s">
        <v>1184</v>
      </c>
      <c r="B2640" s="255">
        <v>12</v>
      </c>
      <c r="C2640" s="10" t="s">
        <v>250</v>
      </c>
      <c r="D2640" s="10">
        <v>2</v>
      </c>
      <c r="E2640" s="10">
        <v>30</v>
      </c>
      <c r="F2640" s="10" t="s">
        <v>690</v>
      </c>
      <c r="G2640" s="10" t="s">
        <v>696</v>
      </c>
      <c r="H2640" s="10" t="str" cm="1">
        <f t="array" aca="1" ref="H2640" ca="1">IF(INDEX(I2640:Z2640,$H$1)=0,"",INDEX(I2640:Z2640,$H$1))</f>
        <v>Equipment Type</v>
      </c>
      <c r="I2640" s="2" t="s">
        <v>132</v>
      </c>
      <c r="J2640" s="2" t="s">
        <v>1309</v>
      </c>
      <c r="K2640" s="27" t="s">
        <v>1802</v>
      </c>
    </row>
    <row r="2641" spans="1:11" x14ac:dyDescent="0.35">
      <c r="A2641" s="10" t="s">
        <v>1184</v>
      </c>
      <c r="B2641" s="255">
        <v>12</v>
      </c>
      <c r="C2641" s="10" t="s">
        <v>250</v>
      </c>
      <c r="D2641" s="10">
        <v>2</v>
      </c>
      <c r="E2641" s="10">
        <v>30</v>
      </c>
      <c r="F2641" s="10" t="s">
        <v>38</v>
      </c>
      <c r="G2641" s="10" t="s">
        <v>696</v>
      </c>
      <c r="H2641" s="10" t="str" cm="1">
        <f t="array" aca="1" ref="H2641" ca="1">IF(INDEX(I2641:Z2641,$H$1)=0,"",INDEX(I2641:Z2641,$H$1))</f>
        <v>Modification</v>
      </c>
      <c r="I2641" s="2" t="s">
        <v>168</v>
      </c>
      <c r="J2641" s="2" t="s">
        <v>1310</v>
      </c>
      <c r="K2641" s="27" t="s">
        <v>1653</v>
      </c>
    </row>
    <row r="2642" spans="1:11" x14ac:dyDescent="0.35">
      <c r="A2642" s="10" t="s">
        <v>1184</v>
      </c>
      <c r="B2642" s="255">
        <v>12</v>
      </c>
      <c r="C2642" s="10" t="s">
        <v>250</v>
      </c>
      <c r="D2642" s="10">
        <v>2</v>
      </c>
      <c r="E2642" s="10">
        <v>30</v>
      </c>
      <c r="F2642" s="10" t="s">
        <v>692</v>
      </c>
      <c r="G2642" s="10" t="s">
        <v>696</v>
      </c>
      <c r="H2642" s="10" t="str" cm="1">
        <f t="array" aca="1" ref="H2642" ca="1">IF(INDEX(I2642:Z2642,$H$1)=0,"",INDEX(I2642:Z2642,$H$1))</f>
        <v>Control Efficiency</v>
      </c>
      <c r="I2642" s="2" t="s">
        <v>173</v>
      </c>
      <c r="J2642" s="2" t="s">
        <v>1311</v>
      </c>
      <c r="K2642" s="27" t="s">
        <v>1803</v>
      </c>
    </row>
    <row r="2643" spans="1:11" x14ac:dyDescent="0.35">
      <c r="A2643" s="10" t="s">
        <v>1184</v>
      </c>
      <c r="B2643" s="255">
        <v>12</v>
      </c>
      <c r="C2643" s="10" t="s">
        <v>250</v>
      </c>
      <c r="D2643" s="10">
        <v>2</v>
      </c>
      <c r="E2643" s="10">
        <v>32</v>
      </c>
      <c r="F2643" s="10" t="s">
        <v>690</v>
      </c>
      <c r="G2643" s="10" t="s">
        <v>767</v>
      </c>
      <c r="H2643" s="10" t="str" cm="1">
        <f t="array" aca="1" ref="H2643" ca="1">IF(INDEX(I2643:Z2643,$H$1)=0,"",INDEX(I2643:Z2643,$H$1))</f>
        <v>Compressor Crankcase Vent</v>
      </c>
      <c r="I2643" s="2" t="s">
        <v>164</v>
      </c>
      <c r="J2643" s="2" t="s">
        <v>1360</v>
      </c>
      <c r="K2643" s="27" t="s">
        <v>1804</v>
      </c>
    </row>
    <row r="2644" spans="1:11" x14ac:dyDescent="0.35">
      <c r="A2644" s="10" t="s">
        <v>1184</v>
      </c>
      <c r="B2644" s="255">
        <v>12</v>
      </c>
      <c r="C2644" s="10" t="s">
        <v>250</v>
      </c>
      <c r="D2644" s="10">
        <v>2</v>
      </c>
      <c r="E2644" s="10">
        <v>33</v>
      </c>
      <c r="F2644" s="10" t="s">
        <v>690</v>
      </c>
      <c r="G2644" s="10" t="s">
        <v>767</v>
      </c>
      <c r="H2644" s="10" t="str" cm="1">
        <f t="array" aca="1" ref="H2644" ca="1">IF(INDEX(I2644:Z2644,$H$1)=0,"",INDEX(I2644:Z2644,$H$1))</f>
        <v>Compressor Crankcase Vent</v>
      </c>
      <c r="I2644" s="2" t="s">
        <v>164</v>
      </c>
      <c r="J2644" s="2" t="s">
        <v>1360</v>
      </c>
      <c r="K2644" s="27" t="s">
        <v>1804</v>
      </c>
    </row>
    <row r="2645" spans="1:11" x14ac:dyDescent="0.35">
      <c r="A2645" s="10" t="s">
        <v>1184</v>
      </c>
      <c r="B2645" s="255">
        <v>12</v>
      </c>
      <c r="C2645" s="10" t="s">
        <v>250</v>
      </c>
      <c r="D2645" s="10">
        <v>2</v>
      </c>
      <c r="E2645" s="10">
        <v>34</v>
      </c>
      <c r="F2645" s="10" t="s">
        <v>690</v>
      </c>
      <c r="G2645" s="10" t="s">
        <v>767</v>
      </c>
      <c r="H2645" s="10" t="str" cm="1">
        <f t="array" aca="1" ref="H2645" ca="1">IF(INDEX(I2645:Z2645,$H$1)=0,"",INDEX(I2645:Z2645,$H$1))</f>
        <v>Compressor Seals</v>
      </c>
      <c r="I2645" s="2" t="s">
        <v>158</v>
      </c>
      <c r="J2645" s="2" t="s">
        <v>1361</v>
      </c>
      <c r="K2645" s="27" t="s">
        <v>1805</v>
      </c>
    </row>
    <row r="2646" spans="1:11" x14ac:dyDescent="0.35">
      <c r="A2646" s="10" t="s">
        <v>1184</v>
      </c>
      <c r="B2646" s="255">
        <v>12</v>
      </c>
      <c r="C2646" s="10" t="s">
        <v>250</v>
      </c>
      <c r="D2646" s="10">
        <v>2</v>
      </c>
      <c r="E2646" s="10">
        <v>35</v>
      </c>
      <c r="F2646" s="10" t="s">
        <v>690</v>
      </c>
      <c r="G2646" s="10" t="s">
        <v>767</v>
      </c>
      <c r="H2646" s="10" t="str" cm="1">
        <f t="array" aca="1" ref="H2646" ca="1">IF(INDEX(I2646:Z2646,$H$1)=0,"",INDEX(I2646:Z2646,$H$1))</f>
        <v>Compressor Seals</v>
      </c>
      <c r="I2646" s="2" t="s">
        <v>158</v>
      </c>
      <c r="J2646" s="2" t="s">
        <v>1361</v>
      </c>
      <c r="K2646" s="27" t="s">
        <v>1805</v>
      </c>
    </row>
    <row r="2647" spans="1:11" x14ac:dyDescent="0.35">
      <c r="A2647" s="10" t="s">
        <v>1184</v>
      </c>
      <c r="B2647" s="255">
        <v>12</v>
      </c>
      <c r="C2647" s="10" t="s">
        <v>250</v>
      </c>
      <c r="D2647" s="10">
        <v>2</v>
      </c>
      <c r="E2647" s="10">
        <v>36</v>
      </c>
      <c r="F2647" s="10" t="s">
        <v>690</v>
      </c>
      <c r="G2647" s="10" t="s">
        <v>767</v>
      </c>
      <c r="H2647" s="10" t="str" cm="1">
        <f t="array" aca="1" ref="H2647" ca="1">IF(INDEX(I2647:Z2647,$H$1)=0,"",INDEX(I2647:Z2647,$H$1))</f>
        <v>Compressor Seals</v>
      </c>
      <c r="I2647" s="2" t="s">
        <v>158</v>
      </c>
      <c r="J2647" s="2" t="s">
        <v>1361</v>
      </c>
      <c r="K2647" s="27" t="s">
        <v>1805</v>
      </c>
    </row>
    <row r="2648" spans="1:11" x14ac:dyDescent="0.35">
      <c r="A2648" s="10" t="s">
        <v>1184</v>
      </c>
      <c r="B2648" s="255">
        <v>12</v>
      </c>
      <c r="C2648" s="10" t="s">
        <v>250</v>
      </c>
      <c r="D2648" s="10">
        <v>2</v>
      </c>
      <c r="E2648" s="10">
        <v>37</v>
      </c>
      <c r="F2648" s="10" t="s">
        <v>690</v>
      </c>
      <c r="G2648" s="10" t="s">
        <v>767</v>
      </c>
      <c r="H2648" s="10" t="str" cm="1">
        <f t="array" aca="1" ref="H2648" ca="1">IF(INDEX(I2648:Z2648,$H$1)=0,"",INDEX(I2648:Z2648,$H$1))</f>
        <v>Connectors</v>
      </c>
      <c r="I2648" s="2" t="s">
        <v>160</v>
      </c>
      <c r="J2648" s="2" t="s">
        <v>858</v>
      </c>
      <c r="K2648" s="27" t="s">
        <v>1554</v>
      </c>
    </row>
    <row r="2649" spans="1:11" x14ac:dyDescent="0.35">
      <c r="A2649" s="10" t="s">
        <v>1184</v>
      </c>
      <c r="B2649" s="255">
        <v>12</v>
      </c>
      <c r="C2649" s="10" t="s">
        <v>250</v>
      </c>
      <c r="D2649" s="10">
        <v>2</v>
      </c>
      <c r="E2649" s="10">
        <v>38</v>
      </c>
      <c r="F2649" s="10" t="s">
        <v>690</v>
      </c>
      <c r="G2649" s="10" t="s">
        <v>767</v>
      </c>
      <c r="H2649" s="10" t="str" cm="1">
        <f t="array" aca="1" ref="H2649" ca="1">IF(INDEX(I2649:Z2649,$H$1)=0,"",INDEX(I2649:Z2649,$H$1))</f>
        <v>Connectors</v>
      </c>
      <c r="I2649" s="2" t="s">
        <v>160</v>
      </c>
      <c r="J2649" s="2" t="s">
        <v>858</v>
      </c>
      <c r="K2649" s="27" t="s">
        <v>1554</v>
      </c>
    </row>
    <row r="2650" spans="1:11" x14ac:dyDescent="0.35">
      <c r="A2650" s="10" t="s">
        <v>1184</v>
      </c>
      <c r="B2650" s="255">
        <v>12</v>
      </c>
      <c r="C2650" s="10" t="s">
        <v>250</v>
      </c>
      <c r="D2650" s="10">
        <v>2</v>
      </c>
      <c r="E2650" s="10">
        <v>39</v>
      </c>
      <c r="F2650" s="10" t="s">
        <v>690</v>
      </c>
      <c r="G2650" s="10" t="s">
        <v>767</v>
      </c>
      <c r="H2650" s="10" t="str" cm="1">
        <f t="array" aca="1" ref="H2650" ca="1">IF(INDEX(I2650:Z2650,$H$1)=0,"",INDEX(I2650:Z2650,$H$1))</f>
        <v>Drains</v>
      </c>
      <c r="I2650" s="2" t="s">
        <v>163</v>
      </c>
      <c r="J2650" s="17" t="s">
        <v>1226</v>
      </c>
      <c r="K2650" s="27" t="s">
        <v>1558</v>
      </c>
    </row>
    <row r="2651" spans="1:11" x14ac:dyDescent="0.35">
      <c r="A2651" s="10" t="s">
        <v>1184</v>
      </c>
      <c r="B2651" s="255">
        <v>12</v>
      </c>
      <c r="C2651" s="10" t="s">
        <v>250</v>
      </c>
      <c r="D2651" s="10">
        <v>2</v>
      </c>
      <c r="E2651" s="10">
        <v>40</v>
      </c>
      <c r="F2651" s="10" t="s">
        <v>690</v>
      </c>
      <c r="G2651" s="10" t="s">
        <v>767</v>
      </c>
      <c r="H2651" s="10" t="str" cm="1">
        <f t="array" aca="1" ref="H2651" ca="1">IF(INDEX(I2651:Z2651,$H$1)=0,"",INDEX(I2651:Z2651,$H$1))</f>
        <v>Drains</v>
      </c>
      <c r="I2651" s="2" t="s">
        <v>163</v>
      </c>
      <c r="J2651" s="17" t="s">
        <v>1226</v>
      </c>
      <c r="K2651" s="27" t="s">
        <v>1558</v>
      </c>
    </row>
    <row r="2652" spans="1:11" x14ac:dyDescent="0.35">
      <c r="A2652" s="10" t="s">
        <v>1184</v>
      </c>
      <c r="B2652" s="255">
        <v>12</v>
      </c>
      <c r="C2652" s="10" t="s">
        <v>250</v>
      </c>
      <c r="D2652" s="10">
        <v>2</v>
      </c>
      <c r="E2652" s="10">
        <v>41</v>
      </c>
      <c r="F2652" s="10" t="s">
        <v>690</v>
      </c>
      <c r="G2652" s="10" t="s">
        <v>767</v>
      </c>
      <c r="H2652" s="10" t="str" cm="1">
        <f t="array" aca="1" ref="H2652" ca="1">IF(INDEX(I2652:Z2652,$H$1)=0,"",INDEX(I2652:Z2652,$H$1))</f>
        <v>Open-Ended Lines</v>
      </c>
      <c r="I2652" s="2" t="s">
        <v>181</v>
      </c>
      <c r="J2652" s="17" t="s">
        <v>859</v>
      </c>
      <c r="K2652" s="27" t="s">
        <v>1555</v>
      </c>
    </row>
    <row r="2653" spans="1:11" x14ac:dyDescent="0.35">
      <c r="A2653" s="10" t="s">
        <v>1184</v>
      </c>
      <c r="B2653" s="255">
        <v>12</v>
      </c>
      <c r="C2653" s="10" t="s">
        <v>250</v>
      </c>
      <c r="D2653" s="10">
        <v>2</v>
      </c>
      <c r="E2653" s="10">
        <v>42</v>
      </c>
      <c r="F2653" s="10" t="s">
        <v>690</v>
      </c>
      <c r="G2653" s="10" t="s">
        <v>767</v>
      </c>
      <c r="H2653" s="10" t="str" cm="1">
        <f t="array" aca="1" ref="H2653" ca="1">IF(INDEX(I2653:Z2653,$H$1)=0,"",INDEX(I2653:Z2653,$H$1))</f>
        <v>Open-Ended Lines</v>
      </c>
      <c r="I2653" s="2" t="s">
        <v>181</v>
      </c>
      <c r="J2653" s="17" t="s">
        <v>859</v>
      </c>
      <c r="K2653" s="27" t="s">
        <v>1555</v>
      </c>
    </row>
    <row r="2654" spans="1:11" x14ac:dyDescent="0.35">
      <c r="A2654" s="10" t="s">
        <v>1184</v>
      </c>
      <c r="B2654" s="255">
        <v>12</v>
      </c>
      <c r="C2654" s="10" t="s">
        <v>250</v>
      </c>
      <c r="D2654" s="10">
        <v>2</v>
      </c>
      <c r="E2654" s="10">
        <v>43</v>
      </c>
      <c r="F2654" s="10" t="s">
        <v>690</v>
      </c>
      <c r="G2654" s="10" t="s">
        <v>767</v>
      </c>
      <c r="H2654" s="10" t="str" cm="1">
        <f t="array" aca="1" ref="H2654" ca="1">IF(INDEX(I2654:Z2654,$H$1)=0,"",INDEX(I2654:Z2654,$H$1))</f>
        <v>Others</v>
      </c>
      <c r="I2654" s="2" t="s">
        <v>166</v>
      </c>
      <c r="J2654" s="2" t="s">
        <v>863</v>
      </c>
      <c r="K2654" s="27" t="s">
        <v>1562</v>
      </c>
    </row>
    <row r="2655" spans="1:11" x14ac:dyDescent="0.35">
      <c r="A2655" s="10" t="s">
        <v>1184</v>
      </c>
      <c r="B2655" s="255">
        <v>12</v>
      </c>
      <c r="C2655" s="10" t="s">
        <v>250</v>
      </c>
      <c r="D2655" s="10">
        <v>2</v>
      </c>
      <c r="E2655" s="10">
        <v>44</v>
      </c>
      <c r="F2655" s="10" t="s">
        <v>690</v>
      </c>
      <c r="G2655" s="10" t="s">
        <v>767</v>
      </c>
      <c r="H2655" s="10" t="str" cm="1">
        <f t="array" aca="1" ref="H2655" ca="1">IF(INDEX(I2655:Z2655,$H$1)=0,"",INDEX(I2655:Z2655,$H$1))</f>
        <v>Pressure Relief Devices</v>
      </c>
      <c r="I2655" s="2" t="s">
        <v>177</v>
      </c>
      <c r="J2655" s="2" t="s">
        <v>1362</v>
      </c>
      <c r="K2655" s="27" t="s">
        <v>1806</v>
      </c>
    </row>
    <row r="2656" spans="1:11" x14ac:dyDescent="0.35">
      <c r="A2656" s="10" t="s">
        <v>1184</v>
      </c>
      <c r="B2656" s="255">
        <v>12</v>
      </c>
      <c r="C2656" s="10" t="s">
        <v>250</v>
      </c>
      <c r="D2656" s="10">
        <v>2</v>
      </c>
      <c r="E2656" s="10">
        <v>45</v>
      </c>
      <c r="F2656" s="10" t="s">
        <v>690</v>
      </c>
      <c r="G2656" s="10" t="s">
        <v>767</v>
      </c>
      <c r="H2656" s="10" t="str" cm="1">
        <f t="array" aca="1" ref="H2656" ca="1">IF(INDEX(I2656:Z2656,$H$1)=0,"",INDEX(I2656:Z2656,$H$1))</f>
        <v>Pressure Relief Devices</v>
      </c>
      <c r="I2656" s="2" t="s">
        <v>177</v>
      </c>
      <c r="J2656" s="2" t="s">
        <v>1362</v>
      </c>
      <c r="K2656" s="27" t="s">
        <v>1806</v>
      </c>
    </row>
    <row r="2657" spans="1:11" x14ac:dyDescent="0.35">
      <c r="A2657" s="10" t="s">
        <v>1184</v>
      </c>
      <c r="B2657" s="255">
        <v>12</v>
      </c>
      <c r="C2657" s="10" t="s">
        <v>250</v>
      </c>
      <c r="D2657" s="10">
        <v>2</v>
      </c>
      <c r="E2657" s="10">
        <v>46</v>
      </c>
      <c r="F2657" s="10" t="s">
        <v>690</v>
      </c>
      <c r="G2657" s="10" t="s">
        <v>767</v>
      </c>
      <c r="H2657" s="10" t="str" cm="1">
        <f t="array" aca="1" ref="H2657" ca="1">IF(INDEX(I2657:Z2657,$H$1)=0,"",INDEX(I2657:Z2657,$H$1))</f>
        <v>Pressure Relief Devices</v>
      </c>
      <c r="I2657" s="2" t="s">
        <v>177</v>
      </c>
      <c r="J2657" s="2" t="s">
        <v>1362</v>
      </c>
      <c r="K2657" s="27" t="s">
        <v>1806</v>
      </c>
    </row>
    <row r="2658" spans="1:11" x14ac:dyDescent="0.35">
      <c r="A2658" s="10" t="s">
        <v>1184</v>
      </c>
      <c r="B2658" s="255">
        <v>12</v>
      </c>
      <c r="C2658" s="10" t="s">
        <v>250</v>
      </c>
      <c r="D2658" s="10">
        <v>2</v>
      </c>
      <c r="E2658" s="10">
        <v>47</v>
      </c>
      <c r="F2658" s="10" t="s">
        <v>690</v>
      </c>
      <c r="G2658" s="10" t="s">
        <v>767</v>
      </c>
      <c r="H2658" s="10" t="str" cm="1">
        <f t="array" aca="1" ref="H2658" ca="1">IF(INDEX(I2658:Z2658,$H$1)=0,"",INDEX(I2658:Z2658,$H$1))</f>
        <v>Pumps</v>
      </c>
      <c r="I2658" s="2" t="s">
        <v>174</v>
      </c>
      <c r="J2658" s="2" t="s">
        <v>1363</v>
      </c>
      <c r="K2658" s="27" t="s">
        <v>1807</v>
      </c>
    </row>
    <row r="2659" spans="1:11" x14ac:dyDescent="0.35">
      <c r="A2659" s="10" t="s">
        <v>1184</v>
      </c>
      <c r="B2659" s="255">
        <v>12</v>
      </c>
      <c r="C2659" s="10" t="s">
        <v>250</v>
      </c>
      <c r="D2659" s="10">
        <v>2</v>
      </c>
      <c r="E2659" s="10">
        <v>48</v>
      </c>
      <c r="F2659" s="10" t="s">
        <v>690</v>
      </c>
      <c r="G2659" s="10" t="s">
        <v>767</v>
      </c>
      <c r="H2659" s="10" t="str" cm="1">
        <f t="array" aca="1" ref="H2659" ca="1">IF(INDEX(I2659:Z2659,$H$1)=0,"",INDEX(I2659:Z2659,$H$1))</f>
        <v>Pumps</v>
      </c>
      <c r="I2659" s="2" t="s">
        <v>174</v>
      </c>
      <c r="J2659" s="2" t="s">
        <v>1363</v>
      </c>
      <c r="K2659" s="27" t="s">
        <v>1807</v>
      </c>
    </row>
    <row r="2660" spans="1:11" x14ac:dyDescent="0.35">
      <c r="A2660" s="10" t="s">
        <v>1184</v>
      </c>
      <c r="B2660" s="255">
        <v>12</v>
      </c>
      <c r="C2660" s="10" t="s">
        <v>250</v>
      </c>
      <c r="D2660" s="10">
        <v>2</v>
      </c>
      <c r="E2660" s="10">
        <v>49</v>
      </c>
      <c r="F2660" s="10" t="s">
        <v>690</v>
      </c>
      <c r="G2660" s="10" t="s">
        <v>767</v>
      </c>
      <c r="H2660" s="10" t="str" cm="1">
        <f t="array" aca="1" ref="H2660" ca="1">IF(INDEX(I2660:Z2660,$H$1)=0,"",INDEX(I2660:Z2660,$H$1))</f>
        <v>Pumps</v>
      </c>
      <c r="I2660" s="2" t="s">
        <v>174</v>
      </c>
      <c r="J2660" s="2" t="s">
        <v>1363</v>
      </c>
      <c r="K2660" s="27" t="s">
        <v>1807</v>
      </c>
    </row>
    <row r="2661" spans="1:11" x14ac:dyDescent="0.35">
      <c r="A2661" s="10" t="s">
        <v>1184</v>
      </c>
      <c r="B2661" s="255">
        <v>12</v>
      </c>
      <c r="C2661" s="10" t="s">
        <v>250</v>
      </c>
      <c r="D2661" s="10">
        <v>2</v>
      </c>
      <c r="E2661" s="10">
        <v>50</v>
      </c>
      <c r="F2661" s="10" t="s">
        <v>690</v>
      </c>
      <c r="G2661" s="10" t="s">
        <v>767</v>
      </c>
      <c r="H2661" s="10" t="str" cm="1">
        <f t="array" aca="1" ref="H2661" ca="1">IF(INDEX(I2661:Z2661,$H$1)=0,"",INDEX(I2661:Z2661,$H$1))</f>
        <v>Pumps</v>
      </c>
      <c r="I2661" s="2" t="s">
        <v>174</v>
      </c>
      <c r="J2661" s="2" t="s">
        <v>1363</v>
      </c>
      <c r="K2661" s="27" t="s">
        <v>1807</v>
      </c>
    </row>
    <row r="2662" spans="1:11" x14ac:dyDescent="0.35">
      <c r="A2662" s="10" t="s">
        <v>1184</v>
      </c>
      <c r="B2662" s="255">
        <v>12</v>
      </c>
      <c r="C2662" s="10" t="s">
        <v>250</v>
      </c>
      <c r="D2662" s="10">
        <v>2</v>
      </c>
      <c r="E2662" s="10">
        <v>51</v>
      </c>
      <c r="F2662" s="10" t="s">
        <v>690</v>
      </c>
      <c r="G2662" s="10" t="s">
        <v>767</v>
      </c>
      <c r="H2662" s="10" t="str" cm="1">
        <f t="array" aca="1" ref="H2662" ca="1">IF(INDEX(I2662:Z2662,$H$1)=0,"",INDEX(I2662:Z2662,$H$1))</f>
        <v>Regulators</v>
      </c>
      <c r="I2662" s="2" t="s">
        <v>165</v>
      </c>
      <c r="J2662" s="2" t="s">
        <v>1364</v>
      </c>
      <c r="K2662" s="27" t="s">
        <v>1553</v>
      </c>
    </row>
    <row r="2663" spans="1:11" x14ac:dyDescent="0.35">
      <c r="A2663" s="10" t="s">
        <v>1184</v>
      </c>
      <c r="B2663" s="255">
        <v>12</v>
      </c>
      <c r="C2663" s="10" t="s">
        <v>250</v>
      </c>
      <c r="D2663" s="10">
        <v>2</v>
      </c>
      <c r="E2663" s="10">
        <v>52</v>
      </c>
      <c r="F2663" s="10" t="s">
        <v>690</v>
      </c>
      <c r="G2663" s="10" t="s">
        <v>767</v>
      </c>
      <c r="H2663" s="10" t="str" cm="1">
        <f t="array" aca="1" ref="H2663" ca="1">IF(INDEX(I2663:Z2663,$H$1)=0,"",INDEX(I2663:Z2663,$H$1))</f>
        <v>Sampling Connections</v>
      </c>
      <c r="I2663" s="2" t="s">
        <v>162</v>
      </c>
      <c r="J2663" s="2" t="s">
        <v>860</v>
      </c>
      <c r="K2663" s="27" t="s">
        <v>1556</v>
      </c>
    </row>
    <row r="2664" spans="1:11" x14ac:dyDescent="0.35">
      <c r="A2664" s="10" t="s">
        <v>1184</v>
      </c>
      <c r="B2664" s="255">
        <v>12</v>
      </c>
      <c r="C2664" s="10" t="s">
        <v>250</v>
      </c>
      <c r="D2664" s="10">
        <v>2</v>
      </c>
      <c r="E2664" s="10">
        <v>53</v>
      </c>
      <c r="F2664" s="10" t="s">
        <v>690</v>
      </c>
      <c r="G2664" s="10" t="s">
        <v>767</v>
      </c>
      <c r="H2664" s="10" t="str" cm="1">
        <f t="array" aca="1" ref="H2664" ca="1">IF(INDEX(I2664:Z2664,$H$1)=0,"",INDEX(I2664:Z2664,$H$1))</f>
        <v>Sampling Connections</v>
      </c>
      <c r="I2664" s="2" t="s">
        <v>162</v>
      </c>
      <c r="J2664" s="2" t="s">
        <v>860</v>
      </c>
      <c r="K2664" s="27" t="s">
        <v>1556</v>
      </c>
    </row>
    <row r="2665" spans="1:11" x14ac:dyDescent="0.35">
      <c r="A2665" s="10" t="s">
        <v>1184</v>
      </c>
      <c r="B2665" s="255">
        <v>12</v>
      </c>
      <c r="C2665" s="10" t="s">
        <v>250</v>
      </c>
      <c r="D2665" s="10">
        <v>2</v>
      </c>
      <c r="E2665" s="10">
        <v>54</v>
      </c>
      <c r="F2665" s="10" t="s">
        <v>690</v>
      </c>
      <c r="G2665" s="10" t="s">
        <v>767</v>
      </c>
      <c r="H2665" s="10" t="str" cm="1">
        <f t="array" aca="1" ref="H2665" ca="1">IF(INDEX(I2665:Z2665,$H$1)=0,"",INDEX(I2665:Z2665,$H$1))</f>
        <v>Valves</v>
      </c>
      <c r="I2665" s="2" t="s">
        <v>153</v>
      </c>
      <c r="J2665" s="2" t="s">
        <v>852</v>
      </c>
      <c r="K2665" s="27" t="s">
        <v>1539</v>
      </c>
    </row>
    <row r="2666" spans="1:11" x14ac:dyDescent="0.35">
      <c r="A2666" s="10" t="s">
        <v>1184</v>
      </c>
      <c r="B2666" s="255">
        <v>12</v>
      </c>
      <c r="C2666" s="10" t="s">
        <v>250</v>
      </c>
      <c r="D2666" s="10">
        <v>2</v>
      </c>
      <c r="E2666" s="10">
        <v>55</v>
      </c>
      <c r="F2666" s="10" t="s">
        <v>690</v>
      </c>
      <c r="G2666" s="10" t="s">
        <v>767</v>
      </c>
      <c r="H2666" s="10" t="str" cm="1">
        <f t="array" aca="1" ref="H2666" ca="1">IF(INDEX(I2666:Z2666,$H$1)=0,"",INDEX(I2666:Z2666,$H$1))</f>
        <v>Valves</v>
      </c>
      <c r="I2666" s="2" t="s">
        <v>153</v>
      </c>
      <c r="J2666" s="2" t="s">
        <v>852</v>
      </c>
      <c r="K2666" s="27" t="s">
        <v>1539</v>
      </c>
    </row>
    <row r="2667" spans="1:11" x14ac:dyDescent="0.35">
      <c r="A2667" s="10" t="s">
        <v>1184</v>
      </c>
      <c r="B2667" s="255">
        <v>12</v>
      </c>
      <c r="C2667" s="10" t="s">
        <v>250</v>
      </c>
      <c r="D2667" s="10">
        <v>2</v>
      </c>
      <c r="E2667" s="10">
        <v>32</v>
      </c>
      <c r="F2667" s="10" t="s">
        <v>38</v>
      </c>
      <c r="G2667" s="10" t="s">
        <v>767</v>
      </c>
      <c r="H2667" s="10" t="str" cm="1">
        <f t="array" aca="1" ref="H2667" ca="1">IF(INDEX(I2667:Z2667,$H$1)=0,"",INDEX(I2667:Z2667,$H$1))</f>
        <v>Closed-vent System</v>
      </c>
      <c r="I2667" s="2" t="s">
        <v>3381</v>
      </c>
      <c r="J2667" s="2" t="s">
        <v>1354</v>
      </c>
      <c r="K2667" s="27" t="s">
        <v>1808</v>
      </c>
    </row>
    <row r="2668" spans="1:11" x14ac:dyDescent="0.35">
      <c r="A2668" s="10" t="s">
        <v>1184</v>
      </c>
      <c r="B2668" s="255">
        <v>12</v>
      </c>
      <c r="C2668" s="10" t="s">
        <v>250</v>
      </c>
      <c r="D2668" s="10">
        <v>2</v>
      </c>
      <c r="E2668" s="10">
        <v>33</v>
      </c>
      <c r="F2668" s="10" t="s">
        <v>38</v>
      </c>
      <c r="G2668" s="10" t="s">
        <v>767</v>
      </c>
      <c r="H2668" s="10" t="str" cm="1">
        <f t="array" aca="1" ref="H2668" ca="1">IF(INDEX(I2668:Z2668,$H$1)=0,"",INDEX(I2668:Z2668,$H$1))</f>
        <v>None</v>
      </c>
      <c r="I2668" s="2" t="s">
        <v>14</v>
      </c>
      <c r="J2668" s="2" t="s">
        <v>1353</v>
      </c>
      <c r="K2668" s="27" t="s">
        <v>1809</v>
      </c>
    </row>
    <row r="2669" spans="1:11" x14ac:dyDescent="0.35">
      <c r="A2669" s="10" t="s">
        <v>1184</v>
      </c>
      <c r="B2669" s="255">
        <v>12</v>
      </c>
      <c r="C2669" s="10" t="s">
        <v>250</v>
      </c>
      <c r="D2669" s="10">
        <v>2</v>
      </c>
      <c r="E2669" s="10">
        <v>34</v>
      </c>
      <c r="F2669" s="10" t="s">
        <v>38</v>
      </c>
      <c r="G2669" s="10" t="s">
        <v>767</v>
      </c>
      <c r="H2669" s="10" t="str" cm="1">
        <f t="array" aca="1" ref="H2669" ca="1">IF(INDEX(I2669:Z2669,$H$1)=0,"",INDEX(I2669:Z2669,$H$1))</f>
        <v>Closed-vent System</v>
      </c>
      <c r="I2669" s="2" t="s">
        <v>3381</v>
      </c>
      <c r="J2669" s="2" t="s">
        <v>1354</v>
      </c>
      <c r="K2669" s="27" t="s">
        <v>1808</v>
      </c>
    </row>
    <row r="2670" spans="1:11" x14ac:dyDescent="0.35">
      <c r="A2670" s="10" t="s">
        <v>1184</v>
      </c>
      <c r="B2670" s="255">
        <v>12</v>
      </c>
      <c r="C2670" s="10" t="s">
        <v>250</v>
      </c>
      <c r="D2670" s="10">
        <v>2</v>
      </c>
      <c r="E2670" s="10">
        <v>35</v>
      </c>
      <c r="F2670" s="10" t="s">
        <v>38</v>
      </c>
      <c r="G2670" s="10" t="s">
        <v>767</v>
      </c>
      <c r="H2670" s="10" t="str" cm="1">
        <f t="array" aca="1" ref="H2670" ca="1">IF(INDEX(I2670:Z2670,$H$1)=0,"",INDEX(I2670:Z2670,$H$1))</f>
        <v>Dual Mechanical Seals With Barrier Fluid System</v>
      </c>
      <c r="I2670" s="2" t="s">
        <v>176</v>
      </c>
      <c r="J2670" s="2" t="s">
        <v>1355</v>
      </c>
      <c r="K2670" s="27" t="s">
        <v>1810</v>
      </c>
    </row>
    <row r="2671" spans="1:11" x14ac:dyDescent="0.35">
      <c r="A2671" s="10" t="s">
        <v>1184</v>
      </c>
      <c r="B2671" s="255">
        <v>12</v>
      </c>
      <c r="C2671" s="10" t="s">
        <v>250</v>
      </c>
      <c r="D2671" s="10">
        <v>2</v>
      </c>
      <c r="E2671" s="10">
        <v>36</v>
      </c>
      <c r="F2671" s="10" t="s">
        <v>38</v>
      </c>
      <c r="G2671" s="10" t="s">
        <v>767</v>
      </c>
      <c r="H2671" s="10" t="str" cm="1">
        <f t="array" aca="1" ref="H2671" ca="1">IF(INDEX(I2671:Z2671,$H$1)=0,"",INDEX(I2671:Z2671,$H$1))</f>
        <v>None</v>
      </c>
      <c r="I2671" s="2" t="s">
        <v>14</v>
      </c>
      <c r="J2671" s="2" t="s">
        <v>1353</v>
      </c>
      <c r="K2671" s="27" t="s">
        <v>1809</v>
      </c>
    </row>
    <row r="2672" spans="1:11" x14ac:dyDescent="0.35">
      <c r="A2672" s="10" t="s">
        <v>1184</v>
      </c>
      <c r="B2672" s="255">
        <v>12</v>
      </c>
      <c r="C2672" s="10" t="s">
        <v>250</v>
      </c>
      <c r="D2672" s="10">
        <v>2</v>
      </c>
      <c r="E2672" s="10">
        <v>37</v>
      </c>
      <c r="F2672" s="10" t="s">
        <v>38</v>
      </c>
      <c r="G2672" s="10" t="s">
        <v>767</v>
      </c>
      <c r="H2672" s="10" t="str" cm="1">
        <f t="array" aca="1" ref="H2672" ca="1">IF(INDEX(I2672:Z2672,$H$1)=0,"",INDEX(I2672:Z2672,$H$1))</f>
        <v>None</v>
      </c>
      <c r="I2672" s="2" t="s">
        <v>14</v>
      </c>
      <c r="J2672" s="2" t="s">
        <v>1353</v>
      </c>
      <c r="K2672" s="27" t="s">
        <v>1809</v>
      </c>
    </row>
    <row r="2673" spans="1:11" x14ac:dyDescent="0.35">
      <c r="A2673" s="10" t="s">
        <v>1184</v>
      </c>
      <c r="B2673" s="255">
        <v>12</v>
      </c>
      <c r="C2673" s="10" t="s">
        <v>250</v>
      </c>
      <c r="D2673" s="10">
        <v>2</v>
      </c>
      <c r="E2673" s="10">
        <v>38</v>
      </c>
      <c r="F2673" s="10" t="s">
        <v>38</v>
      </c>
      <c r="G2673" s="10" t="s">
        <v>767</v>
      </c>
      <c r="H2673" s="10" t="str" cm="1">
        <f t="array" aca="1" ref="H2673" ca="1">IF(INDEX(I2673:Z2673,$H$1)=0,"",INDEX(I2673:Z2673,$H$1))</f>
        <v>Welded Together</v>
      </c>
      <c r="I2673" s="2" t="s">
        <v>180</v>
      </c>
      <c r="J2673" s="2" t="s">
        <v>1356</v>
      </c>
      <c r="K2673" s="27" t="s">
        <v>1811</v>
      </c>
    </row>
    <row r="2674" spans="1:11" x14ac:dyDescent="0.35">
      <c r="A2674" s="10" t="s">
        <v>1184</v>
      </c>
      <c r="B2674" s="255">
        <v>12</v>
      </c>
      <c r="C2674" s="10" t="s">
        <v>250</v>
      </c>
      <c r="D2674" s="10">
        <v>2</v>
      </c>
      <c r="E2674" s="10">
        <v>39</v>
      </c>
      <c r="F2674" s="10" t="s">
        <v>38</v>
      </c>
      <c r="G2674" s="10" t="s">
        <v>767</v>
      </c>
      <c r="H2674" s="10" t="str" cm="1">
        <f t="array" aca="1" ref="H2674" ca="1">IF(INDEX(I2674:Z2674,$H$1)=0,"",INDEX(I2674:Z2674,$H$1))</f>
        <v>Closed-vent System</v>
      </c>
      <c r="I2674" s="2" t="s">
        <v>3381</v>
      </c>
      <c r="J2674" s="2" t="s">
        <v>1354</v>
      </c>
      <c r="K2674" s="27" t="s">
        <v>1808</v>
      </c>
    </row>
    <row r="2675" spans="1:11" x14ac:dyDescent="0.35">
      <c r="A2675" s="10" t="s">
        <v>1184</v>
      </c>
      <c r="B2675" s="255">
        <v>12</v>
      </c>
      <c r="C2675" s="10" t="s">
        <v>250</v>
      </c>
      <c r="D2675" s="10">
        <v>2</v>
      </c>
      <c r="E2675" s="10">
        <v>40</v>
      </c>
      <c r="F2675" s="10" t="s">
        <v>38</v>
      </c>
      <c r="G2675" s="10" t="s">
        <v>767</v>
      </c>
      <c r="H2675" s="10" t="str" cm="1">
        <f t="array" aca="1" ref="H2675" ca="1">IF(INDEX(I2675:Z2675,$H$1)=0,"",INDEX(I2675:Z2675,$H$1))</f>
        <v>None</v>
      </c>
      <c r="I2675" s="2" t="s">
        <v>14</v>
      </c>
      <c r="J2675" s="2" t="s">
        <v>1353</v>
      </c>
      <c r="K2675" s="27" t="s">
        <v>1809</v>
      </c>
    </row>
    <row r="2676" spans="1:11" x14ac:dyDescent="0.35">
      <c r="A2676" s="10" t="s">
        <v>1184</v>
      </c>
      <c r="B2676" s="255">
        <v>12</v>
      </c>
      <c r="C2676" s="10" t="s">
        <v>250</v>
      </c>
      <c r="D2676" s="10">
        <v>2</v>
      </c>
      <c r="E2676" s="10">
        <v>41</v>
      </c>
      <c r="F2676" s="10" t="s">
        <v>38</v>
      </c>
      <c r="G2676" s="10" t="s">
        <v>767</v>
      </c>
      <c r="H2676" s="10" t="str" cm="1">
        <f t="array" aca="1" ref="H2676" ca="1">IF(INDEX(I2676:Z2676,$H$1)=0,"",INDEX(I2676:Z2676,$H$1))</f>
        <v>Blind, Cap, Plug or Second Valve</v>
      </c>
      <c r="I2676" s="2" t="s">
        <v>182</v>
      </c>
      <c r="J2676" s="2" t="s">
        <v>1357</v>
      </c>
      <c r="K2676" s="27" t="s">
        <v>1812</v>
      </c>
    </row>
    <row r="2677" spans="1:11" x14ac:dyDescent="0.35">
      <c r="A2677" s="10" t="s">
        <v>1184</v>
      </c>
      <c r="B2677" s="255">
        <v>12</v>
      </c>
      <c r="C2677" s="10" t="s">
        <v>250</v>
      </c>
      <c r="D2677" s="10">
        <v>2</v>
      </c>
      <c r="E2677" s="10">
        <v>42</v>
      </c>
      <c r="F2677" s="10" t="s">
        <v>38</v>
      </c>
      <c r="G2677" s="10" t="s">
        <v>767</v>
      </c>
      <c r="H2677" s="10" t="str" cm="1">
        <f t="array" aca="1" ref="H2677" ca="1">IF(INDEX(I2677:Z2677,$H$1)=0,"",INDEX(I2677:Z2677,$H$1))</f>
        <v>None</v>
      </c>
      <c r="I2677" s="2" t="s">
        <v>14</v>
      </c>
      <c r="J2677" s="2" t="s">
        <v>1353</v>
      </c>
      <c r="K2677" s="27" t="s">
        <v>1809</v>
      </c>
    </row>
    <row r="2678" spans="1:11" x14ac:dyDescent="0.35">
      <c r="A2678" s="10" t="s">
        <v>1184</v>
      </c>
      <c r="B2678" s="255">
        <v>12</v>
      </c>
      <c r="C2678" s="10" t="s">
        <v>250</v>
      </c>
      <c r="D2678" s="10">
        <v>2</v>
      </c>
      <c r="E2678" s="10">
        <v>43</v>
      </c>
      <c r="F2678" s="10" t="s">
        <v>38</v>
      </c>
      <c r="G2678" s="10" t="s">
        <v>767</v>
      </c>
      <c r="H2678" s="10" t="str" cm="1">
        <f t="array" aca="1" ref="H2678" ca="1">IF(INDEX(I2678:Z2678,$H$1)=0,"",INDEX(I2678:Z2678,$H$1))</f>
        <v>None</v>
      </c>
      <c r="I2678" s="2" t="s">
        <v>14</v>
      </c>
      <c r="J2678" s="2" t="s">
        <v>1353</v>
      </c>
      <c r="K2678" s="27" t="s">
        <v>1809</v>
      </c>
    </row>
    <row r="2679" spans="1:11" x14ac:dyDescent="0.35">
      <c r="A2679" s="10" t="s">
        <v>1184</v>
      </c>
      <c r="B2679" s="255">
        <v>12</v>
      </c>
      <c r="C2679" s="10" t="s">
        <v>250</v>
      </c>
      <c r="D2679" s="10">
        <v>2</v>
      </c>
      <c r="E2679" s="10">
        <v>44</v>
      </c>
      <c r="F2679" s="10" t="s">
        <v>38</v>
      </c>
      <c r="G2679" s="10" t="s">
        <v>767</v>
      </c>
      <c r="H2679" s="10" t="str" cm="1">
        <f t="array" aca="1" ref="H2679" ca="1">IF(INDEX(I2679:Z2679,$H$1)=0,"",INDEX(I2679:Z2679,$H$1))</f>
        <v>Closed-Vent System</v>
      </c>
      <c r="I2679" s="2" t="s">
        <v>178</v>
      </c>
      <c r="J2679" s="2" t="s">
        <v>1354</v>
      </c>
      <c r="K2679" s="27" t="s">
        <v>1808</v>
      </c>
    </row>
    <row r="2680" spans="1:11" x14ac:dyDescent="0.35">
      <c r="A2680" s="10" t="s">
        <v>1184</v>
      </c>
      <c r="B2680" s="255">
        <v>12</v>
      </c>
      <c r="C2680" s="10" t="s">
        <v>250</v>
      </c>
      <c r="D2680" s="10">
        <v>2</v>
      </c>
      <c r="E2680" s="10">
        <v>45</v>
      </c>
      <c r="F2680" s="10" t="s">
        <v>38</v>
      </c>
      <c r="G2680" s="10" t="s">
        <v>767</v>
      </c>
      <c r="H2680" s="10" t="str" cm="1">
        <f t="array" aca="1" ref="H2680" ca="1">IF(INDEX(I2680:Z2680,$H$1)=0,"",INDEX(I2680:Z2680,$H$1))</f>
        <v>None</v>
      </c>
      <c r="I2680" s="2" t="s">
        <v>14</v>
      </c>
      <c r="J2680" s="2" t="s">
        <v>1353</v>
      </c>
      <c r="K2680" s="27" t="s">
        <v>1809</v>
      </c>
    </row>
    <row r="2681" spans="1:11" x14ac:dyDescent="0.35">
      <c r="A2681" s="10" t="s">
        <v>1184</v>
      </c>
      <c r="B2681" s="255">
        <v>12</v>
      </c>
      <c r="C2681" s="10" t="s">
        <v>250</v>
      </c>
      <c r="D2681" s="10">
        <v>2</v>
      </c>
      <c r="E2681" s="10">
        <v>46</v>
      </c>
      <c r="F2681" s="10" t="s">
        <v>38</v>
      </c>
      <c r="G2681" s="10" t="s">
        <v>767</v>
      </c>
      <c r="H2681" s="10" t="str" cm="1">
        <f t="array" aca="1" ref="H2681" ca="1">IF(INDEX(I2681:Z2681,$H$1)=0,"",INDEX(I2681:Z2681,$H$1))</f>
        <v>Rupture Disk Assembly</v>
      </c>
      <c r="I2681" s="2" t="s">
        <v>179</v>
      </c>
      <c r="J2681" s="2" t="s">
        <v>1358</v>
      </c>
      <c r="K2681" s="27" t="s">
        <v>1813</v>
      </c>
    </row>
    <row r="2682" spans="1:11" x14ac:dyDescent="0.35">
      <c r="A2682" s="10" t="s">
        <v>1184</v>
      </c>
      <c r="B2682" s="255">
        <v>12</v>
      </c>
      <c r="C2682" s="10" t="s">
        <v>250</v>
      </c>
      <c r="D2682" s="10">
        <v>2</v>
      </c>
      <c r="E2682" s="10">
        <v>47</v>
      </c>
      <c r="F2682" s="10" t="s">
        <v>38</v>
      </c>
      <c r="G2682" s="10" t="s">
        <v>767</v>
      </c>
      <c r="H2682" s="10" t="str" cm="1">
        <f t="array" aca="1" ref="H2682" ca="1">IF(INDEX(I2682:Z2682,$H$1)=0,"",INDEX(I2682:Z2682,$H$1))</f>
        <v>Closed-Vent System</v>
      </c>
      <c r="I2682" s="2" t="s">
        <v>178</v>
      </c>
      <c r="J2682" s="2" t="s">
        <v>1354</v>
      </c>
      <c r="K2682" s="27" t="s">
        <v>1808</v>
      </c>
    </row>
    <row r="2683" spans="1:11" x14ac:dyDescent="0.35">
      <c r="A2683" s="10" t="s">
        <v>1184</v>
      </c>
      <c r="B2683" s="255">
        <v>12</v>
      </c>
      <c r="C2683" s="10" t="s">
        <v>250</v>
      </c>
      <c r="D2683" s="10">
        <v>2</v>
      </c>
      <c r="E2683" s="10">
        <v>48</v>
      </c>
      <c r="F2683" s="10" t="s">
        <v>38</v>
      </c>
      <c r="G2683" s="10" t="s">
        <v>767</v>
      </c>
      <c r="H2683" s="10" t="str" cm="1">
        <f t="array" aca="1" ref="H2683" ca="1">IF(INDEX(I2683:Z2683,$H$1)=0,"",INDEX(I2683:Z2683,$H$1))</f>
        <v>Dual Mechanical Seals With Barrier Fluid System</v>
      </c>
      <c r="I2683" s="2" t="s">
        <v>176</v>
      </c>
      <c r="J2683" s="2" t="s">
        <v>1355</v>
      </c>
      <c r="K2683" s="27" t="s">
        <v>1810</v>
      </c>
    </row>
    <row r="2684" spans="1:11" x14ac:dyDescent="0.35">
      <c r="A2684" s="10" t="s">
        <v>1184</v>
      </c>
      <c r="B2684" s="255">
        <v>12</v>
      </c>
      <c r="C2684" s="10" t="s">
        <v>250</v>
      </c>
      <c r="D2684" s="10">
        <v>2</v>
      </c>
      <c r="E2684" s="10">
        <v>49</v>
      </c>
      <c r="F2684" s="10" t="s">
        <v>38</v>
      </c>
      <c r="G2684" s="10" t="s">
        <v>767</v>
      </c>
      <c r="H2684" s="10" t="str" cm="1">
        <f t="array" aca="1" ref="H2684" ca="1">IF(INDEX(I2684:Z2684,$H$1)=0,"",INDEX(I2684:Z2684,$H$1))</f>
        <v>None</v>
      </c>
      <c r="I2684" s="2" t="s">
        <v>14</v>
      </c>
      <c r="J2684" s="2" t="s">
        <v>1353</v>
      </c>
      <c r="K2684" s="27" t="s">
        <v>1809</v>
      </c>
    </row>
    <row r="2685" spans="1:11" x14ac:dyDescent="0.35">
      <c r="A2685" s="10" t="s">
        <v>1184</v>
      </c>
      <c r="B2685" s="255">
        <v>12</v>
      </c>
      <c r="C2685" s="10" t="s">
        <v>250</v>
      </c>
      <c r="D2685" s="10">
        <v>2</v>
      </c>
      <c r="E2685" s="10">
        <v>50</v>
      </c>
      <c r="F2685" s="10" t="s">
        <v>38</v>
      </c>
      <c r="G2685" s="10" t="s">
        <v>767</v>
      </c>
      <c r="H2685" s="10" t="str" cm="1">
        <f t="array" aca="1" ref="H2685" ca="1">IF(INDEX(I2685:Z2685,$H$1)=0,"",INDEX(I2685:Z2685,$H$1))</f>
        <v>Sealless Design</v>
      </c>
      <c r="I2685" s="2" t="s">
        <v>175</v>
      </c>
      <c r="J2685" s="2" t="s">
        <v>1359</v>
      </c>
      <c r="K2685" s="27" t="s">
        <v>1814</v>
      </c>
    </row>
    <row r="2686" spans="1:11" x14ac:dyDescent="0.35">
      <c r="A2686" s="10" t="s">
        <v>1184</v>
      </c>
      <c r="B2686" s="255">
        <v>12</v>
      </c>
      <c r="C2686" s="10" t="s">
        <v>250</v>
      </c>
      <c r="D2686" s="10">
        <v>2</v>
      </c>
      <c r="E2686" s="10">
        <v>51</v>
      </c>
      <c r="F2686" s="10" t="s">
        <v>38</v>
      </c>
      <c r="G2686" s="10" t="s">
        <v>767</v>
      </c>
      <c r="H2686" s="10" t="str" cm="1">
        <f t="array" aca="1" ref="H2686" ca="1">IF(INDEX(I2686:Z2686,$H$1)=0,"",INDEX(I2686:Z2686,$H$1))</f>
        <v>None</v>
      </c>
      <c r="I2686" s="2" t="s">
        <v>14</v>
      </c>
      <c r="J2686" s="2" t="s">
        <v>1353</v>
      </c>
      <c r="K2686" s="27" t="s">
        <v>1809</v>
      </c>
    </row>
    <row r="2687" spans="1:11" x14ac:dyDescent="0.35">
      <c r="A2687" s="10" t="s">
        <v>1184</v>
      </c>
      <c r="B2687" s="255">
        <v>12</v>
      </c>
      <c r="C2687" s="10" t="s">
        <v>250</v>
      </c>
      <c r="D2687" s="10">
        <v>2</v>
      </c>
      <c r="E2687" s="10">
        <v>52</v>
      </c>
      <c r="F2687" s="10" t="s">
        <v>38</v>
      </c>
      <c r="G2687" s="10" t="s">
        <v>767</v>
      </c>
      <c r="H2687" s="10" t="str" cm="1">
        <f t="array" aca="1" ref="H2687" ca="1">IF(INDEX(I2687:Z2687,$H$1)=0,"",INDEX(I2687:Z2687,$H$1))</f>
        <v>Blind, Cap, Plug or Second Valve</v>
      </c>
      <c r="I2687" s="2" t="s">
        <v>182</v>
      </c>
      <c r="J2687" s="2" t="s">
        <v>1357</v>
      </c>
      <c r="K2687" s="27" t="s">
        <v>1812</v>
      </c>
    </row>
    <row r="2688" spans="1:11" x14ac:dyDescent="0.35">
      <c r="A2688" s="10" t="s">
        <v>1184</v>
      </c>
      <c r="B2688" s="255">
        <v>12</v>
      </c>
      <c r="C2688" s="10" t="s">
        <v>250</v>
      </c>
      <c r="D2688" s="10">
        <v>2</v>
      </c>
      <c r="E2688" s="10">
        <v>53</v>
      </c>
      <c r="F2688" s="10" t="s">
        <v>38</v>
      </c>
      <c r="G2688" s="10" t="s">
        <v>767</v>
      </c>
      <c r="H2688" s="10" t="str" cm="1">
        <f t="array" aca="1" ref="H2688" ca="1">IF(INDEX(I2688:Z2688,$H$1)=0,"",INDEX(I2688:Z2688,$H$1))</f>
        <v>None</v>
      </c>
      <c r="I2688" s="2" t="s">
        <v>14</v>
      </c>
      <c r="J2688" s="2" t="s">
        <v>1353</v>
      </c>
      <c r="K2688" s="27" t="s">
        <v>1809</v>
      </c>
    </row>
    <row r="2689" spans="1:11" x14ac:dyDescent="0.35">
      <c r="A2689" s="10" t="s">
        <v>1184</v>
      </c>
      <c r="B2689" s="255">
        <v>12</v>
      </c>
      <c r="C2689" s="10" t="s">
        <v>250</v>
      </c>
      <c r="D2689" s="10">
        <v>2</v>
      </c>
      <c r="E2689" s="10">
        <v>54</v>
      </c>
      <c r="F2689" s="10" t="s">
        <v>38</v>
      </c>
      <c r="G2689" s="10" t="s">
        <v>767</v>
      </c>
      <c r="H2689" s="10" t="str" cm="1">
        <f t="array" aca="1" ref="H2689" ca="1">IF(INDEX(I2689:Z2689,$H$1)=0,"",INDEX(I2689:Z2689,$H$1))</f>
        <v>None</v>
      </c>
      <c r="I2689" s="2" t="s">
        <v>14</v>
      </c>
      <c r="J2689" s="2" t="s">
        <v>1353</v>
      </c>
      <c r="K2689" s="27" t="s">
        <v>1809</v>
      </c>
    </row>
    <row r="2690" spans="1:11" x14ac:dyDescent="0.35">
      <c r="A2690" s="10" t="s">
        <v>1184</v>
      </c>
      <c r="B2690" s="255">
        <v>12</v>
      </c>
      <c r="C2690" s="10" t="s">
        <v>250</v>
      </c>
      <c r="D2690" s="10">
        <v>2</v>
      </c>
      <c r="E2690" s="10">
        <v>55</v>
      </c>
      <c r="F2690" s="10" t="s">
        <v>38</v>
      </c>
      <c r="G2690" s="10" t="s">
        <v>767</v>
      </c>
      <c r="H2690" s="10" t="str" cm="1">
        <f t="array" aca="1" ref="H2690" ca="1">IF(INDEX(I2690:Z2690,$H$1)=0,"",INDEX(I2690:Z2690,$H$1))</f>
        <v>Sealless Design</v>
      </c>
      <c r="I2690" s="2" t="s">
        <v>175</v>
      </c>
      <c r="J2690" s="2" t="s">
        <v>1359</v>
      </c>
      <c r="K2690" s="27" t="s">
        <v>1814</v>
      </c>
    </row>
    <row r="2691" spans="1:11" x14ac:dyDescent="0.35">
      <c r="A2691" s="10" t="s">
        <v>1184</v>
      </c>
      <c r="B2691" s="255">
        <v>12</v>
      </c>
      <c r="C2691" s="10" t="s">
        <v>233</v>
      </c>
      <c r="D2691" s="10">
        <v>3</v>
      </c>
      <c r="E2691" s="10">
        <v>58</v>
      </c>
      <c r="F2691" s="10" t="s">
        <v>690</v>
      </c>
      <c r="G2691" s="10" t="s">
        <v>767</v>
      </c>
      <c r="H2691" s="10" t="str" cm="1">
        <f t="array" aca="1" ref="H2691" ca="1">IF(INDEX(I2691:Z2691,$H$1)=0,"",INDEX(I2691:Z2691,$H$1))</f>
        <v>Facility Type  Look-up Table</v>
      </c>
      <c r="I2691" s="10" t="s">
        <v>233</v>
      </c>
      <c r="J2691" s="10" t="s">
        <v>1230</v>
      </c>
      <c r="K2691" s="27" t="s">
        <v>1815</v>
      </c>
    </row>
    <row r="2692" spans="1:11" x14ac:dyDescent="0.35">
      <c r="A2692" s="10" t="s">
        <v>1184</v>
      </c>
      <c r="B2692" s="255">
        <v>12</v>
      </c>
      <c r="C2692" s="10" t="s">
        <v>233</v>
      </c>
      <c r="D2692" s="10">
        <v>3</v>
      </c>
      <c r="E2692" s="10">
        <v>60</v>
      </c>
      <c r="F2692" s="10" t="s">
        <v>690</v>
      </c>
      <c r="G2692" s="10" t="s">
        <v>696</v>
      </c>
      <c r="H2692" s="10" t="str" cm="1">
        <f t="array" aca="1" ref="H2692" ca="1">IF(INDEX(I2692:Z2692,$H$1)=0,"",INDEX(I2692:Z2692,$H$1))</f>
        <v>Production</v>
      </c>
      <c r="I2692" s="10" t="s">
        <v>28</v>
      </c>
      <c r="J2692" s="10" t="s">
        <v>1296</v>
      </c>
      <c r="K2692" s="27" t="s">
        <v>1816</v>
      </c>
    </row>
    <row r="2693" spans="1:11" x14ac:dyDescent="0.35">
      <c r="A2693" s="10" t="s">
        <v>1184</v>
      </c>
      <c r="B2693" s="255">
        <v>12</v>
      </c>
      <c r="C2693" s="10" t="s">
        <v>233</v>
      </c>
      <c r="D2693" s="10">
        <v>3</v>
      </c>
      <c r="E2693" s="10">
        <v>61</v>
      </c>
      <c r="F2693" s="10" t="s">
        <v>690</v>
      </c>
      <c r="G2693" s="10" t="s">
        <v>767</v>
      </c>
      <c r="H2693" s="10" t="str" cm="1">
        <f t="array" aca="1" ref="H2693" ca="1">IF(INDEX(I2693:Z2693,$H$1)=0,"",INDEX(I2693:Z2693,$H$1))</f>
        <v>Processing Platform</v>
      </c>
      <c r="I2693" s="10" t="s">
        <v>2549</v>
      </c>
      <c r="J2693" s="10" t="s">
        <v>2549</v>
      </c>
      <c r="K2693" s="10" t="s">
        <v>2549</v>
      </c>
    </row>
    <row r="2694" spans="1:11" x14ac:dyDescent="0.35">
      <c r="A2694" s="10" t="s">
        <v>1184</v>
      </c>
      <c r="B2694" s="255">
        <v>12</v>
      </c>
      <c r="C2694" s="10" t="s">
        <v>233</v>
      </c>
      <c r="D2694" s="10">
        <v>3</v>
      </c>
      <c r="E2694" s="10">
        <v>61</v>
      </c>
      <c r="F2694" s="10" t="s">
        <v>690</v>
      </c>
      <c r="G2694" s="10" t="s">
        <v>767</v>
      </c>
      <c r="H2694" s="10" t="str" cm="1">
        <f t="array" aca="1" ref="H2694" ca="1">IF(INDEX(I2694:Z2694,$H$1)=0,"",INDEX(I2694:Z2694,$H$1))</f>
        <v>Production Platform (c/w Compression)</v>
      </c>
      <c r="I2694" s="10" t="s">
        <v>2547</v>
      </c>
      <c r="J2694" s="10" t="s">
        <v>2547</v>
      </c>
      <c r="K2694" s="10" t="s">
        <v>2547</v>
      </c>
    </row>
    <row r="2695" spans="1:11" x14ac:dyDescent="0.35">
      <c r="A2695" s="10" t="s">
        <v>1184</v>
      </c>
      <c r="B2695" s="255">
        <v>12</v>
      </c>
      <c r="C2695" s="10" t="s">
        <v>233</v>
      </c>
      <c r="D2695" s="10">
        <v>3</v>
      </c>
      <c r="E2695" s="10">
        <v>61</v>
      </c>
      <c r="F2695" s="10" t="s">
        <v>38</v>
      </c>
      <c r="G2695" s="10" t="s">
        <v>767</v>
      </c>
      <c r="H2695" s="10" t="str" cm="1">
        <f t="array" aca="1" ref="H2695" ca="1">IF(INDEX(I2695:Z2695,$H$1)=0,"",INDEX(I2695:Z2695,$H$1))</f>
        <v>Production Platform (wells only)</v>
      </c>
      <c r="I2695" s="10" t="s">
        <v>2548</v>
      </c>
      <c r="J2695" s="10" t="s">
        <v>2548</v>
      </c>
      <c r="K2695" s="10" t="s">
        <v>2548</v>
      </c>
    </row>
    <row r="2696" spans="1:11" x14ac:dyDescent="0.35">
      <c r="A2696" s="10" t="s">
        <v>1184</v>
      </c>
      <c r="B2696" s="255">
        <v>12</v>
      </c>
      <c r="C2696" s="10" t="s">
        <v>233</v>
      </c>
      <c r="D2696" s="10">
        <v>3</v>
      </c>
      <c r="E2696" s="10">
        <v>61</v>
      </c>
      <c r="F2696" s="10" t="s">
        <v>692</v>
      </c>
      <c r="G2696" s="10" t="s">
        <v>767</v>
      </c>
      <c r="H2696" s="10" t="str" cm="1">
        <f t="array" aca="1" ref="H2696" ca="1">IF(INDEX(I2696:Z2696,$H$1)=0,"",INDEX(I2696:Z2696,$H$1))</f>
        <v>Processing Platform</v>
      </c>
      <c r="I2696" s="10" t="s">
        <v>2549</v>
      </c>
      <c r="J2696" s="10" t="s">
        <v>2549</v>
      </c>
      <c r="K2696" s="10" t="s">
        <v>2549</v>
      </c>
    </row>
    <row r="2697" spans="1:11" x14ac:dyDescent="0.35">
      <c r="A2697" s="10" t="s">
        <v>1184</v>
      </c>
      <c r="B2697" s="255">
        <v>12</v>
      </c>
      <c r="C2697" s="10" t="s">
        <v>233</v>
      </c>
      <c r="D2697" s="10">
        <v>3</v>
      </c>
      <c r="E2697" s="10">
        <v>61</v>
      </c>
      <c r="F2697" s="10" t="s">
        <v>692</v>
      </c>
      <c r="G2697" s="10" t="s">
        <v>767</v>
      </c>
      <c r="H2697" s="10" t="str" cm="1">
        <f t="array" aca="1" ref="H2697" ca="1">IF(INDEX(I2697:Z2697,$H$1)=0,"",INDEX(I2697:Z2697,$H$1))</f>
        <v>Production Platform (c/w Compression)</v>
      </c>
      <c r="I2697" s="10" t="s">
        <v>2547</v>
      </c>
      <c r="J2697" s="10" t="s">
        <v>2547</v>
      </c>
      <c r="K2697" s="10" t="s">
        <v>2547</v>
      </c>
    </row>
    <row r="2698" spans="1:11" x14ac:dyDescent="0.35">
      <c r="A2698" s="10" t="s">
        <v>1184</v>
      </c>
      <c r="B2698" s="255">
        <v>12</v>
      </c>
      <c r="C2698" s="10" t="s">
        <v>233</v>
      </c>
      <c r="D2698" s="10">
        <v>3</v>
      </c>
      <c r="E2698" s="10">
        <v>61</v>
      </c>
      <c r="F2698" s="10" t="s">
        <v>692</v>
      </c>
      <c r="G2698" s="10" t="s">
        <v>767</v>
      </c>
      <c r="H2698" s="10" t="str" cm="1">
        <f t="array" aca="1" ref="H2698" ca="1">IF(INDEX(I2698:Z2698,$H$1)=0,"",INDEX(I2698:Z2698,$H$1))</f>
        <v>Production Platform (wells only)</v>
      </c>
      <c r="I2698" s="10" t="s">
        <v>2548</v>
      </c>
      <c r="J2698" s="10" t="s">
        <v>2548</v>
      </c>
      <c r="K2698" s="10" t="s">
        <v>2548</v>
      </c>
    </row>
    <row r="2699" spans="1:11" x14ac:dyDescent="0.35">
      <c r="A2699" s="10" t="s">
        <v>1184</v>
      </c>
      <c r="B2699" s="255">
        <v>12</v>
      </c>
      <c r="C2699" s="10" t="s">
        <v>233</v>
      </c>
      <c r="D2699" s="10">
        <v>3</v>
      </c>
      <c r="E2699" s="10">
        <v>61</v>
      </c>
      <c r="F2699" s="10" t="s">
        <v>693</v>
      </c>
      <c r="G2699" s="10" t="s">
        <v>767</v>
      </c>
      <c r="H2699" s="10" t="str" cm="1">
        <f t="array" aca="1" ref="H2699" ca="1">IF(INDEX(I2699:Z2699,$H$1)=0,"",INDEX(I2699:Z2699,$H$1))</f>
        <v xml:space="preserve">Abandoned wells </v>
      </c>
      <c r="I2699" s="10" t="s">
        <v>2546</v>
      </c>
      <c r="J2699" s="10" t="s">
        <v>2546</v>
      </c>
      <c r="K2699" s="10" t="s">
        <v>2546</v>
      </c>
    </row>
    <row r="2700" spans="1:11" x14ac:dyDescent="0.35">
      <c r="A2700" s="10" t="s">
        <v>1184</v>
      </c>
      <c r="B2700" s="255">
        <v>12</v>
      </c>
      <c r="C2700" s="10" t="s">
        <v>233</v>
      </c>
      <c r="D2700" s="10">
        <v>3</v>
      </c>
      <c r="E2700" s="10">
        <v>61</v>
      </c>
      <c r="F2700" s="10" t="s">
        <v>694</v>
      </c>
      <c r="G2700" s="10" t="s">
        <v>767</v>
      </c>
      <c r="H2700" s="10" t="str" cm="1">
        <f t="array" aca="1" ref="H2700" ca="1">IF(INDEX(I2700:Z2700,$H$1)=0,"",INDEX(I2700:Z2700,$H$1))</f>
        <v>Group Battery - Extra Heavy Oil</v>
      </c>
      <c r="I2700" s="10" t="s">
        <v>674</v>
      </c>
      <c r="J2700" s="10" t="s">
        <v>674</v>
      </c>
      <c r="K2700" s="10" t="s">
        <v>674</v>
      </c>
    </row>
    <row r="2701" spans="1:11" x14ac:dyDescent="0.35">
      <c r="A2701" s="10" t="s">
        <v>1184</v>
      </c>
      <c r="B2701" s="255">
        <v>12</v>
      </c>
      <c r="C2701" s="10" t="s">
        <v>233</v>
      </c>
      <c r="D2701" s="10">
        <v>3</v>
      </c>
      <c r="E2701" s="10">
        <v>61</v>
      </c>
      <c r="F2701" s="10" t="s">
        <v>694</v>
      </c>
      <c r="G2701" s="10" t="s">
        <v>767</v>
      </c>
      <c r="H2701" s="10" t="str" cm="1">
        <f t="array" aca="1" ref="H2701" ca="1">IF(INDEX(I2701:Z2701,$H$1)=0,"",INDEX(I2701:Z2701,$H$1))</f>
        <v>Group Battery - Heavy Oil</v>
      </c>
      <c r="I2701" s="10" t="s">
        <v>677</v>
      </c>
      <c r="J2701" s="10" t="s">
        <v>677</v>
      </c>
      <c r="K2701" s="10" t="s">
        <v>677</v>
      </c>
    </row>
    <row r="2702" spans="1:11" x14ac:dyDescent="0.35">
      <c r="A2702" s="10" t="s">
        <v>1184</v>
      </c>
      <c r="B2702" s="255">
        <v>12</v>
      </c>
      <c r="C2702" s="10" t="s">
        <v>233</v>
      </c>
      <c r="D2702" s="10">
        <v>3</v>
      </c>
      <c r="E2702" s="10">
        <v>61</v>
      </c>
      <c r="F2702" s="10" t="s">
        <v>694</v>
      </c>
      <c r="G2702" s="10" t="s">
        <v>767</v>
      </c>
      <c r="H2702" s="10" t="str" cm="1">
        <f t="array" aca="1" ref="H2702" ca="1">IF(INDEX(I2702:Z2702,$H$1)=0,"",INDEX(I2702:Z2702,$H$1))</f>
        <v>Group Battery - Oil</v>
      </c>
      <c r="I2702" s="10" t="s">
        <v>676</v>
      </c>
      <c r="J2702" s="10" t="s">
        <v>676</v>
      </c>
      <c r="K2702" s="10" t="s">
        <v>676</v>
      </c>
    </row>
    <row r="2703" spans="1:11" x14ac:dyDescent="0.35">
      <c r="A2703" s="10" t="s">
        <v>1184</v>
      </c>
      <c r="B2703" s="255">
        <v>12</v>
      </c>
      <c r="C2703" s="10" t="s">
        <v>233</v>
      </c>
      <c r="D2703" s="10">
        <v>3</v>
      </c>
      <c r="E2703" s="10">
        <v>62</v>
      </c>
      <c r="F2703" s="10" t="s">
        <v>690</v>
      </c>
      <c r="G2703" s="10" t="s">
        <v>767</v>
      </c>
      <c r="H2703" s="10" t="str" cm="1">
        <f t="array" aca="1" ref="H2703" ca="1">IF(INDEX(I2703:Z2703,$H$1)=0,"",INDEX(I2703:Z2703,$H$1))</f>
        <v>Oil Exploration</v>
      </c>
      <c r="I2703" s="10" t="s">
        <v>3321</v>
      </c>
      <c r="J2703" s="10" t="s">
        <v>3321</v>
      </c>
      <c r="K2703" s="10" t="s">
        <v>3321</v>
      </c>
    </row>
    <row r="2704" spans="1:11" x14ac:dyDescent="0.35">
      <c r="A2704" s="10" t="s">
        <v>1184</v>
      </c>
      <c r="B2704" s="255">
        <v>12</v>
      </c>
      <c r="C2704" s="10" t="s">
        <v>233</v>
      </c>
      <c r="D2704" s="10">
        <v>3</v>
      </c>
      <c r="E2704" s="10">
        <v>62</v>
      </c>
      <c r="F2704" s="10" t="s">
        <v>690</v>
      </c>
      <c r="G2704" s="10" t="s">
        <v>767</v>
      </c>
      <c r="H2704" s="10" t="str" cm="1">
        <f t="array" aca="1" ref="H2704" ca="1">IF(INDEX(I2704:Z2704,$H$1)=0,"",INDEX(I2704:Z2704,$H$1))</f>
        <v>Oil Sands Mine and Ore Processing</v>
      </c>
      <c r="I2704" s="10" t="s">
        <v>3324</v>
      </c>
      <c r="J2704" s="10" t="s">
        <v>3324</v>
      </c>
      <c r="K2704" s="10" t="s">
        <v>3324</v>
      </c>
    </row>
    <row r="2705" spans="1:11" x14ac:dyDescent="0.35">
      <c r="A2705" s="10" t="s">
        <v>1184</v>
      </c>
      <c r="B2705" s="255">
        <v>12</v>
      </c>
      <c r="C2705" s="10" t="s">
        <v>233</v>
      </c>
      <c r="D2705" s="10">
        <v>3</v>
      </c>
      <c r="E2705" s="10">
        <v>62</v>
      </c>
      <c r="F2705" s="10" t="s">
        <v>38</v>
      </c>
      <c r="G2705" s="10" t="s">
        <v>767</v>
      </c>
      <c r="H2705" s="10" t="str" cm="1">
        <f t="array" aca="1" ref="H2705" ca="1">IF(INDEX(I2705:Z2705,$H$1)=0,"",INDEX(I2705:Z2705,$H$1))</f>
        <v>Oil Sands Upgrading</v>
      </c>
      <c r="I2705" s="10" t="s">
        <v>3325</v>
      </c>
      <c r="J2705" s="10" t="s">
        <v>3325</v>
      </c>
      <c r="K2705" s="10" t="s">
        <v>3325</v>
      </c>
    </row>
    <row r="2706" spans="1:11" x14ac:dyDescent="0.35">
      <c r="A2706" s="10" t="s">
        <v>1184</v>
      </c>
      <c r="B2706" s="255">
        <v>12</v>
      </c>
      <c r="C2706" s="10" t="s">
        <v>233</v>
      </c>
      <c r="D2706" s="10">
        <v>3</v>
      </c>
      <c r="E2706" s="10">
        <v>62</v>
      </c>
      <c r="F2706" s="10" t="s">
        <v>692</v>
      </c>
      <c r="G2706" s="10" t="s">
        <v>767</v>
      </c>
      <c r="H2706" s="10" t="str" cm="1">
        <f t="array" aca="1" ref="H2706" ca="1">IF(INDEX(I2706:Z2706,$H$1)=0,"",INDEX(I2706:Z2706,$H$1))</f>
        <v>Oil Terminal (Marine)</v>
      </c>
      <c r="I2706" s="10" t="s">
        <v>3322</v>
      </c>
      <c r="J2706" s="10" t="s">
        <v>3322</v>
      </c>
      <c r="K2706" s="10" t="s">
        <v>3322</v>
      </c>
    </row>
    <row r="2707" spans="1:11" x14ac:dyDescent="0.35">
      <c r="A2707" s="10" t="s">
        <v>1184</v>
      </c>
      <c r="B2707" s="255">
        <v>12</v>
      </c>
      <c r="C2707" s="10" t="s">
        <v>233</v>
      </c>
      <c r="D2707" s="10">
        <v>3</v>
      </c>
      <c r="E2707" s="10">
        <v>62</v>
      </c>
      <c r="F2707" s="10" t="s">
        <v>693</v>
      </c>
      <c r="G2707" s="10" t="s">
        <v>767</v>
      </c>
      <c r="H2707" s="10" t="str" cm="1">
        <f t="array" aca="1" ref="H2707" ca="1">IF(INDEX(I2707:Z2707,$H$1)=0,"",INDEX(I2707:Z2707,$H$1))</f>
        <v>Oil Terminal (Pipeline)</v>
      </c>
      <c r="I2707" s="10" t="s">
        <v>3323</v>
      </c>
      <c r="J2707" s="10" t="s">
        <v>3323</v>
      </c>
      <c r="K2707" s="10" t="s">
        <v>3323</v>
      </c>
    </row>
    <row r="2708" spans="1:11" x14ac:dyDescent="0.35">
      <c r="A2708" s="10" t="s">
        <v>1184</v>
      </c>
      <c r="B2708" s="255">
        <v>12</v>
      </c>
      <c r="C2708" s="10" t="s">
        <v>233</v>
      </c>
      <c r="D2708" s="10">
        <v>3</v>
      </c>
      <c r="E2708" s="10">
        <v>62</v>
      </c>
      <c r="F2708" s="10" t="s">
        <v>694</v>
      </c>
      <c r="G2708" s="10" t="s">
        <v>767</v>
      </c>
      <c r="H2708" s="10" t="str" cm="1">
        <f t="array" aca="1" ref="H2708" ca="1">IF(INDEX(I2708:Z2708,$H$1)=0,"",INDEX(I2708:Z2708,$H$1))</f>
        <v>Oil Terminal (Truck &amp; Rail)</v>
      </c>
      <c r="I2708" s="10" t="s">
        <v>3348</v>
      </c>
      <c r="J2708" s="10" t="s">
        <v>3348</v>
      </c>
      <c r="K2708" s="10" t="s">
        <v>3348</v>
      </c>
    </row>
    <row r="2709" spans="1:11" x14ac:dyDescent="0.35">
      <c r="A2709" s="10" t="s">
        <v>1184</v>
      </c>
      <c r="B2709" s="255">
        <v>12</v>
      </c>
      <c r="C2709" s="10" t="s">
        <v>233</v>
      </c>
      <c r="D2709" s="10">
        <v>3</v>
      </c>
      <c r="E2709" s="10">
        <v>63</v>
      </c>
      <c r="F2709" s="10" t="s">
        <v>690</v>
      </c>
      <c r="G2709" s="10" t="s">
        <v>767</v>
      </c>
      <c r="H2709" s="10" t="str" cm="1">
        <f t="array" aca="1" ref="H2709" ca="1">IF(INDEX(I2709:Z2709,$H$1)=0,"",INDEX(I2709:Z2709,$H$1))</f>
        <v>Other (Conventional)</v>
      </c>
      <c r="I2709" s="10" t="s">
        <v>3326</v>
      </c>
      <c r="J2709" s="10" t="s">
        <v>3326</v>
      </c>
      <c r="K2709" s="10" t="s">
        <v>3326</v>
      </c>
    </row>
    <row r="2710" spans="1:11" x14ac:dyDescent="0.35">
      <c r="A2710" s="10" t="s">
        <v>1184</v>
      </c>
      <c r="B2710" s="255">
        <v>12</v>
      </c>
      <c r="C2710" s="10" t="s">
        <v>233</v>
      </c>
      <c r="D2710" s="10">
        <v>3</v>
      </c>
      <c r="E2710" s="10">
        <v>63</v>
      </c>
      <c r="F2710" s="10" t="s">
        <v>690</v>
      </c>
      <c r="G2710" s="10" t="s">
        <v>767</v>
      </c>
      <c r="H2710" s="10" t="str" cm="1">
        <f t="array" aca="1" ref="H2710" ca="1">IF(INDEX(I2710:Z2710,$H$1)=0,"",INDEX(I2710:Z2710,$H$1))</f>
        <v>Other (Unconventional)</v>
      </c>
      <c r="I2710" s="10" t="s">
        <v>3327</v>
      </c>
      <c r="J2710" s="10" t="s">
        <v>3327</v>
      </c>
      <c r="K2710" s="10" t="s">
        <v>3327</v>
      </c>
    </row>
    <row r="2711" spans="1:11" x14ac:dyDescent="0.35">
      <c r="A2711" s="10" t="s">
        <v>1184</v>
      </c>
      <c r="B2711" s="255">
        <v>12</v>
      </c>
      <c r="C2711" s="10" t="s">
        <v>233</v>
      </c>
      <c r="D2711" s="10">
        <v>3</v>
      </c>
      <c r="E2711" s="10">
        <v>63</v>
      </c>
      <c r="F2711" s="10" t="s">
        <v>38</v>
      </c>
      <c r="G2711" s="10" t="s">
        <v>767</v>
      </c>
      <c r="H2711" s="10" t="str" cm="1">
        <f t="array" aca="1" ref="H2711" ca="1">IF(INDEX(I2711:Z2711,$H$1)=0,"",INDEX(I2711:Z2711,$H$1))</f>
        <v>Single-Well Battery - Extra Heavy Oil</v>
      </c>
      <c r="I2711" s="14" t="s">
        <v>670</v>
      </c>
      <c r="J2711" s="14" t="s">
        <v>670</v>
      </c>
      <c r="K2711" s="14" t="s">
        <v>670</v>
      </c>
    </row>
    <row r="2712" spans="1:11" x14ac:dyDescent="0.35">
      <c r="A2712" s="10" t="s">
        <v>1184</v>
      </c>
      <c r="B2712" s="255">
        <v>12</v>
      </c>
      <c r="C2712" s="10" t="s">
        <v>233</v>
      </c>
      <c r="D2712" s="10">
        <v>3</v>
      </c>
      <c r="E2712" s="10">
        <v>63</v>
      </c>
      <c r="F2712" s="10" t="s">
        <v>692</v>
      </c>
      <c r="G2712" s="10" t="s">
        <v>767</v>
      </c>
      <c r="H2712" s="10" t="str" cm="1">
        <f t="array" aca="1" ref="H2712" ca="1">IF(INDEX(I2712:Z2712,$H$1)=0,"",INDEX(I2712:Z2712,$H$1))</f>
        <v>Single-Well Battery - Heavy Oil</v>
      </c>
      <c r="I2712" s="10" t="s">
        <v>672</v>
      </c>
      <c r="J2712" s="10" t="s">
        <v>672</v>
      </c>
      <c r="K2712" s="10" t="s">
        <v>672</v>
      </c>
    </row>
    <row r="2713" spans="1:11" x14ac:dyDescent="0.35">
      <c r="A2713" s="10" t="s">
        <v>1184</v>
      </c>
      <c r="B2713" s="255">
        <v>12</v>
      </c>
      <c r="C2713" s="10" t="s">
        <v>233</v>
      </c>
      <c r="D2713" s="10">
        <v>3</v>
      </c>
      <c r="E2713" s="10">
        <v>63</v>
      </c>
      <c r="F2713" s="10" t="s">
        <v>694</v>
      </c>
      <c r="G2713" s="10" t="s">
        <v>767</v>
      </c>
      <c r="H2713" s="10" t="str" cm="1">
        <f t="array" aca="1" ref="H2713" ca="1">IF(INDEX(I2713:Z2713,$H$1)=0,"",INDEX(I2713:Z2713,$H$1))</f>
        <v>Single-Well Battery - Oil</v>
      </c>
      <c r="I2713" s="10" t="s">
        <v>673</v>
      </c>
      <c r="J2713" s="10" t="s">
        <v>673</v>
      </c>
      <c r="K2713" s="10" t="s">
        <v>673</v>
      </c>
    </row>
    <row r="2714" spans="1:11" x14ac:dyDescent="0.35">
      <c r="A2714" s="10" t="s">
        <v>1184</v>
      </c>
      <c r="B2714" s="255">
        <v>12</v>
      </c>
      <c r="C2714" s="10" t="s">
        <v>233</v>
      </c>
      <c r="D2714" s="10">
        <v>3</v>
      </c>
      <c r="E2714" s="10">
        <v>64</v>
      </c>
      <c r="F2714" s="10" t="s">
        <v>690</v>
      </c>
      <c r="G2714" s="10" t="s">
        <v>767</v>
      </c>
      <c r="H2714" s="10" t="str" cm="1">
        <f t="array" aca="1" ref="H2714" ca="1">IF(INDEX(I2714:Z2714,$H$1)=0,"",INDEX(I2714:Z2714,$H$1))</f>
        <v xml:space="preserve">Abandoned wells </v>
      </c>
      <c r="I2714" s="10" t="s">
        <v>2546</v>
      </c>
      <c r="J2714" s="10" t="s">
        <v>2546</v>
      </c>
      <c r="K2714" s="10" t="s">
        <v>2546</v>
      </c>
    </row>
    <row r="2715" spans="1:11" x14ac:dyDescent="0.35">
      <c r="A2715" s="10" t="s">
        <v>1184</v>
      </c>
      <c r="B2715" s="255">
        <v>12</v>
      </c>
      <c r="C2715" s="10" t="s">
        <v>233</v>
      </c>
      <c r="D2715" s="10">
        <v>3</v>
      </c>
      <c r="E2715" s="10">
        <v>64</v>
      </c>
      <c r="F2715" s="10" t="s">
        <v>694</v>
      </c>
      <c r="G2715" s="10" t="s">
        <v>767</v>
      </c>
      <c r="H2715" s="10" t="str" cm="1">
        <f t="array" aca="1" ref="H2715" ca="1">IF(INDEX(I2715:Z2715,$H$1)=0,"",INDEX(I2715:Z2715,$H$1))</f>
        <v>Compressor Station - Gas Gathering</v>
      </c>
      <c r="I2715" s="10" t="s">
        <v>234</v>
      </c>
      <c r="J2715" s="10" t="s">
        <v>234</v>
      </c>
      <c r="K2715" s="10" t="s">
        <v>234</v>
      </c>
    </row>
    <row r="2716" spans="1:11" x14ac:dyDescent="0.35">
      <c r="A2716" s="10" t="s">
        <v>1184</v>
      </c>
      <c r="B2716" s="255">
        <v>12</v>
      </c>
      <c r="C2716" s="10" t="s">
        <v>233</v>
      </c>
      <c r="D2716" s="10">
        <v>3</v>
      </c>
      <c r="E2716" s="10">
        <v>65</v>
      </c>
      <c r="F2716" s="10" t="s">
        <v>690</v>
      </c>
      <c r="G2716" s="10" t="s">
        <v>767</v>
      </c>
      <c r="H2716" s="10" t="str" cm="1">
        <f t="array" aca="1" ref="H2716" ca="1">IF(INDEX(I2716:Z2716,$H$1)=0,"",INDEX(I2716:Z2716,$H$1))</f>
        <v>Field Dehydrator</v>
      </c>
      <c r="I2716" s="10" t="s">
        <v>235</v>
      </c>
      <c r="J2716" s="10" t="s">
        <v>235</v>
      </c>
      <c r="K2716" s="10" t="s">
        <v>235</v>
      </c>
    </row>
    <row r="2717" spans="1:11" x14ac:dyDescent="0.35">
      <c r="A2717" s="10" t="s">
        <v>1184</v>
      </c>
      <c r="B2717" s="255">
        <v>12</v>
      </c>
      <c r="C2717" s="10" t="s">
        <v>233</v>
      </c>
      <c r="D2717" s="10">
        <v>3</v>
      </c>
      <c r="E2717" s="10">
        <v>65</v>
      </c>
      <c r="F2717" s="10" t="s">
        <v>694</v>
      </c>
      <c r="G2717" s="10" t="s">
        <v>767</v>
      </c>
      <c r="H2717" s="10" t="str" cm="1">
        <f t="array" aca="1" ref="H2717" ca="1">IF(INDEX(I2717:Z2717,$H$1)=0,"",INDEX(I2717:Z2717,$H$1))</f>
        <v>Gas Exploration</v>
      </c>
      <c r="I2717" s="10" t="s">
        <v>3328</v>
      </c>
      <c r="J2717" s="10" t="s">
        <v>3328</v>
      </c>
      <c r="K2717" s="10" t="s">
        <v>3328</v>
      </c>
    </row>
    <row r="2718" spans="1:11" x14ac:dyDescent="0.35">
      <c r="A2718" s="10" t="s">
        <v>1184</v>
      </c>
      <c r="B2718" s="255">
        <v>12</v>
      </c>
      <c r="C2718" s="10" t="s">
        <v>233</v>
      </c>
      <c r="D2718" s="10">
        <v>3</v>
      </c>
      <c r="E2718" s="10">
        <v>66</v>
      </c>
      <c r="F2718" s="10" t="s">
        <v>690</v>
      </c>
      <c r="G2718" s="10" t="s">
        <v>767</v>
      </c>
      <c r="H2718" s="10" t="str" cm="1">
        <f t="array" aca="1" ref="H2718" ca="1">IF(INDEX(I2718:Z2718,$H$1)=0,"",INDEX(I2718:Z2718,$H$1))</f>
        <v>Group Battery - Gas</v>
      </c>
      <c r="I2718" s="10" t="s">
        <v>675</v>
      </c>
      <c r="J2718" s="10" t="s">
        <v>675</v>
      </c>
      <c r="K2718" s="10" t="s">
        <v>675</v>
      </c>
    </row>
    <row r="2719" spans="1:11" x14ac:dyDescent="0.35">
      <c r="A2719" s="10" t="s">
        <v>1184</v>
      </c>
      <c r="B2719" s="255">
        <v>12</v>
      </c>
      <c r="C2719" s="10" t="s">
        <v>233</v>
      </c>
      <c r="D2719" s="10">
        <v>3</v>
      </c>
      <c r="E2719" s="10">
        <v>67</v>
      </c>
      <c r="F2719" s="10" t="s">
        <v>690</v>
      </c>
      <c r="G2719" s="10" t="s">
        <v>767</v>
      </c>
      <c r="H2719" s="10" t="str" cm="1">
        <f t="array" aca="1" ref="H2719" ca="1">IF(INDEX(I2719:Z2719,$H$1)=0,"",INDEX(I2719:Z2719,$H$1))</f>
        <v>Other (Conventional)</v>
      </c>
      <c r="I2719" s="10" t="s">
        <v>3326</v>
      </c>
      <c r="J2719" s="10" t="s">
        <v>3326</v>
      </c>
      <c r="K2719" s="10" t="s">
        <v>3326</v>
      </c>
    </row>
    <row r="2720" spans="1:11" x14ac:dyDescent="0.35">
      <c r="A2720" s="10" t="s">
        <v>1184</v>
      </c>
      <c r="B2720" s="255">
        <v>12</v>
      </c>
      <c r="C2720" s="10" t="s">
        <v>233</v>
      </c>
      <c r="D2720" s="10">
        <v>3</v>
      </c>
      <c r="E2720" s="10">
        <v>68</v>
      </c>
      <c r="F2720" s="10" t="s">
        <v>690</v>
      </c>
      <c r="G2720" s="10" t="s">
        <v>767</v>
      </c>
      <c r="H2720" s="10" t="str" cm="1">
        <f t="array" aca="1" ref="H2720" ca="1">IF(INDEX(I2720:Z2720,$H$1)=0,"",INDEX(I2720:Z2720,$H$1))</f>
        <v>Other (Unconventional)</v>
      </c>
      <c r="I2720" s="10" t="s">
        <v>3327</v>
      </c>
      <c r="J2720" s="10" t="s">
        <v>3327</v>
      </c>
      <c r="K2720" s="10" t="s">
        <v>3327</v>
      </c>
    </row>
    <row r="2721" spans="1:11" x14ac:dyDescent="0.35">
      <c r="A2721" s="10" t="s">
        <v>1184</v>
      </c>
      <c r="B2721" s="255">
        <v>12</v>
      </c>
      <c r="C2721" s="10" t="s">
        <v>233</v>
      </c>
      <c r="D2721" s="10">
        <v>3</v>
      </c>
      <c r="E2721" s="10">
        <v>69</v>
      </c>
      <c r="F2721" s="10" t="s">
        <v>690</v>
      </c>
      <c r="G2721" s="10" t="s">
        <v>767</v>
      </c>
      <c r="H2721" s="10" t="str" cm="1">
        <f t="array" aca="1" ref="H2721" ca="1">IF(INDEX(I2721:Z2721,$H$1)=0,"",INDEX(I2721:Z2721,$H$1))</f>
        <v>Single-Well Battery - Gas</v>
      </c>
      <c r="I2721" s="14" t="s">
        <v>671</v>
      </c>
      <c r="J2721" s="14" t="s">
        <v>671</v>
      </c>
      <c r="K2721" s="14" t="s">
        <v>671</v>
      </c>
    </row>
    <row r="2722" spans="1:11" x14ac:dyDescent="0.35">
      <c r="A2722" s="10" t="s">
        <v>1184</v>
      </c>
      <c r="B2722" s="255">
        <v>12</v>
      </c>
      <c r="C2722" s="10" t="s">
        <v>233</v>
      </c>
      <c r="D2722" s="10">
        <v>3</v>
      </c>
      <c r="E2722" s="10">
        <v>70</v>
      </c>
      <c r="F2722" s="10" t="s">
        <v>690</v>
      </c>
      <c r="G2722" s="10" t="s">
        <v>767</v>
      </c>
      <c r="H2722" s="10" t="str" cm="1">
        <f t="array" aca="1" ref="H2722" ca="1">IF(INDEX(I2722:Z2722,$H$1)=0,"",INDEX(I2722:Z2722,$H$1))</f>
        <v>LNG Plant (Liquefaction)</v>
      </c>
      <c r="I2722" s="14" t="s">
        <v>2580</v>
      </c>
      <c r="J2722" s="14" t="s">
        <v>2580</v>
      </c>
      <c r="K2722" s="14" t="s">
        <v>2580</v>
      </c>
    </row>
    <row r="2723" spans="1:11" x14ac:dyDescent="0.35">
      <c r="A2723" s="10" t="s">
        <v>1184</v>
      </c>
      <c r="B2723" s="255">
        <v>12</v>
      </c>
      <c r="C2723" s="10" t="s">
        <v>233</v>
      </c>
      <c r="D2723" s="10">
        <v>3</v>
      </c>
      <c r="E2723" s="10">
        <v>71</v>
      </c>
      <c r="F2723" s="10" t="s">
        <v>690</v>
      </c>
      <c r="G2723" s="10" t="s">
        <v>767</v>
      </c>
      <c r="H2723" s="10" t="str" cm="1">
        <f t="array" aca="1" ref="H2723" ca="1">IF(INDEX(I2723:Z2723,$H$1)=0,"",INDEX(I2723:Z2723,$H$1))</f>
        <v>Sour Gas Plant</v>
      </c>
      <c r="I2723" s="14" t="s">
        <v>241</v>
      </c>
      <c r="J2723" s="14" t="s">
        <v>241</v>
      </c>
      <c r="K2723" s="14" t="s">
        <v>241</v>
      </c>
    </row>
    <row r="2724" spans="1:11" x14ac:dyDescent="0.35">
      <c r="A2724" s="10" t="s">
        <v>1184</v>
      </c>
      <c r="B2724" s="255">
        <v>12</v>
      </c>
      <c r="C2724" s="10" t="s">
        <v>233</v>
      </c>
      <c r="D2724" s="10">
        <v>3</v>
      </c>
      <c r="E2724" s="10">
        <v>72</v>
      </c>
      <c r="F2724" s="10" t="s">
        <v>690</v>
      </c>
      <c r="G2724" s="10" t="s">
        <v>767</v>
      </c>
      <c r="H2724" s="10" t="str" cm="1">
        <f t="array" aca="1" ref="H2724" ca="1">IF(INDEX(I2724:Z2724,$H$1)=0,"",INDEX(I2724:Z2724,$H$1))</f>
        <v>Sweet Gas Plant</v>
      </c>
      <c r="I2724" s="14" t="s">
        <v>240</v>
      </c>
      <c r="J2724" s="14" t="s">
        <v>240</v>
      </c>
      <c r="K2724" s="14" t="s">
        <v>240</v>
      </c>
    </row>
    <row r="2725" spans="1:11" x14ac:dyDescent="0.35">
      <c r="A2725" s="10" t="s">
        <v>1184</v>
      </c>
      <c r="B2725" s="255">
        <v>12</v>
      </c>
      <c r="C2725" s="10" t="s">
        <v>233</v>
      </c>
      <c r="D2725" s="10">
        <v>3</v>
      </c>
      <c r="E2725" s="10">
        <v>73</v>
      </c>
      <c r="F2725" s="10" t="s">
        <v>690</v>
      </c>
      <c r="G2725" s="10" t="s">
        <v>767</v>
      </c>
      <c r="H2725" s="10" t="str" cm="1">
        <f t="array" aca="1" ref="H2725" ca="1">IF(INDEX(I2725:Z2725,$H$1)=0,"",INDEX(I2725:Z2725,$H$1))</f>
        <v>Compressor Station</v>
      </c>
      <c r="I2725" s="14" t="s">
        <v>242</v>
      </c>
      <c r="J2725" s="14" t="s">
        <v>242</v>
      </c>
      <c r="K2725" s="14" t="s">
        <v>242</v>
      </c>
    </row>
    <row r="2726" spans="1:11" x14ac:dyDescent="0.35">
      <c r="A2726" s="10" t="s">
        <v>1184</v>
      </c>
      <c r="B2726" s="255">
        <v>12</v>
      </c>
      <c r="C2726" s="10" t="s">
        <v>233</v>
      </c>
      <c r="D2726" s="10">
        <v>3</v>
      </c>
      <c r="E2726" s="10">
        <v>74</v>
      </c>
      <c r="F2726" s="10" t="s">
        <v>690</v>
      </c>
      <c r="G2726" s="10" t="s">
        <v>767</v>
      </c>
      <c r="H2726" s="10" t="str" cm="1">
        <f t="array" aca="1" ref="H2726" ca="1">IF(INDEX(I2726:Z2726,$H$1)=0,"",INDEX(I2726:Z2726,$H$1))</f>
        <v>LNG Peak Shaving</v>
      </c>
      <c r="I2726" s="14" t="s">
        <v>3329</v>
      </c>
      <c r="J2726" s="14" t="s">
        <v>3329</v>
      </c>
      <c r="K2726" s="14" t="s">
        <v>3329</v>
      </c>
    </row>
    <row r="2727" spans="1:11" x14ac:dyDescent="0.35">
      <c r="A2727" s="10" t="s">
        <v>1184</v>
      </c>
      <c r="B2727" s="255">
        <v>12</v>
      </c>
      <c r="C2727" s="10" t="s">
        <v>233</v>
      </c>
      <c r="D2727" s="10">
        <v>3</v>
      </c>
      <c r="E2727" s="10">
        <v>75</v>
      </c>
      <c r="F2727" s="10" t="s">
        <v>690</v>
      </c>
      <c r="G2727" s="10" t="s">
        <v>767</v>
      </c>
      <c r="H2727" s="10" t="str" cm="1">
        <f t="array" aca="1" ref="H2727" ca="1">IF(INDEX(I2727:Z2727,$H$1)=0,"",INDEX(I2727:Z2727,$H$1))</f>
        <v>LNG Regasification</v>
      </c>
      <c r="I2727" s="14" t="s">
        <v>2582</v>
      </c>
      <c r="J2727" s="14" t="s">
        <v>2582</v>
      </c>
      <c r="K2727" s="14" t="s">
        <v>2582</v>
      </c>
    </row>
    <row r="2728" spans="1:11" x14ac:dyDescent="0.35">
      <c r="A2728" s="10" t="s">
        <v>1184</v>
      </c>
      <c r="B2728" s="255">
        <v>12</v>
      </c>
      <c r="C2728" s="10" t="s">
        <v>233</v>
      </c>
      <c r="D2728" s="10">
        <v>3</v>
      </c>
      <c r="E2728" s="10">
        <v>76</v>
      </c>
      <c r="F2728" s="10" t="s">
        <v>690</v>
      </c>
      <c r="G2728" s="10" t="s">
        <v>767</v>
      </c>
      <c r="H2728" s="10" t="str" cm="1">
        <f t="array" aca="1" ref="H2728" ca="1">IF(INDEX(I2728:Z2728,$H$1)=0,"",INDEX(I2728:Z2728,$H$1))</f>
        <v>LNG Shipping</v>
      </c>
      <c r="I2728" s="14" t="s">
        <v>2581</v>
      </c>
      <c r="J2728" s="14" t="s">
        <v>2581</v>
      </c>
      <c r="K2728" s="14" t="s">
        <v>2581</v>
      </c>
    </row>
    <row r="2729" spans="1:11" x14ac:dyDescent="0.35">
      <c r="A2729" s="10" t="s">
        <v>1184</v>
      </c>
      <c r="B2729" s="255">
        <v>12</v>
      </c>
      <c r="C2729" s="10" t="s">
        <v>233</v>
      </c>
      <c r="D2729" s="10">
        <v>3</v>
      </c>
      <c r="E2729" s="10">
        <v>77</v>
      </c>
      <c r="F2729" s="10" t="s">
        <v>690</v>
      </c>
      <c r="G2729" s="10" t="s">
        <v>767</v>
      </c>
      <c r="H2729" s="10" t="str" cm="1">
        <f t="array" aca="1" ref="H2729" ca="1">IF(INDEX(I2729:Z2729,$H$1)=0,"",INDEX(I2729:Z2729,$H$1))</f>
        <v>LNG Transport (Truck or Rail)</v>
      </c>
      <c r="I2729" s="14" t="s">
        <v>3330</v>
      </c>
      <c r="J2729" s="14" t="s">
        <v>3330</v>
      </c>
      <c r="K2729" s="14" t="s">
        <v>3330</v>
      </c>
    </row>
    <row r="2730" spans="1:11" x14ac:dyDescent="0.35">
      <c r="A2730" s="10" t="s">
        <v>1184</v>
      </c>
      <c r="B2730" s="255">
        <v>12</v>
      </c>
      <c r="C2730" s="10" t="s">
        <v>233</v>
      </c>
      <c r="D2730" s="10">
        <v>3</v>
      </c>
      <c r="E2730" s="10">
        <v>78</v>
      </c>
      <c r="F2730" s="10" t="s">
        <v>690</v>
      </c>
      <c r="G2730" s="10" t="s">
        <v>767</v>
      </c>
      <c r="H2730" s="10" t="str" cm="1">
        <f t="array" aca="1" ref="H2730" ca="1">IF(INDEX(I2730:Z2730,$H$1)=0,"",INDEX(I2730:Z2730,$H$1))</f>
        <v>Pipeline</v>
      </c>
      <c r="I2730" s="14" t="s">
        <v>3331</v>
      </c>
      <c r="J2730" s="14" t="s">
        <v>3331</v>
      </c>
      <c r="K2730" s="14" t="s">
        <v>3331</v>
      </c>
    </row>
    <row r="2731" spans="1:11" x14ac:dyDescent="0.35">
      <c r="A2731" s="10" t="s">
        <v>1184</v>
      </c>
      <c r="B2731" s="255">
        <v>12</v>
      </c>
      <c r="C2731" s="10" t="s">
        <v>233</v>
      </c>
      <c r="D2731" s="10">
        <v>3</v>
      </c>
      <c r="E2731" s="10">
        <v>79</v>
      </c>
      <c r="F2731" s="10" t="s">
        <v>690</v>
      </c>
      <c r="G2731" s="10" t="s">
        <v>767</v>
      </c>
      <c r="H2731" s="10" t="str" cm="1">
        <f t="array" aca="1" ref="H2731" ca="1">IF(INDEX(I2731:Z2731,$H$1)=0,"",INDEX(I2731:Z2731,$H$1))</f>
        <v>Receipt Meter Station</v>
      </c>
      <c r="I2731" s="14" t="s">
        <v>243</v>
      </c>
      <c r="J2731" s="14" t="s">
        <v>243</v>
      </c>
      <c r="K2731" s="14" t="s">
        <v>243</v>
      </c>
    </row>
    <row r="2732" spans="1:11" x14ac:dyDescent="0.35">
      <c r="A2732" s="10" t="s">
        <v>1184</v>
      </c>
      <c r="B2732" s="255">
        <v>12</v>
      </c>
      <c r="C2732" s="10" t="s">
        <v>233</v>
      </c>
      <c r="D2732" s="10">
        <v>3</v>
      </c>
      <c r="E2732" s="10">
        <v>80</v>
      </c>
      <c r="F2732" s="10" t="s">
        <v>690</v>
      </c>
      <c r="G2732" s="10" t="s">
        <v>767</v>
      </c>
      <c r="H2732" s="10" t="str" cm="1">
        <f t="array" aca="1" ref="H2732" ca="1">IF(INDEX(I2732:Z2732,$H$1)=0,"",INDEX(I2732:Z2732,$H$1))</f>
        <v>Sales Meter Station</v>
      </c>
      <c r="I2732" s="14" t="s">
        <v>583</v>
      </c>
      <c r="J2732" s="14" t="s">
        <v>583</v>
      </c>
      <c r="K2732" s="14" t="s">
        <v>583</v>
      </c>
    </row>
    <row r="2733" spans="1:11" x14ac:dyDescent="0.35">
      <c r="A2733" s="10" t="s">
        <v>1184</v>
      </c>
      <c r="B2733" s="255">
        <v>12</v>
      </c>
      <c r="C2733" s="10" t="s">
        <v>233</v>
      </c>
      <c r="D2733" s="10">
        <v>3</v>
      </c>
      <c r="E2733" s="10">
        <v>81</v>
      </c>
      <c r="F2733" s="10" t="s">
        <v>690</v>
      </c>
      <c r="G2733" s="10" t="s">
        <v>767</v>
      </c>
      <c r="H2733" s="10" t="str" cm="1">
        <f t="array" aca="1" ref="H2733" ca="1">IF(INDEX(I2733:Z2733,$H$1)=0,"",INDEX(I2733:Z2733,$H$1))</f>
        <v>Storage Facility</v>
      </c>
      <c r="I2733" s="14" t="s">
        <v>244</v>
      </c>
      <c r="J2733" s="14" t="s">
        <v>244</v>
      </c>
      <c r="K2733" s="14" t="s">
        <v>244</v>
      </c>
    </row>
    <row r="2734" spans="1:11" x14ac:dyDescent="0.35">
      <c r="A2734" s="10" t="s">
        <v>1184</v>
      </c>
      <c r="B2734" s="255">
        <v>12</v>
      </c>
      <c r="C2734" s="10" t="s">
        <v>233</v>
      </c>
      <c r="D2734" s="10">
        <v>3</v>
      </c>
      <c r="E2734" s="10">
        <v>82</v>
      </c>
      <c r="F2734" s="10" t="s">
        <v>690</v>
      </c>
      <c r="G2734" s="10" t="s">
        <v>767</v>
      </c>
      <c r="H2734" s="10" t="str" cm="1">
        <f t="array" aca="1" ref="H2734" ca="1">IF(INDEX(I2734:Z2734,$H$1)=0,"",INDEX(I2734:Z2734,$H$1))</f>
        <v>Storage Well</v>
      </c>
      <c r="I2734" s="14" t="s">
        <v>584</v>
      </c>
      <c r="J2734" s="14" t="s">
        <v>584</v>
      </c>
      <c r="K2734" s="14" t="s">
        <v>584</v>
      </c>
    </row>
    <row r="2735" spans="1:11" x14ac:dyDescent="0.35">
      <c r="A2735" s="10" t="s">
        <v>1184</v>
      </c>
      <c r="B2735" s="255">
        <v>12</v>
      </c>
      <c r="C2735" s="10" t="s">
        <v>233</v>
      </c>
      <c r="D2735" s="10">
        <v>3</v>
      </c>
      <c r="E2735" s="10">
        <v>83</v>
      </c>
      <c r="F2735" s="10" t="s">
        <v>690</v>
      </c>
      <c r="G2735" s="10" t="s">
        <v>767</v>
      </c>
      <c r="H2735" s="10" t="str" cm="1">
        <f t="array" aca="1" ref="H2735" ca="1">IF(INDEX(I2735:Z2735,$H$1)=0,"",INDEX(I2735:Z2735,$H$1))</f>
        <v>Compressor Station</v>
      </c>
      <c r="I2735" s="14" t="s">
        <v>242</v>
      </c>
      <c r="J2735" s="14" t="s">
        <v>242</v>
      </c>
      <c r="K2735" s="14" t="s">
        <v>242</v>
      </c>
    </row>
    <row r="2736" spans="1:11" x14ac:dyDescent="0.35">
      <c r="A2736" s="10" t="s">
        <v>1184</v>
      </c>
      <c r="B2736" s="255">
        <v>12</v>
      </c>
      <c r="C2736" s="10" t="s">
        <v>233</v>
      </c>
      <c r="D2736" s="10">
        <v>3</v>
      </c>
      <c r="E2736" s="10">
        <v>84</v>
      </c>
      <c r="F2736" s="10" t="s">
        <v>690</v>
      </c>
      <c r="G2736" s="10" t="s">
        <v>767</v>
      </c>
      <c r="H2736" s="10" t="str" cm="1">
        <f t="array" aca="1" ref="H2736" ca="1">IF(INDEX(I2736:Z2736,$H$1)=0,"",INDEX(I2736:Z2736,$H$1))</f>
        <v>Distribution LNG Satellite</v>
      </c>
      <c r="I2736" s="14" t="s">
        <v>2583</v>
      </c>
      <c r="J2736" s="14" t="s">
        <v>2583</v>
      </c>
      <c r="K2736" s="14" t="s">
        <v>2583</v>
      </c>
    </row>
    <row r="2737" spans="1:11" x14ac:dyDescent="0.35">
      <c r="A2737" s="10" t="s">
        <v>1184</v>
      </c>
      <c r="B2737" s="255">
        <v>12</v>
      </c>
      <c r="C2737" s="10" t="s">
        <v>233</v>
      </c>
      <c r="D2737" s="10">
        <v>3</v>
      </c>
      <c r="E2737" s="10">
        <v>85</v>
      </c>
      <c r="F2737" s="10" t="s">
        <v>690</v>
      </c>
      <c r="G2737" s="10" t="s">
        <v>767</v>
      </c>
      <c r="H2737" s="10" t="str" cm="1">
        <f t="array" aca="1" ref="H2737" ca="1">IF(INDEX(I2737:Z2737,$H$1)=0,"",INDEX(I2737:Z2737,$H$1))</f>
        <v>Main Lines</v>
      </c>
      <c r="I2737" s="14" t="s">
        <v>3332</v>
      </c>
      <c r="J2737" s="14" t="s">
        <v>3332</v>
      </c>
      <c r="K2737" s="14" t="s">
        <v>3332</v>
      </c>
    </row>
    <row r="2738" spans="1:11" x14ac:dyDescent="0.35">
      <c r="A2738" s="10" t="s">
        <v>1184</v>
      </c>
      <c r="B2738" s="255">
        <v>12</v>
      </c>
      <c r="C2738" s="10" t="s">
        <v>233</v>
      </c>
      <c r="D2738" s="10">
        <v>3</v>
      </c>
      <c r="E2738" s="10">
        <v>86</v>
      </c>
      <c r="F2738" s="10" t="s">
        <v>690</v>
      </c>
      <c r="G2738" s="10" t="s">
        <v>767</v>
      </c>
      <c r="H2738" s="10" t="str" cm="1">
        <f t="array" aca="1" ref="H2738" ca="1">IF(INDEX(I2738:Z2738,$H$1)=0,"",INDEX(I2738:Z2738,$H$1))</f>
        <v>Post-Meter</v>
      </c>
      <c r="I2738" s="14" t="s">
        <v>3333</v>
      </c>
      <c r="J2738" s="14" t="s">
        <v>3333</v>
      </c>
      <c r="K2738" s="14" t="s">
        <v>3333</v>
      </c>
    </row>
    <row r="2739" spans="1:11" x14ac:dyDescent="0.35">
      <c r="A2739" s="10" t="s">
        <v>1184</v>
      </c>
      <c r="B2739" s="255">
        <v>12</v>
      </c>
      <c r="C2739" s="10" t="s">
        <v>233</v>
      </c>
      <c r="D2739" s="10">
        <v>3</v>
      </c>
      <c r="E2739" s="10">
        <v>87</v>
      </c>
      <c r="F2739" s="10" t="s">
        <v>690</v>
      </c>
      <c r="G2739" s="10" t="s">
        <v>767</v>
      </c>
      <c r="H2739" s="10" t="str" cm="1">
        <f t="array" aca="1" ref="H2739" ca="1">IF(INDEX(I2739:Z2739,$H$1)=0,"",INDEX(I2739:Z2739,$H$1))</f>
        <v>Pressure Regulator Station</v>
      </c>
      <c r="I2739" s="14" t="s">
        <v>588</v>
      </c>
      <c r="J2739" s="14" t="s">
        <v>588</v>
      </c>
      <c r="K2739" s="14" t="s">
        <v>588</v>
      </c>
    </row>
    <row r="2740" spans="1:11" x14ac:dyDescent="0.35">
      <c r="A2740" s="10" t="s">
        <v>1184</v>
      </c>
      <c r="B2740" s="255">
        <v>12</v>
      </c>
      <c r="C2740" s="10" t="s">
        <v>233</v>
      </c>
      <c r="D2740" s="10">
        <v>3</v>
      </c>
      <c r="E2740" s="10">
        <v>88</v>
      </c>
      <c r="F2740" s="10" t="s">
        <v>690</v>
      </c>
      <c r="G2740" s="10" t="s">
        <v>767</v>
      </c>
      <c r="H2740" s="10" t="str" cm="1">
        <f t="array" aca="1" ref="H2740" ca="1">IF(INDEX(I2740:Z2740,$H$1)=0,"",INDEX(I2740:Z2740,$H$1))</f>
        <v>Receipt Meter Station</v>
      </c>
      <c r="I2740" s="14" t="s">
        <v>243</v>
      </c>
      <c r="J2740" s="14" t="s">
        <v>243</v>
      </c>
      <c r="K2740" s="14" t="s">
        <v>243</v>
      </c>
    </row>
    <row r="2741" spans="1:11" x14ac:dyDescent="0.35">
      <c r="A2741" s="10" t="s">
        <v>1184</v>
      </c>
      <c r="B2741" s="255">
        <v>12</v>
      </c>
      <c r="C2741" s="10" t="s">
        <v>233</v>
      </c>
      <c r="D2741" s="10">
        <v>3</v>
      </c>
      <c r="E2741" s="10">
        <v>89</v>
      </c>
      <c r="F2741" s="10" t="s">
        <v>690</v>
      </c>
      <c r="G2741" s="10" t="s">
        <v>767</v>
      </c>
      <c r="H2741" s="10" t="str" cm="1">
        <f t="array" aca="1" ref="H2741" ca="1">IF(INDEX(I2741:Z2741,$H$1)=0,"",INDEX(I2741:Z2741,$H$1))</f>
        <v>Sales Meter Station - Commercial</v>
      </c>
      <c r="I2741" s="14" t="s">
        <v>586</v>
      </c>
      <c r="J2741" s="14" t="s">
        <v>586</v>
      </c>
      <c r="K2741" s="14" t="s">
        <v>586</v>
      </c>
    </row>
    <row r="2742" spans="1:11" x14ac:dyDescent="0.35">
      <c r="A2742" s="10" t="s">
        <v>1184</v>
      </c>
      <c r="B2742" s="255">
        <v>12</v>
      </c>
      <c r="C2742" s="10" t="s">
        <v>233</v>
      </c>
      <c r="D2742" s="10">
        <v>3</v>
      </c>
      <c r="E2742" s="10">
        <v>90</v>
      </c>
      <c r="F2742" s="10" t="s">
        <v>690</v>
      </c>
      <c r="G2742" s="10" t="s">
        <v>767</v>
      </c>
      <c r="H2742" s="10" t="str" cm="1">
        <f t="array" aca="1" ref="H2742" ca="1">IF(INDEX(I2742:Z2742,$H$1)=0,"",INDEX(I2742:Z2742,$H$1))</f>
        <v>Sales Meter Station - Industrial</v>
      </c>
      <c r="I2742" s="14" t="s">
        <v>585</v>
      </c>
      <c r="J2742" s="14" t="s">
        <v>585</v>
      </c>
      <c r="K2742" s="14" t="s">
        <v>585</v>
      </c>
    </row>
    <row r="2743" spans="1:11" x14ac:dyDescent="0.35">
      <c r="A2743" s="10" t="s">
        <v>1184</v>
      </c>
      <c r="B2743" s="255">
        <v>12</v>
      </c>
      <c r="C2743" s="10" t="s">
        <v>233</v>
      </c>
      <c r="D2743" s="10">
        <v>3</v>
      </c>
      <c r="E2743" s="10">
        <v>91</v>
      </c>
      <c r="F2743" s="10" t="s">
        <v>690</v>
      </c>
      <c r="G2743" s="10" t="s">
        <v>767</v>
      </c>
      <c r="H2743" s="10" t="str" cm="1">
        <f t="array" aca="1" ref="H2743" ca="1">IF(INDEX(I2743:Z2743,$H$1)=0,"",INDEX(I2743:Z2743,$H$1))</f>
        <v>Sales Meter Station - Residential</v>
      </c>
      <c r="I2743" s="14" t="s">
        <v>587</v>
      </c>
      <c r="J2743" s="14" t="s">
        <v>587</v>
      </c>
      <c r="K2743" s="14" t="s">
        <v>587</v>
      </c>
    </row>
    <row r="2744" spans="1:11" x14ac:dyDescent="0.35">
      <c r="A2744" s="10" t="s">
        <v>1184</v>
      </c>
      <c r="B2744" s="255">
        <v>12</v>
      </c>
      <c r="C2744" s="10" t="s">
        <v>233</v>
      </c>
      <c r="D2744" s="10">
        <v>3</v>
      </c>
      <c r="E2744" s="10">
        <v>92</v>
      </c>
      <c r="F2744" s="10" t="s">
        <v>690</v>
      </c>
      <c r="G2744" s="10" t="s">
        <v>767</v>
      </c>
      <c r="H2744" s="10" t="str" cm="1">
        <f t="array" aca="1" ref="H2744" ca="1">IF(INDEX(I2744:Z2744,$H$1)=0,"",INDEX(I2744:Z2744,$H$1))</f>
        <v>Service Lines</v>
      </c>
      <c r="I2744" s="14" t="s">
        <v>3334</v>
      </c>
      <c r="J2744" s="14" t="s">
        <v>3334</v>
      </c>
      <c r="K2744" s="14" t="s">
        <v>3334</v>
      </c>
    </row>
    <row r="2745" spans="1:11" x14ac:dyDescent="0.35">
      <c r="A2745" s="10" t="s">
        <v>1184</v>
      </c>
      <c r="B2745" s="255">
        <v>12</v>
      </c>
      <c r="C2745" s="10" t="s">
        <v>233</v>
      </c>
      <c r="D2745" s="10">
        <v>3</v>
      </c>
      <c r="E2745" s="10">
        <v>93</v>
      </c>
      <c r="F2745" s="10" t="s">
        <v>690</v>
      </c>
      <c r="G2745" s="10" t="s">
        <v>767</v>
      </c>
      <c r="H2745" s="10" t="str" cm="1">
        <f t="array" aca="1" ref="H2745" ca="1">IF(INDEX(I2745:Z2745,$H$1)=0,"",INDEX(I2745:Z2745,$H$1))</f>
        <v>Conventional and Synthetic Crude Oil</v>
      </c>
      <c r="I2745" s="14" t="s">
        <v>3335</v>
      </c>
      <c r="J2745" s="14" t="s">
        <v>3335</v>
      </c>
      <c r="K2745" s="14" t="s">
        <v>3335</v>
      </c>
    </row>
    <row r="2746" spans="1:11" x14ac:dyDescent="0.35">
      <c r="A2746" s="10" t="s">
        <v>1184</v>
      </c>
      <c r="B2746" s="255">
        <v>12</v>
      </c>
      <c r="C2746" s="10" t="s">
        <v>233</v>
      </c>
      <c r="D2746" s="10">
        <v>3</v>
      </c>
      <c r="E2746" s="10">
        <v>94</v>
      </c>
      <c r="F2746" s="10" t="s">
        <v>690</v>
      </c>
      <c r="G2746" s="10" t="s">
        <v>767</v>
      </c>
      <c r="H2746" s="10" t="str" cm="1">
        <f t="array" aca="1" ref="H2746" ca="1">IF(INDEX(I2746:Z2746,$H$1)=0,"",INDEX(I2746:Z2746,$H$1))</f>
        <v>Heavy Oil</v>
      </c>
      <c r="I2746" s="14" t="s">
        <v>3336</v>
      </c>
      <c r="J2746" s="14" t="s">
        <v>3336</v>
      </c>
      <c r="K2746" s="14" t="s">
        <v>3336</v>
      </c>
    </row>
    <row r="2747" spans="1:11" x14ac:dyDescent="0.35">
      <c r="A2747" s="10" t="s">
        <v>1184</v>
      </c>
      <c r="B2747" s="255">
        <v>12</v>
      </c>
      <c r="C2747" s="10" t="s">
        <v>1184</v>
      </c>
      <c r="D2747" s="10">
        <v>2</v>
      </c>
      <c r="E2747" s="10">
        <v>1</v>
      </c>
      <c r="F2747" s="10" t="s">
        <v>687</v>
      </c>
      <c r="G2747" s="10" t="s">
        <v>696</v>
      </c>
      <c r="H2747" s="10" t="str" cm="1">
        <f t="array" aca="1" ref="H2747" ca="1">IF(INDEX(I2747:Z2747,$H$1)=0,"",INDEX(I2747:Z2747,$H$1))</f>
        <v>Units of Measure Lookup Table for Fuels</v>
      </c>
      <c r="I2747" s="14" t="s">
        <v>2964</v>
      </c>
      <c r="J2747" s="14" t="s">
        <v>2964</v>
      </c>
      <c r="K2747" s="14" t="s">
        <v>2964</v>
      </c>
    </row>
    <row r="2748" spans="1:11" x14ac:dyDescent="0.35">
      <c r="A2748" s="10" t="s">
        <v>1184</v>
      </c>
      <c r="B2748" s="255">
        <v>12</v>
      </c>
      <c r="C2748" s="10" t="s">
        <v>1184</v>
      </c>
      <c r="D2748" s="10">
        <v>2</v>
      </c>
      <c r="E2748" s="10">
        <v>1</v>
      </c>
      <c r="F2748" s="10" t="s">
        <v>687</v>
      </c>
      <c r="G2748" s="10" t="s">
        <v>696</v>
      </c>
      <c r="H2748" s="10" t="str" cm="1">
        <f t="array" aca="1" ref="H2748" ca="1">IF(INDEX(I2748:Z2748,$H$1)=0,"",INDEX(I2748:Z2748,$H$1))</f>
        <v>Solid (Input Unit of Measure)</v>
      </c>
      <c r="I2748" s="14" t="s">
        <v>3171</v>
      </c>
      <c r="J2748" s="14" t="s">
        <v>3171</v>
      </c>
      <c r="K2748" s="14" t="s">
        <v>3171</v>
      </c>
    </row>
    <row r="2749" spans="1:11" x14ac:dyDescent="0.35">
      <c r="A2749" s="10" t="s">
        <v>1184</v>
      </c>
      <c r="B2749" s="255">
        <v>12</v>
      </c>
      <c r="C2749" s="10" t="s">
        <v>1184</v>
      </c>
      <c r="D2749" s="10">
        <v>2</v>
      </c>
      <c r="E2749" s="10">
        <v>1</v>
      </c>
      <c r="F2749" s="10" t="s">
        <v>687</v>
      </c>
      <c r="G2749" s="10" t="s">
        <v>696</v>
      </c>
      <c r="H2749" s="10" t="str" cm="1">
        <f t="array" aca="1" ref="H2749" ca="1">IF(INDEX(I2749:Z2749,$H$1)=0,"",INDEX(I2749:Z2749,$H$1))</f>
        <v>Liquid  (Input Unit of Measure)</v>
      </c>
      <c r="I2749" s="14" t="s">
        <v>3172</v>
      </c>
      <c r="J2749" s="14" t="s">
        <v>3172</v>
      </c>
      <c r="K2749" s="14" t="s">
        <v>3172</v>
      </c>
    </row>
    <row r="2750" spans="1:11" x14ac:dyDescent="0.35">
      <c r="A2750" s="10" t="s">
        <v>1184</v>
      </c>
      <c r="B2750" s="255">
        <v>12</v>
      </c>
      <c r="C2750" s="10" t="s">
        <v>1184</v>
      </c>
      <c r="D2750" s="10">
        <v>2</v>
      </c>
      <c r="E2750" s="10">
        <v>1</v>
      </c>
      <c r="F2750" s="10" t="s">
        <v>687</v>
      </c>
      <c r="G2750" s="10" t="s">
        <v>696</v>
      </c>
      <c r="H2750" s="10" t="str" cm="1">
        <f t="array" aca="1" ref="H2750" ca="1">IF(INDEX(I2750:Z2750,$H$1)=0,"",INDEX(I2750:Z2750,$H$1))</f>
        <v>Gaseous  (Input Unit of Measure)</v>
      </c>
      <c r="I2750" s="14" t="s">
        <v>3173</v>
      </c>
      <c r="J2750" s="14" t="s">
        <v>3173</v>
      </c>
      <c r="K2750" s="14" t="s">
        <v>3173</v>
      </c>
    </row>
    <row r="2751" spans="1:11" x14ac:dyDescent="0.35">
      <c r="A2751" s="10" t="s">
        <v>1184</v>
      </c>
      <c r="B2751" s="255">
        <v>12</v>
      </c>
      <c r="C2751" s="10" t="s">
        <v>1184</v>
      </c>
      <c r="D2751" s="10">
        <v>2</v>
      </c>
      <c r="E2751" s="10">
        <v>1</v>
      </c>
      <c r="F2751" s="10" t="s">
        <v>687</v>
      </c>
      <c r="G2751" s="10" t="s">
        <v>696</v>
      </c>
      <c r="H2751" s="10" t="str" cm="1">
        <f t="array" aca="1" ref="H2751" ca="1">IF(INDEX(I2751:Z2751,$H$1)=0,"",INDEX(I2751:Z2751,$H$1))</f>
        <v>Multiplication Factors For Conversion to Internal Calculation Units of Measure</v>
      </c>
      <c r="I2751" s="14" t="s">
        <v>3185</v>
      </c>
      <c r="J2751" s="14" t="s">
        <v>3185</v>
      </c>
      <c r="K2751" s="14" t="s">
        <v>3185</v>
      </c>
    </row>
    <row r="2752" spans="1:11" x14ac:dyDescent="0.35">
      <c r="A2752" s="10" t="s">
        <v>1184</v>
      </c>
      <c r="B2752" s="255">
        <v>12</v>
      </c>
      <c r="C2752" s="10" t="s">
        <v>1184</v>
      </c>
      <c r="D2752" s="10">
        <v>2</v>
      </c>
      <c r="E2752" s="10">
        <v>1</v>
      </c>
      <c r="F2752" s="10" t="s">
        <v>687</v>
      </c>
      <c r="G2752" s="10" t="s">
        <v>696</v>
      </c>
      <c r="H2752" s="10" t="str" cm="1">
        <f t="array" aca="1" ref="H2752" ca="1">IF(INDEX(I2752:Z2752,$H$1)=0,"",INDEX(I2752:Z2752,$H$1))</f>
        <v>Solid (Conversion Factors)</v>
      </c>
      <c r="I2752" s="14" t="s">
        <v>3197</v>
      </c>
      <c r="J2752" s="14" t="s">
        <v>3197</v>
      </c>
      <c r="K2752" s="14" t="s">
        <v>3197</v>
      </c>
    </row>
    <row r="2753" spans="1:11" x14ac:dyDescent="0.35">
      <c r="A2753" s="10" t="s">
        <v>1184</v>
      </c>
      <c r="B2753" s="255">
        <v>12</v>
      </c>
      <c r="C2753" s="10" t="s">
        <v>1184</v>
      </c>
      <c r="D2753" s="10">
        <v>2</v>
      </c>
      <c r="E2753" s="10">
        <v>1</v>
      </c>
      <c r="F2753" s="10" t="s">
        <v>687</v>
      </c>
      <c r="G2753" s="10" t="s">
        <v>696</v>
      </c>
      <c r="H2753" s="10" t="str" cm="1">
        <f t="array" aca="1" ref="H2753" ca="1">IF(INDEX(I2753:Z2753,$H$1)=0,"",INDEX(I2753:Z2753,$H$1))</f>
        <v>Liquid (Conversion Factors)</v>
      </c>
      <c r="I2753" s="14" t="s">
        <v>3198</v>
      </c>
      <c r="J2753" s="14" t="s">
        <v>3198</v>
      </c>
      <c r="K2753" s="14" t="s">
        <v>3198</v>
      </c>
    </row>
    <row r="2754" spans="1:11" x14ac:dyDescent="0.35">
      <c r="A2754" s="10" t="s">
        <v>1184</v>
      </c>
      <c r="B2754" s="255">
        <v>12</v>
      </c>
      <c r="C2754" s="10" t="s">
        <v>1184</v>
      </c>
      <c r="D2754" s="10">
        <v>2</v>
      </c>
      <c r="E2754" s="10">
        <v>1</v>
      </c>
      <c r="F2754" s="10" t="s">
        <v>687</v>
      </c>
      <c r="G2754" s="10" t="s">
        <v>696</v>
      </c>
      <c r="H2754" s="10" t="str" cm="1">
        <f t="array" aca="1" ref="H2754" ca="1">IF(INDEX(I2754:Z2754,$H$1)=0,"",INDEX(I2754:Z2754,$H$1))</f>
        <v>Gaseous (Conversion Factors)</v>
      </c>
      <c r="I2754" s="14" t="s">
        <v>3199</v>
      </c>
      <c r="J2754" s="14" t="s">
        <v>3199</v>
      </c>
      <c r="K2754" s="14" t="s">
        <v>3199</v>
      </c>
    </row>
    <row r="2755" spans="1:11" x14ac:dyDescent="0.35">
      <c r="A2755" s="10" t="s">
        <v>1184</v>
      </c>
      <c r="B2755" s="255">
        <v>12</v>
      </c>
      <c r="C2755" s="10" t="s">
        <v>1184</v>
      </c>
      <c r="D2755" s="10">
        <v>2</v>
      </c>
      <c r="E2755" s="10">
        <v>1</v>
      </c>
      <c r="F2755" s="10" t="s">
        <v>687</v>
      </c>
      <c r="G2755" s="10" t="s">
        <v>696</v>
      </c>
      <c r="H2755" s="10" t="str" cm="1">
        <f t="array" aca="1" ref="H2755" ca="1">IF(INDEX(I2755:Z2755,$H$1)=0,"",INDEX(I2755:Z2755,$H$1))</f>
        <v>Internal Calculation Units of Measure:</v>
      </c>
      <c r="I2755" s="14" t="s">
        <v>2996</v>
      </c>
      <c r="J2755" s="14" t="s">
        <v>2996</v>
      </c>
      <c r="K2755" s="14" t="s">
        <v>2996</v>
      </c>
    </row>
    <row r="2756" spans="1:11" x14ac:dyDescent="0.35">
      <c r="A2756" s="10" t="s">
        <v>1184</v>
      </c>
      <c r="B2756" s="255">
        <v>12</v>
      </c>
      <c r="C2756" s="10" t="s">
        <v>1184</v>
      </c>
      <c r="D2756" s="10">
        <v>2</v>
      </c>
      <c r="E2756" s="10">
        <v>1</v>
      </c>
      <c r="F2756" s="10" t="s">
        <v>687</v>
      </c>
      <c r="G2756" s="10" t="s">
        <v>696</v>
      </c>
      <c r="H2756" s="10" t="str" cm="1">
        <f t="array" aca="1" ref="H2756" ca="1">IF(INDEX(I2756:Z2756,$H$1)=0,"",INDEX(I2756:Z2756,$H$1))</f>
        <v>- Solid Fuels</v>
      </c>
      <c r="I2756" s="14" t="s">
        <v>2997</v>
      </c>
      <c r="J2756" s="14" t="s">
        <v>2997</v>
      </c>
      <c r="K2756" s="14" t="s">
        <v>2997</v>
      </c>
    </row>
    <row r="2757" spans="1:11" x14ac:dyDescent="0.35">
      <c r="A2757" s="10" t="s">
        <v>1184</v>
      </c>
      <c r="B2757" s="255">
        <v>12</v>
      </c>
      <c r="C2757" s="10" t="s">
        <v>1184</v>
      </c>
      <c r="D2757" s="10">
        <v>2</v>
      </c>
      <c r="E2757" s="10">
        <v>1</v>
      </c>
      <c r="F2757" s="10" t="s">
        <v>687</v>
      </c>
      <c r="G2757" s="10" t="s">
        <v>696</v>
      </c>
      <c r="H2757" s="10" t="str" cm="1">
        <f t="array" aca="1" ref="H2757" ca="1">IF(INDEX(I2757:Z2757,$H$1)=0,"",INDEX(I2757:Z2757,$H$1))</f>
        <v>- Liquid Fuels</v>
      </c>
      <c r="I2757" s="14" t="s">
        <v>2998</v>
      </c>
      <c r="J2757" s="14" t="s">
        <v>2998</v>
      </c>
      <c r="K2757" s="14" t="s">
        <v>2998</v>
      </c>
    </row>
    <row r="2758" spans="1:11" x14ac:dyDescent="0.35">
      <c r="A2758" s="10" t="s">
        <v>1184</v>
      </c>
      <c r="B2758" s="255">
        <v>12</v>
      </c>
      <c r="C2758" s="10" t="s">
        <v>1184</v>
      </c>
      <c r="D2758" s="10">
        <v>2</v>
      </c>
      <c r="E2758" s="10">
        <v>1</v>
      </c>
      <c r="F2758" s="10" t="s">
        <v>687</v>
      </c>
      <c r="G2758" s="10" t="s">
        <v>696</v>
      </c>
      <c r="H2758" s="10" t="str" cm="1">
        <f t="array" aca="1" ref="H2758" ca="1">IF(INDEX(I2758:Z2758,$H$1)=0,"",INDEX(I2758:Z2758,$H$1))</f>
        <v>- Gas</v>
      </c>
      <c r="I2758" s="14" t="s">
        <v>2999</v>
      </c>
      <c r="J2758" s="14" t="s">
        <v>2999</v>
      </c>
      <c r="K2758" s="14" t="s">
        <v>2999</v>
      </c>
    </row>
    <row r="2759" spans="1:11" x14ac:dyDescent="0.35">
      <c r="A2759" s="10" t="s">
        <v>1184</v>
      </c>
      <c r="B2759" s="255">
        <v>12</v>
      </c>
      <c r="C2759" s="10" t="s">
        <v>1184</v>
      </c>
      <c r="D2759" s="10">
        <v>2</v>
      </c>
      <c r="E2759" s="10">
        <v>1</v>
      </c>
      <c r="F2759" s="10" t="s">
        <v>687</v>
      </c>
      <c r="G2759" s="10" t="s">
        <v>696</v>
      </c>
      <c r="H2759" s="10" t="str" cm="1">
        <f t="array" aca="1" ref="H2759" ca="1">IF(INDEX(I2759:Z2759,$H$1)=0,"",INDEX(I2759:Z2759,$H$1))</f>
        <v>Units of Measure Lookup Table for Oil &amp; Water Receipts</v>
      </c>
      <c r="I2759" s="14" t="s">
        <v>2995</v>
      </c>
      <c r="J2759" s="14" t="s">
        <v>2995</v>
      </c>
      <c r="K2759" s="14" t="s">
        <v>2995</v>
      </c>
    </row>
    <row r="2760" spans="1:11" x14ac:dyDescent="0.35">
      <c r="A2760" s="10" t="s">
        <v>1184</v>
      </c>
      <c r="B2760" s="255">
        <v>12</v>
      </c>
      <c r="C2760" s="10" t="s">
        <v>1184</v>
      </c>
      <c r="D2760" s="10">
        <v>2</v>
      </c>
      <c r="E2760" s="10">
        <v>1</v>
      </c>
      <c r="F2760" s="10" t="s">
        <v>687</v>
      </c>
      <c r="G2760" s="10" t="s">
        <v>696</v>
      </c>
      <c r="H2760" s="10" t="str" cm="1">
        <f t="array" aca="1" ref="H2760" ca="1">IF(INDEX(I2760:Z2760,$H$1)=0,"",INDEX(I2760:Z2760,$H$1))</f>
        <v>Oil  (Input Unit of Measure)</v>
      </c>
      <c r="I2760" s="14" t="s">
        <v>3174</v>
      </c>
      <c r="J2760" s="14" t="s">
        <v>3174</v>
      </c>
      <c r="K2760" s="14" t="s">
        <v>3174</v>
      </c>
    </row>
    <row r="2761" spans="1:11" x14ac:dyDescent="0.35">
      <c r="A2761" s="10" t="s">
        <v>1184</v>
      </c>
      <c r="B2761" s="255">
        <v>12</v>
      </c>
      <c r="C2761" s="10" t="s">
        <v>1184</v>
      </c>
      <c r="D2761" s="10">
        <v>2</v>
      </c>
      <c r="E2761" s="10">
        <v>1</v>
      </c>
      <c r="F2761" s="10" t="s">
        <v>687</v>
      </c>
      <c r="G2761" s="10" t="s">
        <v>696</v>
      </c>
      <c r="H2761" s="10" t="str" cm="1">
        <f t="array" aca="1" ref="H2761" ca="1">IF(INDEX(I2761:Z2761,$H$1)=0,"",INDEX(I2761:Z2761,$H$1))</f>
        <v>Water  (Input Unit of Measure)</v>
      </c>
      <c r="I2761" s="14" t="s">
        <v>3175</v>
      </c>
      <c r="J2761" s="14" t="s">
        <v>3175</v>
      </c>
      <c r="K2761" s="14" t="s">
        <v>3175</v>
      </c>
    </row>
    <row r="2762" spans="1:11" x14ac:dyDescent="0.35">
      <c r="A2762" s="10" t="s">
        <v>1184</v>
      </c>
      <c r="B2762" s="255">
        <v>12</v>
      </c>
      <c r="C2762" s="10" t="s">
        <v>1184</v>
      </c>
      <c r="D2762" s="10">
        <v>2</v>
      </c>
      <c r="E2762" s="10">
        <v>1</v>
      </c>
      <c r="F2762" s="10" t="s">
        <v>687</v>
      </c>
      <c r="G2762" s="10" t="s">
        <v>696</v>
      </c>
      <c r="H2762" s="10" t="str" cm="1">
        <f t="array" aca="1" ref="H2762" ca="1">IF(INDEX(I2762:Z2762,$H$1)=0,"",INDEX(I2762:Z2762,$H$1))</f>
        <v>Oil (Conversion Factors)</v>
      </c>
      <c r="I2762" s="14" t="s">
        <v>3195</v>
      </c>
      <c r="J2762" s="14" t="s">
        <v>3195</v>
      </c>
      <c r="K2762" s="14" t="s">
        <v>3195</v>
      </c>
    </row>
    <row r="2763" spans="1:11" x14ac:dyDescent="0.35">
      <c r="A2763" s="10" t="s">
        <v>1184</v>
      </c>
      <c r="B2763" s="255">
        <v>12</v>
      </c>
      <c r="C2763" s="10" t="s">
        <v>1184</v>
      </c>
      <c r="D2763" s="10">
        <v>2</v>
      </c>
      <c r="E2763" s="10">
        <v>1</v>
      </c>
      <c r="F2763" s="10" t="s">
        <v>687</v>
      </c>
      <c r="G2763" s="10" t="s">
        <v>696</v>
      </c>
      <c r="H2763" s="10" t="str" cm="1">
        <f t="array" aca="1" ref="H2763" ca="1">IF(INDEX(I2763:Z2763,$H$1)=0,"",INDEX(I2763:Z2763,$H$1))</f>
        <v>Water (Conversion Factors)</v>
      </c>
      <c r="I2763" s="14" t="s">
        <v>3196</v>
      </c>
      <c r="J2763" s="14" t="s">
        <v>3196</v>
      </c>
      <c r="K2763" s="14" t="s">
        <v>3196</v>
      </c>
    </row>
    <row r="2764" spans="1:11" x14ac:dyDescent="0.35">
      <c r="A2764" s="10" t="s">
        <v>1184</v>
      </c>
      <c r="B2764" s="255">
        <v>12</v>
      </c>
      <c r="C2764" s="10" t="s">
        <v>1184</v>
      </c>
      <c r="D2764" s="10">
        <v>2</v>
      </c>
      <c r="E2764" s="10">
        <v>1</v>
      </c>
      <c r="F2764" s="10" t="s">
        <v>687</v>
      </c>
      <c r="G2764" s="10" t="s">
        <v>696</v>
      </c>
      <c r="H2764" s="10" t="str" cm="1">
        <f t="array" aca="1" ref="H2764" ca="1">IF(INDEX(I2764:Z2764,$H$1)=0,"",INDEX(I2764:Z2764,$H$1))</f>
        <v>- Oil Receipts: m3/d</v>
      </c>
      <c r="I2764" s="14" t="s">
        <v>3022</v>
      </c>
      <c r="J2764" s="14" t="s">
        <v>3022</v>
      </c>
      <c r="K2764" s="14" t="s">
        <v>3022</v>
      </c>
    </row>
    <row r="2765" spans="1:11" x14ac:dyDescent="0.35">
      <c r="A2765" s="10" t="s">
        <v>1184</v>
      </c>
      <c r="B2765" s="255">
        <v>12</v>
      </c>
      <c r="C2765" s="10" t="s">
        <v>1184</v>
      </c>
      <c r="D2765" s="10">
        <v>2</v>
      </c>
      <c r="E2765" s="10">
        <v>1</v>
      </c>
      <c r="F2765" s="10" t="s">
        <v>687</v>
      </c>
      <c r="G2765" s="10" t="s">
        <v>696</v>
      </c>
      <c r="H2765" s="10" t="str" cm="1">
        <f t="array" aca="1" ref="H2765" ca="1">IF(INDEX(I2765:Z2765,$H$1)=0,"",INDEX(I2765:Z2765,$H$1))</f>
        <v>- Produced Water Receipts: m3/d</v>
      </c>
      <c r="I2765" s="14" t="s">
        <v>3266</v>
      </c>
      <c r="J2765" s="14" t="s">
        <v>3266</v>
      </c>
      <c r="K2765" s="14" t="s">
        <v>3266</v>
      </c>
    </row>
    <row r="2766" spans="1:11" x14ac:dyDescent="0.35">
      <c r="A2766" s="10" t="s">
        <v>1184</v>
      </c>
      <c r="B2766" s="255">
        <v>12</v>
      </c>
      <c r="C2766" s="10" t="s">
        <v>1184</v>
      </c>
      <c r="D2766" s="10">
        <v>2</v>
      </c>
      <c r="E2766" s="10">
        <v>1</v>
      </c>
      <c r="F2766" s="10" t="s">
        <v>687</v>
      </c>
      <c r="G2766" s="10" t="s">
        <v>696</v>
      </c>
      <c r="H2766" s="10" t="str" cm="1">
        <f t="array" aca="1" ref="H2766" ca="1">IF(INDEX(I2766:Z2766,$H$1)=0,"",INDEX(I2766:Z2766,$H$1))</f>
        <v>Units of Measure Lookup Table for Natural Gas Receipts</v>
      </c>
      <c r="I2766" s="366" t="s">
        <v>3003</v>
      </c>
      <c r="J2766" s="366" t="s">
        <v>3003</v>
      </c>
      <c r="K2766" s="366" t="s">
        <v>3003</v>
      </c>
    </row>
    <row r="2767" spans="1:11" ht="15.5" x14ac:dyDescent="0.35">
      <c r="A2767" s="10" t="s">
        <v>1184</v>
      </c>
      <c r="B2767" s="255">
        <v>12</v>
      </c>
      <c r="C2767" s="10" t="s">
        <v>1184</v>
      </c>
      <c r="D2767" s="10">
        <v>2</v>
      </c>
      <c r="E2767" s="10">
        <v>1</v>
      </c>
      <c r="F2767" s="10" t="s">
        <v>687</v>
      </c>
      <c r="G2767" s="10" t="s">
        <v>696</v>
      </c>
      <c r="H2767" s="10" t="str" cm="1">
        <f t="array" aca="1" ref="H2767" ca="1">IF(INDEX(I2767:Z2767,$H$1)=0,"",INDEX(I2767:Z2767,$H$1))</f>
        <v>Natural Gas Receipts (input Units of Measure)</v>
      </c>
      <c r="I2767" s="532" t="s">
        <v>3170</v>
      </c>
      <c r="J2767" s="532" t="s">
        <v>3170</v>
      </c>
      <c r="K2767" s="532" t="s">
        <v>3170</v>
      </c>
    </row>
    <row r="2768" spans="1:11" ht="15.5" x14ac:dyDescent="0.35">
      <c r="A2768" s="10" t="s">
        <v>1184</v>
      </c>
      <c r="B2768" s="255">
        <v>12</v>
      </c>
      <c r="C2768" s="10" t="s">
        <v>1184</v>
      </c>
      <c r="D2768" s="10">
        <v>2</v>
      </c>
      <c r="E2768" s="10">
        <v>1</v>
      </c>
      <c r="F2768" s="10" t="s">
        <v>687</v>
      </c>
      <c r="G2768" s="10" t="s">
        <v>696</v>
      </c>
      <c r="H2768" s="10" t="str" cm="1">
        <f t="array" aca="1" ref="H2768" ca="1">IF(INDEX(I2768:Z2768,$H$1)=0,"",INDEX(I2768:Z2768,$H$1))</f>
        <v>Natural Gas Production/Receipts (Conversion Factors)</v>
      </c>
      <c r="I2768" s="532" t="s">
        <v>3194</v>
      </c>
      <c r="J2768" s="532" t="s">
        <v>3194</v>
      </c>
      <c r="K2768" s="532" t="s">
        <v>3194</v>
      </c>
    </row>
    <row r="2769" spans="1:11" x14ac:dyDescent="0.35">
      <c r="A2769" s="10" t="s">
        <v>1184</v>
      </c>
      <c r="B2769" s="255">
        <v>12</v>
      </c>
      <c r="C2769" s="10" t="s">
        <v>1184</v>
      </c>
      <c r="D2769" s="10">
        <v>2</v>
      </c>
      <c r="E2769" s="10">
        <v>1</v>
      </c>
      <c r="F2769" s="10" t="s">
        <v>687</v>
      </c>
      <c r="G2769" s="10" t="s">
        <v>696</v>
      </c>
      <c r="H2769" s="10" t="str" cm="1">
        <f t="array" aca="1" ref="H2769" ca="1">IF(INDEX(I2769:Z2769,$H$1)=0,"",INDEX(I2769:Z2769,$H$1))</f>
        <v>'- Natural gas receipts of throughput Volumes: E3 m3/d</v>
      </c>
      <c r="I2769" s="366" t="s">
        <v>3210</v>
      </c>
      <c r="J2769" s="366" t="s">
        <v>3210</v>
      </c>
      <c r="K2769" s="366" t="s">
        <v>3210</v>
      </c>
    </row>
    <row r="2770" spans="1:11" x14ac:dyDescent="0.35">
      <c r="A2770" s="10" t="s">
        <v>1184</v>
      </c>
      <c r="B2770" s="255">
        <v>12</v>
      </c>
      <c r="C2770" s="10" t="s">
        <v>1184</v>
      </c>
      <c r="D2770" s="10">
        <v>2</v>
      </c>
      <c r="E2770" s="10">
        <v>1</v>
      </c>
      <c r="F2770" s="10" t="s">
        <v>687</v>
      </c>
      <c r="G2770" s="10" t="s">
        <v>696</v>
      </c>
      <c r="H2770" s="10" t="str" cm="1">
        <f t="array" aca="1" ref="H2770" ca="1">IF(INDEX(I2770:Z2770,$H$1)=0,"",INDEX(I2770:Z2770,$H$1))</f>
        <v>Units of Measure Lookup Table for Vented and Flared Volumes</v>
      </c>
      <c r="I2770" s="366" t="s">
        <v>3000</v>
      </c>
      <c r="J2770" s="366" t="s">
        <v>3000</v>
      </c>
      <c r="K2770" s="366" t="s">
        <v>3000</v>
      </c>
    </row>
    <row r="2771" spans="1:11" ht="15.5" x14ac:dyDescent="0.35">
      <c r="A2771" s="10" t="s">
        <v>1184</v>
      </c>
      <c r="B2771" s="255">
        <v>12</v>
      </c>
      <c r="C2771" s="10" t="s">
        <v>1184</v>
      </c>
      <c r="D2771" s="10">
        <v>2</v>
      </c>
      <c r="E2771" s="10">
        <v>1</v>
      </c>
      <c r="F2771" s="10" t="s">
        <v>687</v>
      </c>
      <c r="G2771" s="10" t="s">
        <v>696</v>
      </c>
      <c r="H2771" s="10" t="str" cm="1">
        <f t="array" aca="1" ref="H2771" ca="1">IF(INDEX(I2771:Z2771,$H$1)=0,"",INDEX(I2771:Z2771,$H$1))</f>
        <v>Vented Natural Gas  (Input Unit of Measure)</v>
      </c>
      <c r="I2771" s="532" t="s">
        <v>3176</v>
      </c>
      <c r="J2771" s="532" t="s">
        <v>3176</v>
      </c>
      <c r="K2771" s="532" t="s">
        <v>3176</v>
      </c>
    </row>
    <row r="2772" spans="1:11" ht="15.5" x14ac:dyDescent="0.35">
      <c r="A2772" s="10" t="s">
        <v>1184</v>
      </c>
      <c r="B2772" s="255">
        <v>12</v>
      </c>
      <c r="C2772" s="10" t="s">
        <v>1184</v>
      </c>
      <c r="D2772" s="10">
        <v>2</v>
      </c>
      <c r="E2772" s="10">
        <v>1</v>
      </c>
      <c r="F2772" s="10" t="s">
        <v>687</v>
      </c>
      <c r="G2772" s="10" t="s">
        <v>696</v>
      </c>
      <c r="H2772" s="10" t="str" cm="1">
        <f t="array" aca="1" ref="H2772" ca="1">IF(INDEX(I2772:Z2772,$H$1)=0,"",INDEX(I2772:Z2772,$H$1))</f>
        <v>Flared  (Input Unit of Measure)</v>
      </c>
      <c r="I2772" s="532" t="s">
        <v>3177</v>
      </c>
      <c r="J2772" s="532" t="s">
        <v>3177</v>
      </c>
      <c r="K2772" s="532" t="s">
        <v>3177</v>
      </c>
    </row>
    <row r="2773" spans="1:11" ht="15.5" x14ac:dyDescent="0.35">
      <c r="A2773" s="10" t="s">
        <v>1184</v>
      </c>
      <c r="B2773" s="255">
        <v>12</v>
      </c>
      <c r="C2773" s="10" t="s">
        <v>1184</v>
      </c>
      <c r="D2773" s="10">
        <v>2</v>
      </c>
      <c r="E2773" s="10">
        <v>1</v>
      </c>
      <c r="F2773" s="10" t="s">
        <v>687</v>
      </c>
      <c r="G2773" s="10" t="s">
        <v>696</v>
      </c>
      <c r="H2773" s="10" t="str" cm="1">
        <f t="array" aca="1" ref="H2773" ca="1">IF(INDEX(I2773:Z2773,$H$1)=0,"",INDEX(I2773:Z2773,$H$1))</f>
        <v>Vented Natural Gas (Conversion Factors)</v>
      </c>
      <c r="I2773" s="532" t="s">
        <v>3192</v>
      </c>
      <c r="J2773" s="532" t="s">
        <v>3192</v>
      </c>
      <c r="K2773" s="532" t="s">
        <v>3192</v>
      </c>
    </row>
    <row r="2774" spans="1:11" ht="15.5" x14ac:dyDescent="0.35">
      <c r="A2774" s="10" t="s">
        <v>1184</v>
      </c>
      <c r="B2774" s="255">
        <v>12</v>
      </c>
      <c r="C2774" s="10" t="s">
        <v>1184</v>
      </c>
      <c r="D2774" s="10">
        <v>2</v>
      </c>
      <c r="E2774" s="10">
        <v>1</v>
      </c>
      <c r="F2774" s="10" t="s">
        <v>687</v>
      </c>
      <c r="G2774" s="10" t="s">
        <v>696</v>
      </c>
      <c r="H2774" s="10" t="str" cm="1">
        <f t="array" aca="1" ref="H2774" ca="1">IF(INDEX(I2774:Z2774,$H$1)=0,"",INDEX(I2774:Z2774,$H$1))</f>
        <v>Flared (Conversion Factors)</v>
      </c>
      <c r="I2774" s="532" t="s">
        <v>3193</v>
      </c>
      <c r="J2774" s="532" t="s">
        <v>3193</v>
      </c>
      <c r="K2774" s="532" t="s">
        <v>3193</v>
      </c>
    </row>
    <row r="2775" spans="1:11" x14ac:dyDescent="0.35">
      <c r="A2775" s="10" t="s">
        <v>1184</v>
      </c>
      <c r="B2775" s="255">
        <v>12</v>
      </c>
      <c r="C2775" s="10" t="s">
        <v>1184</v>
      </c>
      <c r="D2775" s="10">
        <v>2</v>
      </c>
      <c r="E2775" s="10">
        <v>1</v>
      </c>
      <c r="F2775" s="10" t="s">
        <v>687</v>
      </c>
      <c r="G2775" s="10" t="s">
        <v>696</v>
      </c>
      <c r="H2775" s="10" t="str" cm="1">
        <f t="array" aca="1" ref="H2775" ca="1">IF(INDEX(I2775:Z2775,$H$1)=0,"",INDEX(I2775:Z2775,$H$1))</f>
        <v>- Vented Volumes: E3 m3/d</v>
      </c>
      <c r="I2775" s="519" t="s">
        <v>3008</v>
      </c>
      <c r="J2775" s="519" t="s">
        <v>3008</v>
      </c>
      <c r="K2775" s="519" t="s">
        <v>3008</v>
      </c>
    </row>
    <row r="2776" spans="1:11" x14ac:dyDescent="0.35">
      <c r="A2776" s="10" t="s">
        <v>1184</v>
      </c>
      <c r="B2776" s="255">
        <v>12</v>
      </c>
      <c r="C2776" s="10" t="s">
        <v>1184</v>
      </c>
      <c r="D2776" s="10">
        <v>2</v>
      </c>
      <c r="E2776" s="10">
        <v>1</v>
      </c>
      <c r="F2776" s="10" t="s">
        <v>687</v>
      </c>
      <c r="G2776" s="10" t="s">
        <v>696</v>
      </c>
      <c r="H2776" s="10" t="str" cm="1">
        <f t="array" aca="1" ref="H2776" ca="1">IF(INDEX(I2776:Z2776,$H$1)=0,"",INDEX(I2776:Z2776,$H$1))</f>
        <v>- Flared Volumes: E3 m3/d</v>
      </c>
      <c r="I2776" s="519" t="s">
        <v>3009</v>
      </c>
      <c r="J2776" s="519" t="s">
        <v>3009</v>
      </c>
      <c r="K2776" s="519" t="s">
        <v>3009</v>
      </c>
    </row>
    <row r="2777" spans="1:11" x14ac:dyDescent="0.35">
      <c r="A2777" s="10" t="s">
        <v>1184</v>
      </c>
      <c r="B2777" s="255">
        <v>12</v>
      </c>
      <c r="C2777" s="10" t="s">
        <v>1184</v>
      </c>
      <c r="D2777" s="10">
        <v>2</v>
      </c>
      <c r="E2777" s="10">
        <v>1</v>
      </c>
      <c r="F2777" s="10" t="s">
        <v>687</v>
      </c>
      <c r="G2777" s="10" t="s">
        <v>696</v>
      </c>
      <c r="H2777" s="10" t="str" cm="1">
        <f t="array" aca="1" ref="H2777" ca="1">IF(INDEX(I2777:Z2777,$H$1)=0,"",INDEX(I2777:Z2777,$H$1))</f>
        <v>Units of Measure Lookup Table for Heat Purchased</v>
      </c>
      <c r="I2777" s="366" t="s">
        <v>3091</v>
      </c>
      <c r="J2777" s="366" t="s">
        <v>3091</v>
      </c>
      <c r="K2777" s="366" t="s">
        <v>3091</v>
      </c>
    </row>
    <row r="2778" spans="1:11" ht="15.5" x14ac:dyDescent="0.35">
      <c r="A2778" s="10" t="s">
        <v>1184</v>
      </c>
      <c r="B2778" s="255">
        <v>12</v>
      </c>
      <c r="C2778" s="10" t="s">
        <v>1184</v>
      </c>
      <c r="D2778" s="10">
        <v>2</v>
      </c>
      <c r="E2778" s="10">
        <v>1</v>
      </c>
      <c r="F2778" s="10" t="s">
        <v>687</v>
      </c>
      <c r="G2778" s="10" t="s">
        <v>696</v>
      </c>
      <c r="H2778" s="10" t="str" cm="1">
        <f t="array" aca="1" ref="H2778" ca="1">IF(INDEX(I2778:Z2778,$H$1)=0,"",INDEX(I2778:Z2778,$H$1))</f>
        <v>Heat Purchased  (Input Unit of Measure)</v>
      </c>
      <c r="I2778" s="532" t="s">
        <v>3178</v>
      </c>
      <c r="J2778" s="532" t="s">
        <v>3178</v>
      </c>
      <c r="K2778" s="532" t="s">
        <v>3178</v>
      </c>
    </row>
    <row r="2779" spans="1:11" ht="15.5" x14ac:dyDescent="0.35">
      <c r="A2779" s="10" t="s">
        <v>1184</v>
      </c>
      <c r="B2779" s="255">
        <v>12</v>
      </c>
      <c r="C2779" s="10" t="s">
        <v>1184</v>
      </c>
      <c r="D2779" s="10">
        <v>2</v>
      </c>
      <c r="E2779" s="10">
        <v>1</v>
      </c>
      <c r="F2779" s="10" t="s">
        <v>687</v>
      </c>
      <c r="G2779" s="10" t="s">
        <v>696</v>
      </c>
      <c r="H2779" s="10" t="str" cm="1">
        <f t="array" aca="1" ref="H2779" ca="1">IF(INDEX(I2779:Z2779,$H$1)=0,"",INDEX(I2779:Z2779,$H$1))</f>
        <v>Heat Purchased (Conversion Factors)</v>
      </c>
      <c r="I2779" s="532" t="s">
        <v>3267</v>
      </c>
      <c r="J2779" s="532" t="s">
        <v>3267</v>
      </c>
      <c r="K2779" s="532" t="s">
        <v>3267</v>
      </c>
    </row>
    <row r="2780" spans="1:11" x14ac:dyDescent="0.35">
      <c r="A2780" s="10" t="s">
        <v>1184</v>
      </c>
      <c r="B2780" s="255">
        <v>12</v>
      </c>
      <c r="C2780" s="10" t="s">
        <v>1184</v>
      </c>
      <c r="D2780" s="10">
        <v>2</v>
      </c>
      <c r="E2780" s="10">
        <v>1</v>
      </c>
      <c r="F2780" s="10" t="s">
        <v>687</v>
      </c>
      <c r="G2780" s="10" t="s">
        <v>696</v>
      </c>
      <c r="H2780" s="10" t="str" cm="1">
        <f t="array" aca="1" ref="H2780" ca="1">IF(INDEX(I2780:Z2780,$H$1)=0,"",INDEX(I2780:Z2780,$H$1))</f>
        <v>'- Heat Purchased: GJ/y</v>
      </c>
      <c r="I2780" s="366" t="s">
        <v>3211</v>
      </c>
      <c r="J2780" s="366" t="s">
        <v>3211</v>
      </c>
      <c r="K2780" s="366" t="s">
        <v>3211</v>
      </c>
    </row>
    <row r="2781" spans="1:11" x14ac:dyDescent="0.35">
      <c r="A2781" s="10" t="s">
        <v>1184</v>
      </c>
      <c r="B2781" s="255">
        <v>12</v>
      </c>
      <c r="C2781" s="10" t="s">
        <v>1184</v>
      </c>
      <c r="D2781" s="10">
        <v>2</v>
      </c>
      <c r="E2781" s="10">
        <v>1</v>
      </c>
      <c r="F2781" s="10" t="s">
        <v>687</v>
      </c>
      <c r="G2781" s="10" t="s">
        <v>696</v>
      </c>
      <c r="H2781" s="10" t="str" cm="1">
        <f t="array" aca="1" ref="H2781" ca="1">IF(INDEX(I2781:Z2781,$H$1)=0,"",INDEX(I2781:Z2781,$H$1))</f>
        <v>Units of Measure Lookup Table for Gauge Pressure and Absolute Pressure</v>
      </c>
      <c r="I2781" s="366" t="s">
        <v>3067</v>
      </c>
      <c r="J2781" s="366" t="s">
        <v>3067</v>
      </c>
      <c r="K2781" s="366" t="s">
        <v>3067</v>
      </c>
    </row>
    <row r="2782" spans="1:11" x14ac:dyDescent="0.35">
      <c r="A2782" s="10" t="s">
        <v>1184</v>
      </c>
      <c r="B2782" s="255">
        <v>12</v>
      </c>
      <c r="C2782" s="10" t="s">
        <v>1184</v>
      </c>
      <c r="D2782" s="10">
        <v>2</v>
      </c>
      <c r="E2782" s="10">
        <v>1</v>
      </c>
      <c r="F2782" s="10" t="s">
        <v>687</v>
      </c>
      <c r="G2782" s="10" t="s">
        <v>696</v>
      </c>
      <c r="H2782" s="10" t="str" cm="1">
        <f t="array" aca="1" ref="H2782" ca="1">IF(INDEX(I2782:Z2782,$H$1)=0,"",INDEX(I2782:Z2782,$H$1))</f>
        <v>Gauge Pressure  (Input Unit of Measure)</v>
      </c>
      <c r="I2782" s="237" t="s">
        <v>3179</v>
      </c>
      <c r="J2782" s="237" t="s">
        <v>3179</v>
      </c>
      <c r="K2782" s="237" t="s">
        <v>3179</v>
      </c>
    </row>
    <row r="2783" spans="1:11" x14ac:dyDescent="0.35">
      <c r="A2783" s="10" t="s">
        <v>1184</v>
      </c>
      <c r="B2783" s="255">
        <v>12</v>
      </c>
      <c r="C2783" s="10" t="s">
        <v>1184</v>
      </c>
      <c r="D2783" s="10">
        <v>2</v>
      </c>
      <c r="E2783" s="10">
        <v>1</v>
      </c>
      <c r="F2783" s="10" t="s">
        <v>687</v>
      </c>
      <c r="G2783" s="10" t="s">
        <v>696</v>
      </c>
      <c r="H2783" s="10" t="str" cm="1">
        <f t="array" aca="1" ref="H2783" ca="1">IF(INDEX(I2783:Z2783,$H$1)=0,"",INDEX(I2783:Z2783,$H$1))</f>
        <v>Absolute Pressure  (Input Unit of Measure)</v>
      </c>
      <c r="I2783" s="237" t="s">
        <v>3180</v>
      </c>
      <c r="J2783" s="237" t="s">
        <v>3180</v>
      </c>
      <c r="K2783" s="237" t="s">
        <v>3180</v>
      </c>
    </row>
    <row r="2784" spans="1:11" x14ac:dyDescent="0.35">
      <c r="A2784" s="10" t="s">
        <v>1184</v>
      </c>
      <c r="B2784" s="255">
        <v>12</v>
      </c>
      <c r="C2784" s="10" t="s">
        <v>1184</v>
      </c>
      <c r="D2784" s="10">
        <v>2</v>
      </c>
      <c r="E2784" s="10">
        <v>1</v>
      </c>
      <c r="F2784" s="10" t="s">
        <v>687</v>
      </c>
      <c r="G2784" s="10" t="s">
        <v>696</v>
      </c>
      <c r="H2784" s="10" t="str" cm="1">
        <f t="array" aca="1" ref="H2784" ca="1">IF(INDEX(I2784:Z2784,$H$1)=0,"",INDEX(I2784:Z2784,$H$1))</f>
        <v>Gage Pressure (Conversion Factors)</v>
      </c>
      <c r="I2784" s="237" t="s">
        <v>3274</v>
      </c>
      <c r="J2784" s="237" t="s">
        <v>3274</v>
      </c>
      <c r="K2784" s="237" t="s">
        <v>3274</v>
      </c>
    </row>
    <row r="2785" spans="1:11" x14ac:dyDescent="0.35">
      <c r="A2785" s="10" t="s">
        <v>1184</v>
      </c>
      <c r="B2785" s="255">
        <v>12</v>
      </c>
      <c r="C2785" s="10" t="s">
        <v>1184</v>
      </c>
      <c r="D2785" s="10">
        <v>2</v>
      </c>
      <c r="E2785" s="10">
        <v>1</v>
      </c>
      <c r="F2785" s="10" t="s">
        <v>687</v>
      </c>
      <c r="G2785" s="10" t="s">
        <v>696</v>
      </c>
      <c r="H2785" s="10" t="str" cm="1">
        <f t="array" aca="1" ref="H2785" ca="1">IF(INDEX(I2785:Z2785,$H$1)=0,"",INDEX(I2785:Z2785,$H$1))</f>
        <v>Absolute Pressure (Conversion Factors)</v>
      </c>
      <c r="I2785" s="237" t="s">
        <v>3191</v>
      </c>
      <c r="J2785" s="237" t="s">
        <v>3191</v>
      </c>
      <c r="K2785" s="237" t="s">
        <v>3191</v>
      </c>
    </row>
    <row r="2786" spans="1:11" x14ac:dyDescent="0.35">
      <c r="A2786" s="10" t="s">
        <v>1184</v>
      </c>
      <c r="B2786" s="255">
        <v>12</v>
      </c>
      <c r="C2786" s="10" t="s">
        <v>1184</v>
      </c>
      <c r="D2786" s="10">
        <v>2</v>
      </c>
      <c r="E2786" s="10">
        <v>1</v>
      </c>
      <c r="F2786" s="10" t="s">
        <v>687</v>
      </c>
      <c r="G2786" s="10" t="s">
        <v>696</v>
      </c>
      <c r="H2786" s="10" t="str" cm="1">
        <f t="array" aca="1" ref="H2786" ca="1">IF(INDEX(I2786:Z2786,$H$1)=0,"",INDEX(I2786:Z2786,$H$1))</f>
        <v>- Gage Pressure: kPag</v>
      </c>
      <c r="I2786" s="519" t="s">
        <v>3047</v>
      </c>
      <c r="J2786" s="519" t="s">
        <v>3047</v>
      </c>
      <c r="K2786" s="519" t="s">
        <v>3047</v>
      </c>
    </row>
    <row r="2787" spans="1:11" x14ac:dyDescent="0.35">
      <c r="A2787" s="10" t="s">
        <v>1184</v>
      </c>
      <c r="B2787" s="255">
        <v>12</v>
      </c>
      <c r="C2787" s="10" t="s">
        <v>1184</v>
      </c>
      <c r="D2787" s="10">
        <v>2</v>
      </c>
      <c r="E2787" s="10">
        <v>1</v>
      </c>
      <c r="F2787" s="10" t="s">
        <v>687</v>
      </c>
      <c r="G2787" s="10" t="s">
        <v>696</v>
      </c>
      <c r="H2787" s="10" t="str" cm="1">
        <f t="array" aca="1" ref="H2787" ca="1">IF(INDEX(I2787:Z2787,$H$1)=0,"",INDEX(I2787:Z2787,$H$1))</f>
        <v>- Absolute Pressure: kPa</v>
      </c>
      <c r="I2787" s="519" t="s">
        <v>3048</v>
      </c>
      <c r="J2787" s="519" t="s">
        <v>3048</v>
      </c>
      <c r="K2787" s="519" t="s">
        <v>3048</v>
      </c>
    </row>
    <row r="2788" spans="1:11" x14ac:dyDescent="0.35">
      <c r="A2788" s="10" t="s">
        <v>1184</v>
      </c>
      <c r="B2788" s="255">
        <v>12</v>
      </c>
      <c r="C2788" s="10" t="s">
        <v>1184</v>
      </c>
      <c r="D2788" s="10">
        <v>2</v>
      </c>
      <c r="E2788" s="10">
        <v>1</v>
      </c>
      <c r="F2788" s="10" t="s">
        <v>687</v>
      </c>
      <c r="G2788" s="10" t="s">
        <v>696</v>
      </c>
      <c r="H2788" s="10" t="str" cm="1">
        <f t="array" aca="1" ref="H2788" ca="1">IF(INDEX(I2788:Z2788,$H$1)=0,"",INDEX(I2788:Z2788,$H$1))</f>
        <v xml:space="preserve">Units of Measure for Oil Density </v>
      </c>
      <c r="I2788" s="519" t="s">
        <v>3068</v>
      </c>
      <c r="J2788" s="519" t="s">
        <v>3068</v>
      </c>
      <c r="K2788" s="519" t="s">
        <v>3068</v>
      </c>
    </row>
    <row r="2789" spans="1:11" x14ac:dyDescent="0.35">
      <c r="A2789" s="10" t="s">
        <v>1184</v>
      </c>
      <c r="B2789" s="255">
        <v>12</v>
      </c>
      <c r="C2789" s="10" t="s">
        <v>1184</v>
      </c>
      <c r="D2789" s="10">
        <v>2</v>
      </c>
      <c r="E2789" s="10">
        <v>1</v>
      </c>
      <c r="F2789" s="10" t="s">
        <v>687</v>
      </c>
      <c r="G2789" s="10" t="s">
        <v>696</v>
      </c>
      <c r="H2789" s="10" t="str" cm="1">
        <f t="array" aca="1" ref="H2789" ca="1">IF(INDEX(I2789:Z2789,$H$1)=0,"",INDEX(I2789:Z2789,$H$1))</f>
        <v>Oil Density  (Input Unit of Measure)</v>
      </c>
      <c r="I2789" s="237" t="s">
        <v>3268</v>
      </c>
      <c r="J2789" s="237" t="s">
        <v>3268</v>
      </c>
      <c r="K2789" s="237" t="s">
        <v>3268</v>
      </c>
    </row>
    <row r="2790" spans="1:11" x14ac:dyDescent="0.35">
      <c r="A2790" s="10" t="s">
        <v>1184</v>
      </c>
      <c r="B2790" s="255">
        <v>12</v>
      </c>
      <c r="C2790" s="10" t="s">
        <v>1184</v>
      </c>
      <c r="D2790" s="10">
        <v>2</v>
      </c>
      <c r="E2790" s="10">
        <v>1</v>
      </c>
      <c r="F2790" s="10" t="s">
        <v>687</v>
      </c>
      <c r="G2790" s="10" t="s">
        <v>696</v>
      </c>
      <c r="H2790" s="10" t="str" cm="1">
        <f t="array" aca="1" ref="H2790" ca="1">IF(INDEX(I2790:Z2790,$H$1)=0,"",INDEX(I2790:Z2790,$H$1))</f>
        <v>Oil Density (Conversion Factors)</v>
      </c>
      <c r="I2790" s="237" t="s">
        <v>3190</v>
      </c>
      <c r="J2790" s="237" t="s">
        <v>3190</v>
      </c>
      <c r="K2790" s="237" t="s">
        <v>3190</v>
      </c>
    </row>
    <row r="2791" spans="1:11" x14ac:dyDescent="0.35">
      <c r="A2791" s="10" t="s">
        <v>1184</v>
      </c>
      <c r="B2791" s="255">
        <v>12</v>
      </c>
      <c r="C2791" s="10" t="s">
        <v>1184</v>
      </c>
      <c r="D2791" s="10">
        <v>2</v>
      </c>
      <c r="E2791" s="10">
        <v>1</v>
      </c>
      <c r="F2791" s="10" t="s">
        <v>687</v>
      </c>
      <c r="G2791" s="10" t="s">
        <v>696</v>
      </c>
      <c r="H2791" s="10" t="str" cm="1">
        <f t="array" aca="1" ref="H2791" ca="1">IF(INDEX(I2791:Z2791,$H$1)=0,"",INDEX(I2791:Z2791,$H$1))</f>
        <v>Must Be Calculated</v>
      </c>
      <c r="I2791" s="321" t="s">
        <v>3070</v>
      </c>
      <c r="J2791" s="321" t="s">
        <v>3070</v>
      </c>
      <c r="K2791" s="321" t="s">
        <v>3070</v>
      </c>
    </row>
    <row r="2792" spans="1:11" x14ac:dyDescent="0.35">
      <c r="A2792" s="10" t="s">
        <v>1184</v>
      </c>
      <c r="B2792" s="255">
        <v>12</v>
      </c>
      <c r="C2792" s="10" t="s">
        <v>1184</v>
      </c>
      <c r="D2792" s="10">
        <v>2</v>
      </c>
      <c r="E2792" s="10">
        <v>1</v>
      </c>
      <c r="F2792" s="10" t="s">
        <v>687</v>
      </c>
      <c r="G2792" s="10" t="s">
        <v>696</v>
      </c>
      <c r="H2792" s="10" t="str" cm="1">
        <f t="array" aca="1" ref="H2792" ca="1">IF(INDEX(I2792:Z2792,$H$1)=0,"",INDEX(I2792:Z2792,$H$1))</f>
        <v>- Oil Density: kg/m3</v>
      </c>
      <c r="I2792" s="297" t="s">
        <v>3069</v>
      </c>
      <c r="J2792" s="297" t="s">
        <v>3069</v>
      </c>
      <c r="K2792" s="297" t="s">
        <v>3069</v>
      </c>
    </row>
    <row r="2793" spans="1:11" x14ac:dyDescent="0.35">
      <c r="A2793" s="10" t="s">
        <v>1184</v>
      </c>
      <c r="B2793" s="255">
        <v>12</v>
      </c>
      <c r="C2793" s="10" t="s">
        <v>1184</v>
      </c>
      <c r="D2793" s="10">
        <v>2</v>
      </c>
      <c r="E2793" s="10">
        <v>1</v>
      </c>
      <c r="F2793" s="10" t="s">
        <v>687</v>
      </c>
      <c r="G2793" s="10" t="s">
        <v>696</v>
      </c>
      <c r="H2793" s="10" t="str" cm="1">
        <f t="array" aca="1" ref="H2793" ca="1">IF(INDEX(I2793:Z2793,$H$1)=0,"",INDEX(I2793:Z2793,$H$1))</f>
        <v>Units of Measure for Flash Gas Factors</v>
      </c>
      <c r="I2793" s="519" t="s">
        <v>3071</v>
      </c>
      <c r="J2793" s="519" t="s">
        <v>3071</v>
      </c>
      <c r="K2793" s="519" t="s">
        <v>3071</v>
      </c>
    </row>
    <row r="2794" spans="1:11" x14ac:dyDescent="0.35">
      <c r="A2794" s="10" t="s">
        <v>1184</v>
      </c>
      <c r="B2794" s="255">
        <v>12</v>
      </c>
      <c r="C2794" s="10" t="s">
        <v>1184</v>
      </c>
      <c r="D2794" s="10">
        <v>2</v>
      </c>
      <c r="E2794" s="10">
        <v>1</v>
      </c>
      <c r="F2794" s="10" t="s">
        <v>687</v>
      </c>
      <c r="G2794" s="10" t="s">
        <v>696</v>
      </c>
      <c r="H2794" s="10" t="str" cm="1">
        <f t="array" aca="1" ref="H2794" ca="1">IF(INDEX(I2794:Z2794,$H$1)=0,"",INDEX(I2794:Z2794,$H$1))</f>
        <v>Flash Gas Factor for Oil  (Input Unit of Measure)</v>
      </c>
      <c r="I2794" s="237" t="s">
        <v>3181</v>
      </c>
      <c r="J2794" s="237" t="s">
        <v>3181</v>
      </c>
      <c r="K2794" s="237" t="s">
        <v>3181</v>
      </c>
    </row>
    <row r="2795" spans="1:11" x14ac:dyDescent="0.35">
      <c r="A2795" s="10" t="s">
        <v>1184</v>
      </c>
      <c r="B2795" s="255">
        <v>12</v>
      </c>
      <c r="C2795" s="10" t="s">
        <v>1184</v>
      </c>
      <c r="D2795" s="10">
        <v>2</v>
      </c>
      <c r="E2795" s="10">
        <v>1</v>
      </c>
      <c r="F2795" s="10" t="s">
        <v>687</v>
      </c>
      <c r="G2795" s="10" t="s">
        <v>696</v>
      </c>
      <c r="H2795" s="10" t="str" cm="1">
        <f t="array" aca="1" ref="H2795" ca="1">IF(INDEX(I2795:Z2795,$H$1)=0,"",INDEX(I2795:Z2795,$H$1))</f>
        <v>Flash Gas Factor for Produced Water  (Input Unit of Measure)</v>
      </c>
      <c r="I2795" s="237" t="s">
        <v>3182</v>
      </c>
      <c r="J2795" s="237" t="s">
        <v>3182</v>
      </c>
      <c r="K2795" s="237" t="s">
        <v>3182</v>
      </c>
    </row>
    <row r="2796" spans="1:11" x14ac:dyDescent="0.35">
      <c r="A2796" s="10" t="s">
        <v>1184</v>
      </c>
      <c r="B2796" s="255">
        <v>12</v>
      </c>
      <c r="C2796" s="10" t="s">
        <v>1184</v>
      </c>
      <c r="D2796" s="10">
        <v>2</v>
      </c>
      <c r="E2796" s="10">
        <v>1</v>
      </c>
      <c r="F2796" s="10" t="s">
        <v>687</v>
      </c>
      <c r="G2796" s="10" t="s">
        <v>696</v>
      </c>
      <c r="H2796" s="10" t="str" cm="1">
        <f t="array" aca="1" ref="H2796" ca="1">IF(INDEX(I2796:Z2796,$H$1)=0,"",INDEX(I2796:Z2796,$H$1))</f>
        <v>Flash Gas Factor Oil (Conversion Factors)</v>
      </c>
      <c r="I2796" s="237" t="s">
        <v>3188</v>
      </c>
      <c r="J2796" s="237" t="s">
        <v>3188</v>
      </c>
      <c r="K2796" s="237" t="s">
        <v>3188</v>
      </c>
    </row>
    <row r="2797" spans="1:11" x14ac:dyDescent="0.35">
      <c r="A2797" s="10" t="s">
        <v>1184</v>
      </c>
      <c r="B2797" s="255">
        <v>12</v>
      </c>
      <c r="C2797" s="10" t="s">
        <v>1184</v>
      </c>
      <c r="D2797" s="10">
        <v>2</v>
      </c>
      <c r="E2797" s="10">
        <v>1</v>
      </c>
      <c r="F2797" s="10" t="s">
        <v>687</v>
      </c>
      <c r="G2797" s="10" t="s">
        <v>696</v>
      </c>
      <c r="H2797" s="10" t="str" cm="1">
        <f t="array" aca="1" ref="H2797" ca="1">IF(INDEX(I2797:Z2797,$H$1)=0,"",INDEX(I2797:Z2797,$H$1))</f>
        <v>Flash Gas Factor Produced Water (Conversion Factors)</v>
      </c>
      <c r="I2797" s="237" t="s">
        <v>3189</v>
      </c>
      <c r="J2797" s="237" t="s">
        <v>3189</v>
      </c>
      <c r="K2797" s="237" t="s">
        <v>3189</v>
      </c>
    </row>
    <row r="2798" spans="1:11" x14ac:dyDescent="0.35">
      <c r="A2798" s="10" t="s">
        <v>1184</v>
      </c>
      <c r="B2798" s="255">
        <v>12</v>
      </c>
      <c r="C2798" s="10" t="s">
        <v>1184</v>
      </c>
      <c r="D2798" s="10">
        <v>2</v>
      </c>
      <c r="E2798" s="10">
        <v>1</v>
      </c>
      <c r="F2798" s="10" t="s">
        <v>687</v>
      </c>
      <c r="G2798" s="10" t="s">
        <v>696</v>
      </c>
      <c r="H2798" s="10" t="str" cm="1">
        <f t="array" aca="1" ref="H2798" ca="1">IF(INDEX(I2798:Z2798,$H$1)=0,"",INDEX(I2798:Z2798,$H$1))</f>
        <v>- Flash Gas Factor: m3/m3 oil</v>
      </c>
      <c r="I2798" s="297" t="s">
        <v>3072</v>
      </c>
      <c r="J2798" s="297" t="s">
        <v>3072</v>
      </c>
      <c r="K2798" s="297" t="s">
        <v>3072</v>
      </c>
    </row>
    <row r="2799" spans="1:11" x14ac:dyDescent="0.35">
      <c r="A2799" s="10" t="s">
        <v>1184</v>
      </c>
      <c r="B2799" s="255">
        <v>12</v>
      </c>
      <c r="C2799" s="10" t="s">
        <v>1184</v>
      </c>
      <c r="D2799" s="10">
        <v>2</v>
      </c>
      <c r="E2799" s="10">
        <v>1</v>
      </c>
      <c r="F2799" s="10" t="s">
        <v>687</v>
      </c>
      <c r="G2799" s="10" t="s">
        <v>696</v>
      </c>
      <c r="H2799" s="10" t="str" cm="1">
        <f t="array" aca="1" ref="H2799" ca="1">IF(INDEX(I2799:Z2799,$H$1)=0,"",INDEX(I2799:Z2799,$H$1))</f>
        <v>Units of Measure Lookup Table for Electricity Consumption or Generation</v>
      </c>
      <c r="I2799" s="519" t="s">
        <v>3269</v>
      </c>
      <c r="J2799" s="519" t="s">
        <v>3269</v>
      </c>
      <c r="K2799" s="519" t="s">
        <v>3269</v>
      </c>
    </row>
    <row r="2800" spans="1:11" x14ac:dyDescent="0.35">
      <c r="A2800" s="10" t="s">
        <v>1184</v>
      </c>
      <c r="B2800" s="255">
        <v>12</v>
      </c>
      <c r="C2800" s="10" t="s">
        <v>1184</v>
      </c>
      <c r="D2800" s="10">
        <v>2</v>
      </c>
      <c r="E2800" s="10">
        <v>1</v>
      </c>
      <c r="F2800" s="10" t="s">
        <v>687</v>
      </c>
      <c r="G2800" s="10" t="s">
        <v>696</v>
      </c>
      <c r="H2800" s="10" t="str" cm="1">
        <f t="array" aca="1" ref="H2800" ca="1">IF(INDEX(I2800:Z2800,$H$1)=0,"",INDEX(I2800:Z2800,$H$1))</f>
        <v>Electricity Consumption or Generation  (Input Unit of Measure)</v>
      </c>
      <c r="I2800" s="237" t="s">
        <v>3183</v>
      </c>
      <c r="J2800" s="237" t="s">
        <v>3183</v>
      </c>
      <c r="K2800" s="237" t="s">
        <v>3183</v>
      </c>
    </row>
    <row r="2801" spans="1:11" x14ac:dyDescent="0.35">
      <c r="A2801" s="10" t="s">
        <v>1184</v>
      </c>
      <c r="B2801" s="255">
        <v>12</v>
      </c>
      <c r="C2801" s="10" t="s">
        <v>1184</v>
      </c>
      <c r="D2801" s="10">
        <v>2</v>
      </c>
      <c r="E2801" s="10">
        <v>1</v>
      </c>
      <c r="F2801" s="10" t="s">
        <v>687</v>
      </c>
      <c r="G2801" s="10" t="s">
        <v>696</v>
      </c>
      <c r="H2801" s="10" t="str" cm="1">
        <f t="array" aca="1" ref="H2801" ca="1">IF(INDEX(I2801:Z2801,$H$1)=0,"",INDEX(I2801:Z2801,$H$1))</f>
        <v>Electricity Consumption or Generation (Conversion Factors)</v>
      </c>
      <c r="I2801" s="237" t="s">
        <v>3187</v>
      </c>
      <c r="J2801" s="237" t="s">
        <v>3187</v>
      </c>
      <c r="K2801" s="237" t="s">
        <v>3187</v>
      </c>
    </row>
    <row r="2802" spans="1:11" x14ac:dyDescent="0.35">
      <c r="A2802" s="10" t="s">
        <v>1184</v>
      </c>
      <c r="B2802" s="255">
        <v>12</v>
      </c>
      <c r="C2802" s="10" t="s">
        <v>1184</v>
      </c>
      <c r="D2802" s="10">
        <v>2</v>
      </c>
      <c r="E2802" s="10">
        <v>1</v>
      </c>
      <c r="F2802" s="10" t="s">
        <v>687</v>
      </c>
      <c r="G2802" s="10" t="s">
        <v>696</v>
      </c>
      <c r="H2802" s="10" t="str" cm="1">
        <f t="array" aca="1" ref="H2802" ca="1">IF(INDEX(I2802:Z2802,$H$1)=0,"",INDEX(I2802:Z2802,$H$1))</f>
        <v>- Electricity Consumption or Generation: kW</v>
      </c>
      <c r="I2802" s="297" t="s">
        <v>3270</v>
      </c>
      <c r="J2802" s="297" t="s">
        <v>3270</v>
      </c>
      <c r="K2802" s="297" t="s">
        <v>3270</v>
      </c>
    </row>
    <row r="2803" spans="1:11" x14ac:dyDescent="0.35">
      <c r="A2803" s="10" t="s">
        <v>1184</v>
      </c>
      <c r="B2803" s="255">
        <v>12</v>
      </c>
      <c r="C2803" s="10" t="s">
        <v>1184</v>
      </c>
      <c r="D2803" s="10">
        <v>2</v>
      </c>
      <c r="E2803" s="10">
        <v>1</v>
      </c>
      <c r="F2803" s="10" t="s">
        <v>687</v>
      </c>
      <c r="G2803" s="10" t="s">
        <v>696</v>
      </c>
      <c r="H2803" s="10" t="str" cm="1">
        <f t="array" aca="1" ref="H2803" ca="1">IF(INDEX(I2803:Z2803,$H$1)=0,"",INDEX(I2803:Z2803,$H$1))</f>
        <v>Units of Measure Lookup Table for Heater &amp; Boiler Output Power Rating</v>
      </c>
      <c r="I2803" s="519" t="s">
        <v>3037</v>
      </c>
      <c r="J2803" s="519" t="s">
        <v>3037</v>
      </c>
      <c r="K2803" s="519" t="s">
        <v>3037</v>
      </c>
    </row>
    <row r="2804" spans="1:11" x14ac:dyDescent="0.35">
      <c r="A2804" s="10" t="s">
        <v>1184</v>
      </c>
      <c r="B2804" s="255">
        <v>12</v>
      </c>
      <c r="C2804" s="10" t="s">
        <v>1184</v>
      </c>
      <c r="D2804" s="10">
        <v>2</v>
      </c>
      <c r="E2804" s="10">
        <v>1</v>
      </c>
      <c r="F2804" s="10" t="s">
        <v>687</v>
      </c>
      <c r="G2804" s="10" t="s">
        <v>696</v>
      </c>
      <c r="H2804" s="10" t="str" cm="1">
        <f t="array" aca="1" ref="H2804" ca="1">IF(INDEX(I2804:Z2804,$H$1)=0,"",INDEX(I2804:Z2804,$H$1))</f>
        <v>Heater &amp; Boiler Output Power Rating  (Input Unit of Measure)</v>
      </c>
      <c r="I2804" s="237" t="s">
        <v>3184</v>
      </c>
      <c r="J2804" s="237" t="s">
        <v>3184</v>
      </c>
      <c r="K2804" s="237" t="s">
        <v>3184</v>
      </c>
    </row>
    <row r="2805" spans="1:11" x14ac:dyDescent="0.35">
      <c r="A2805" s="10" t="s">
        <v>1184</v>
      </c>
      <c r="B2805" s="255">
        <v>12</v>
      </c>
      <c r="C2805" s="10" t="s">
        <v>1184</v>
      </c>
      <c r="D2805" s="10">
        <v>2</v>
      </c>
      <c r="E2805" s="10">
        <v>1</v>
      </c>
      <c r="F2805" s="10" t="s">
        <v>687</v>
      </c>
      <c r="G2805" s="10" t="s">
        <v>696</v>
      </c>
      <c r="H2805" s="10" t="str" cm="1">
        <f t="array" aca="1" ref="H2805" ca="1">IF(INDEX(I2805:Z2805,$H$1)=0,"",INDEX(I2805:Z2805,$H$1))</f>
        <v>Heater &amp; Boiler Output Power Rating (Conversion Factors)</v>
      </c>
      <c r="I2805" s="237" t="s">
        <v>3186</v>
      </c>
      <c r="J2805" s="237" t="s">
        <v>3186</v>
      </c>
      <c r="K2805" s="237" t="s">
        <v>3186</v>
      </c>
    </row>
    <row r="2806" spans="1:11" x14ac:dyDescent="0.35">
      <c r="A2806" s="10" t="s">
        <v>1184</v>
      </c>
      <c r="B2806" s="255">
        <v>12</v>
      </c>
      <c r="C2806" s="10" t="s">
        <v>1184</v>
      </c>
      <c r="D2806" s="10">
        <v>2</v>
      </c>
      <c r="E2806" s="10">
        <v>1</v>
      </c>
      <c r="F2806" s="10" t="s">
        <v>687</v>
      </c>
      <c r="G2806" s="10" t="s">
        <v>696</v>
      </c>
      <c r="H2806" s="10" t="str" cm="1">
        <f t="array" aca="1" ref="H2806" ca="1">IF(INDEX(I2806:Z2806,$H$1)=0,"",INDEX(I2806:Z2806,$H$1))</f>
        <v>- Heater or Boiler Output Power Rating: kW</v>
      </c>
      <c r="I2806" s="297" t="s">
        <v>3038</v>
      </c>
      <c r="J2806" s="297" t="s">
        <v>3038</v>
      </c>
      <c r="K2806" s="297" t="s">
        <v>3038</v>
      </c>
    </row>
    <row r="2807" spans="1:11" x14ac:dyDescent="0.35">
      <c r="A2807" s="10" t="s">
        <v>1184</v>
      </c>
      <c r="B2807" s="255">
        <v>12</v>
      </c>
      <c r="C2807" s="10" t="s">
        <v>1184</v>
      </c>
      <c r="D2807" s="10">
        <v>2</v>
      </c>
      <c r="E2807" s="10">
        <v>1</v>
      </c>
      <c r="F2807" s="10" t="s">
        <v>687</v>
      </c>
      <c r="G2807" s="10" t="s">
        <v>696</v>
      </c>
      <c r="H2807" s="10" t="str" cm="1">
        <f t="array" aca="1" ref="H2807" ca="1">IF(INDEX(I2807:Z2807,$H$1)=0,"",INDEX(I2807:Z2807,$H$1))</f>
        <v>Units of Measure Lookup Table for Engine Output Power Rating</v>
      </c>
      <c r="I2807" s="519" t="s">
        <v>3039</v>
      </c>
      <c r="J2807" s="519" t="s">
        <v>3039</v>
      </c>
      <c r="K2807" s="519" t="s">
        <v>3039</v>
      </c>
    </row>
    <row r="2808" spans="1:11" x14ac:dyDescent="0.35">
      <c r="A2808" s="10" t="s">
        <v>1184</v>
      </c>
      <c r="B2808" s="255">
        <v>12</v>
      </c>
      <c r="C2808" s="10" t="s">
        <v>1184</v>
      </c>
      <c r="D2808" s="10">
        <v>2</v>
      </c>
      <c r="E2808" s="10">
        <v>1</v>
      </c>
      <c r="F2808" s="10" t="s">
        <v>687</v>
      </c>
      <c r="G2808" s="10" t="s">
        <v>696</v>
      </c>
      <c r="H2808" s="10" t="str" cm="1">
        <f t="array" aca="1" ref="H2808" ca="1">IF(INDEX(I2808:Z2808,$H$1)=0,"",INDEX(I2808:Z2808,$H$1))</f>
        <v>Engine Output Power Rating  (Input Unit of Measure)</v>
      </c>
      <c r="I2808" s="237" t="s">
        <v>3201</v>
      </c>
      <c r="J2808" s="237" t="s">
        <v>3201</v>
      </c>
      <c r="K2808" s="237" t="s">
        <v>3201</v>
      </c>
    </row>
    <row r="2809" spans="1:11" x14ac:dyDescent="0.35">
      <c r="A2809" s="10" t="s">
        <v>1184</v>
      </c>
      <c r="B2809" s="255">
        <v>12</v>
      </c>
      <c r="C2809" s="10" t="s">
        <v>1184</v>
      </c>
      <c r="D2809" s="10">
        <v>2</v>
      </c>
      <c r="E2809" s="10">
        <v>1</v>
      </c>
      <c r="F2809" s="10" t="s">
        <v>687</v>
      </c>
      <c r="G2809" s="10" t="s">
        <v>696</v>
      </c>
      <c r="H2809" s="10" t="str" cm="1">
        <f t="array" aca="1" ref="H2809" ca="1">IF(INDEX(I2809:Z2809,$H$1)=0,"",INDEX(I2809:Z2809,$H$1))</f>
        <v>Heater &amp; Boiler Output Power Rating (Conversion Factors)</v>
      </c>
      <c r="I2809" s="237" t="s">
        <v>3186</v>
      </c>
      <c r="J2809" s="237" t="s">
        <v>3186</v>
      </c>
      <c r="K2809" s="237" t="s">
        <v>3186</v>
      </c>
    </row>
    <row r="2810" spans="1:11" x14ac:dyDescent="0.35">
      <c r="A2810" s="10" t="s">
        <v>1184</v>
      </c>
      <c r="B2810" s="255">
        <v>12</v>
      </c>
      <c r="C2810" s="10" t="s">
        <v>1184</v>
      </c>
      <c r="D2810" s="10">
        <v>2</v>
      </c>
      <c r="E2810" s="10">
        <v>1</v>
      </c>
      <c r="F2810" s="10" t="s">
        <v>687</v>
      </c>
      <c r="G2810" s="10" t="s">
        <v>696</v>
      </c>
      <c r="H2810" s="10" t="str" cm="1">
        <f t="array" aca="1" ref="H2810" ca="1">IF(INDEX(I2810:Z2810,$H$1)=0,"",INDEX(I2810:Z2810,$H$1))</f>
        <v>- Engine Output Power Rating: kW</v>
      </c>
      <c r="I2810" s="297" t="s">
        <v>3040</v>
      </c>
      <c r="J2810" s="297" t="s">
        <v>3040</v>
      </c>
      <c r="K2810" s="297" t="s">
        <v>3040</v>
      </c>
    </row>
    <row r="2811" spans="1:11" x14ac:dyDescent="0.35">
      <c r="A2811" s="10" t="s">
        <v>1184</v>
      </c>
      <c r="B2811" s="255">
        <v>12</v>
      </c>
      <c r="C2811" s="10" t="s">
        <v>1184</v>
      </c>
      <c r="D2811" s="10">
        <v>2</v>
      </c>
      <c r="E2811" s="10">
        <v>1</v>
      </c>
      <c r="F2811" s="10" t="s">
        <v>687</v>
      </c>
      <c r="G2811" s="10" t="s">
        <v>696</v>
      </c>
      <c r="H2811" s="10" t="str" cm="1">
        <f t="array" aca="1" ref="H2811" ca="1">IF(INDEX(I2811:Z2811,$H$1)=0,"",INDEX(I2811:Z2811,$H$1))</f>
        <v>Emitted Substance Types</v>
      </c>
      <c r="I2811" s="519" t="s">
        <v>3090</v>
      </c>
      <c r="J2811" s="519" t="s">
        <v>3090</v>
      </c>
      <c r="K2811" s="519" t="s">
        <v>3090</v>
      </c>
    </row>
    <row r="2812" spans="1:11" x14ac:dyDescent="0.35">
      <c r="A2812" s="10" t="s">
        <v>1184</v>
      </c>
      <c r="B2812" s="255">
        <v>12</v>
      </c>
      <c r="C2812" s="10" t="s">
        <v>1184</v>
      </c>
      <c r="D2812" s="10">
        <v>2</v>
      </c>
      <c r="E2812" s="10">
        <v>1</v>
      </c>
      <c r="F2812" s="10" t="s">
        <v>687</v>
      </c>
      <c r="G2812" s="10" t="s">
        <v>696</v>
      </c>
      <c r="H2812" s="10" t="str" cm="1">
        <f t="array" aca="1" ref="H2812" ca="1">IF(INDEX(I2812:Z2812,$H$1)=0,"",INDEX(I2812:Z2812,$H$1))</f>
        <v>Emitted Substance</v>
      </c>
      <c r="I2812" s="237" t="s">
        <v>3089</v>
      </c>
      <c r="J2812" s="237" t="s">
        <v>3089</v>
      </c>
      <c r="K2812" s="237" t="s">
        <v>3089</v>
      </c>
    </row>
    <row r="2813" spans="1:11" x14ac:dyDescent="0.35">
      <c r="A2813" s="10" t="s">
        <v>1184</v>
      </c>
      <c r="B2813" s="255">
        <v>12</v>
      </c>
      <c r="C2813" s="10" t="s">
        <v>1184</v>
      </c>
      <c r="D2813" s="10">
        <v>2</v>
      </c>
      <c r="E2813" s="10">
        <v>1</v>
      </c>
      <c r="F2813" s="10" t="s">
        <v>687</v>
      </c>
      <c r="G2813" s="10" t="s">
        <v>696</v>
      </c>
      <c r="H2813" s="10" t="str" cm="1">
        <f t="array" aca="1" ref="H2813" ca="1">IF(INDEX(I2813:Z2813,$H$1)=0,"",INDEX(I2813:Z2813,$H$1))</f>
        <v>Country Flags</v>
      </c>
      <c r="I2813" s="237" t="s">
        <v>2241</v>
      </c>
      <c r="J2813" s="237" t="s">
        <v>2241</v>
      </c>
      <c r="K2813" s="237" t="s">
        <v>2241</v>
      </c>
    </row>
    <row r="2814" spans="1:11" x14ac:dyDescent="0.35">
      <c r="A2814" s="10" t="s">
        <v>1184</v>
      </c>
      <c r="B2814" s="255">
        <v>12</v>
      </c>
      <c r="C2814" s="10" t="s">
        <v>326</v>
      </c>
      <c r="D2814" s="10">
        <v>4</v>
      </c>
      <c r="E2814" s="10">
        <f>ROW('Lookup Tables'!B338)</f>
        <v>338</v>
      </c>
      <c r="F2814" s="10" t="s">
        <v>690</v>
      </c>
      <c r="G2814" s="10" t="s">
        <v>688</v>
      </c>
      <c r="H2814" s="10" t="str" cm="1">
        <f t="array" aca="1" ref="H2814" ca="1">IF(INDEX(I2814:Z2814,$H$1)=0,"",INDEX(I2814:Z2814,$H$1))</f>
        <v>Error Messages</v>
      </c>
      <c r="I2814" s="14" t="s">
        <v>326</v>
      </c>
      <c r="J2814" s="14" t="s">
        <v>745</v>
      </c>
      <c r="K2814" s="27" t="s">
        <v>1821</v>
      </c>
    </row>
    <row r="2815" spans="1:11" x14ac:dyDescent="0.35">
      <c r="A2815" s="10" t="s">
        <v>1184</v>
      </c>
      <c r="B2815" s="255">
        <v>12</v>
      </c>
      <c r="C2815" s="10" t="s">
        <v>326</v>
      </c>
      <c r="D2815" s="10">
        <v>4</v>
      </c>
      <c r="E2815" s="10">
        <f>ROW('Lookup Tables'!B340)</f>
        <v>340</v>
      </c>
      <c r="F2815" s="10" t="s">
        <v>690</v>
      </c>
      <c r="G2815" s="10" t="s">
        <v>696</v>
      </c>
      <c r="H2815" s="10" t="str" cm="1">
        <f t="array" aca="1" ref="H2815" ca="1">IF(INDEX(I2815:Z2815,$H$1)=0,"",INDEX(I2815:Z2815,$H$1))</f>
        <v>Error Code</v>
      </c>
      <c r="I2815" s="2" t="s">
        <v>652</v>
      </c>
      <c r="J2815" s="2" t="s">
        <v>1302</v>
      </c>
      <c r="K2815" s="27" t="s">
        <v>1822</v>
      </c>
    </row>
    <row r="2816" spans="1:11" x14ac:dyDescent="0.35">
      <c r="A2816" s="10" t="s">
        <v>1184</v>
      </c>
      <c r="B2816" s="255">
        <v>12</v>
      </c>
      <c r="C2816" s="10" t="s">
        <v>326</v>
      </c>
      <c r="D2816" s="10">
        <v>4</v>
      </c>
      <c r="E2816" s="10">
        <f>E2815</f>
        <v>340</v>
      </c>
      <c r="F2816" s="10" t="s">
        <v>38</v>
      </c>
      <c r="G2816" s="10" t="s">
        <v>696</v>
      </c>
      <c r="H2816" s="10" t="str" cm="1">
        <f t="array" aca="1" ref="H2816" ca="1">IF(INDEX(I2816:Z2816,$H$1)=0,"",INDEX(I2816:Z2816,$H$1))</f>
        <v>Error Message (Active)</v>
      </c>
      <c r="I2816" s="2" t="s">
        <v>1032</v>
      </c>
      <c r="J2816" s="2" t="s">
        <v>1303</v>
      </c>
      <c r="K2816" s="27" t="s">
        <v>1823</v>
      </c>
    </row>
    <row r="2817" spans="1:11" x14ac:dyDescent="0.35">
      <c r="A2817" s="10" t="s">
        <v>1184</v>
      </c>
      <c r="B2817" s="255">
        <v>12</v>
      </c>
      <c r="C2817" s="10" t="s">
        <v>326</v>
      </c>
      <c r="D2817" s="10">
        <v>4</v>
      </c>
      <c r="E2817" s="10">
        <f>E2815</f>
        <v>340</v>
      </c>
      <c r="F2817" s="10" t="s">
        <v>692</v>
      </c>
      <c r="G2817" s="10" t="s">
        <v>696</v>
      </c>
      <c r="H2817" s="10" t="str" cm="1">
        <f t="array" aca="1" ref="H2817" ca="1">IF(INDEX(I2817:Z2817,$H$1)=0,"",INDEX(I2817:Z2817,$H$1))</f>
        <v>Error Message</v>
      </c>
      <c r="I2817" s="2" t="s">
        <v>653</v>
      </c>
      <c r="J2817" s="2" t="s">
        <v>1333</v>
      </c>
      <c r="K2817" s="27" t="s">
        <v>1824</v>
      </c>
    </row>
    <row r="2818" spans="1:11" x14ac:dyDescent="0.35">
      <c r="A2818" s="10" t="s">
        <v>1184</v>
      </c>
      <c r="B2818" s="255">
        <v>12</v>
      </c>
      <c r="C2818" s="10" t="s">
        <v>326</v>
      </c>
      <c r="D2818" s="10">
        <v>4</v>
      </c>
      <c r="E2818" s="10">
        <v>76</v>
      </c>
      <c r="F2818" s="10" t="s">
        <v>692</v>
      </c>
      <c r="G2818" s="10" t="s">
        <v>767</v>
      </c>
      <c r="H2818" s="10" t="str" cm="1">
        <f t="array" aca="1" ref="H2818" ca="1">IF(INDEX(I2818:Z2818,$H$1)=0,"",INDEX(I2818:Z2818,$H$1))</f>
        <v>Error: This field must be completed.</v>
      </c>
      <c r="I2818" s="2" t="s">
        <v>654</v>
      </c>
      <c r="J2818" s="2" t="s">
        <v>1334</v>
      </c>
      <c r="K2818" s="29" t="s">
        <v>1825</v>
      </c>
    </row>
    <row r="2819" spans="1:11" x14ac:dyDescent="0.35">
      <c r="A2819" s="10" t="s">
        <v>1184</v>
      </c>
      <c r="B2819" s="255">
        <v>12</v>
      </c>
      <c r="C2819" s="10" t="s">
        <v>326</v>
      </c>
      <c r="D2819" s="10">
        <v>4</v>
      </c>
      <c r="E2819" s="10">
        <v>77</v>
      </c>
      <c r="F2819" s="10" t="s">
        <v>692</v>
      </c>
      <c r="G2819" s="10" t="s">
        <v>767</v>
      </c>
      <c r="H2819" s="10" t="str" cm="1">
        <f t="array" aca="1" ref="H2819" ca="1">IF(INDEX(I2819:Z2819,$H$1)=0,"",INDEX(I2819:Z2819,$H$1))</f>
        <v>Error: The source of the input value needs to be set in Column G.</v>
      </c>
      <c r="I2819" s="2" t="s">
        <v>3298</v>
      </c>
      <c r="J2819" s="2" t="s">
        <v>2324</v>
      </c>
      <c r="K2819" s="27" t="s">
        <v>2325</v>
      </c>
    </row>
    <row r="2820" spans="1:11" x14ac:dyDescent="0.35">
      <c r="A2820" s="10" t="s">
        <v>1184</v>
      </c>
      <c r="B2820" s="255">
        <v>12</v>
      </c>
      <c r="C2820" s="10" t="s">
        <v>326</v>
      </c>
      <c r="D2820" s="10">
        <v>4</v>
      </c>
      <c r="E2820" s="10">
        <v>78</v>
      </c>
      <c r="F2820" s="10" t="s">
        <v>692</v>
      </c>
      <c r="G2820" s="10" t="s">
        <v>767</v>
      </c>
      <c r="H2820" s="10" t="str" cm="1">
        <f t="array" aca="1" ref="H2820" ca="1">IF(INDEX(I2820:Z2820,$H$1)=0,"",INDEX(I2820:Z2820,$H$1))</f>
        <v>Error: Either the Type or Source-of-Value field needs to be completed.</v>
      </c>
      <c r="I2820" s="2" t="s">
        <v>3299</v>
      </c>
      <c r="J2820" s="2" t="s">
        <v>1335</v>
      </c>
      <c r="K2820" s="27" t="s">
        <v>1826</v>
      </c>
    </row>
    <row r="2821" spans="1:11" x14ac:dyDescent="0.35">
      <c r="A2821" s="10" t="s">
        <v>1184</v>
      </c>
      <c r="B2821" s="255">
        <v>12</v>
      </c>
      <c r="C2821" s="10" t="s">
        <v>326</v>
      </c>
      <c r="D2821" s="10">
        <v>4</v>
      </c>
      <c r="E2821" s="10">
        <v>79</v>
      </c>
      <c r="F2821" s="10" t="s">
        <v>692</v>
      </c>
      <c r="G2821" s="10" t="s">
        <v>767</v>
      </c>
      <c r="H2821" s="10" t="str" cm="1">
        <f t="array" aca="1" ref="H2821" ca="1">IF(INDEX(I2821:Z2821,$H$1)=0,"",INDEX(I2821:Z2821,$H$1))</f>
        <v>Error: Invalid or undefined process type for the specified industry segment.</v>
      </c>
      <c r="I2821" s="2" t="s">
        <v>3300</v>
      </c>
      <c r="J2821" s="2" t="s">
        <v>1336</v>
      </c>
      <c r="K2821" s="27" t="s">
        <v>1827</v>
      </c>
    </row>
    <row r="2822" spans="1:11" x14ac:dyDescent="0.35">
      <c r="A2822" s="10" t="s">
        <v>1184</v>
      </c>
      <c r="B2822" s="255">
        <v>12</v>
      </c>
      <c r="C2822" s="10" t="s">
        <v>326</v>
      </c>
      <c r="D2822" s="10">
        <v>4</v>
      </c>
      <c r="E2822" s="10">
        <v>80</v>
      </c>
      <c r="F2822" s="10" t="s">
        <v>692</v>
      </c>
      <c r="G2822" s="10" t="s">
        <v>767</v>
      </c>
      <c r="H2822" s="10" t="str" cm="1">
        <f t="array" aca="1" ref="H2822" ca="1">IF(INDEX(I2822:Z2822,$H$1)=0,"",INDEX(I2822:Z2822,$H$1))</f>
        <v>Error: The sum of the entered values must not exceed 100%.</v>
      </c>
      <c r="I2822" s="2" t="s">
        <v>3301</v>
      </c>
      <c r="J2822" s="2" t="s">
        <v>1337</v>
      </c>
      <c r="K2822" s="27" t="s">
        <v>1828</v>
      </c>
    </row>
    <row r="2823" spans="1:11" x14ac:dyDescent="0.35">
      <c r="A2823" s="10" t="s">
        <v>1184</v>
      </c>
      <c r="B2823" s="255">
        <v>12</v>
      </c>
      <c r="C2823" s="10" t="s">
        <v>326</v>
      </c>
      <c r="D2823" s="10">
        <v>4</v>
      </c>
      <c r="E2823" s="10">
        <v>81</v>
      </c>
      <c r="F2823" s="10" t="s">
        <v>692</v>
      </c>
      <c r="G2823" s="10" t="s">
        <v>767</v>
      </c>
      <c r="H2823" s="10" t="str" cm="1">
        <f t="array" aca="1" ref="H2823" ca="1">IF(INDEX(I2823:Z2823,$H$1)=0,"",INDEX(I2823:Z2823,$H$1))</f>
        <v>Error: The source of the composition values needs to be set.</v>
      </c>
      <c r="I2823" s="2" t="s">
        <v>3302</v>
      </c>
      <c r="J2823" s="2" t="s">
        <v>1338</v>
      </c>
      <c r="K2823" s="27" t="s">
        <v>1829</v>
      </c>
    </row>
    <row r="2824" spans="1:11" x14ac:dyDescent="0.35">
      <c r="A2824" s="10" t="s">
        <v>1184</v>
      </c>
      <c r="B2824" s="255">
        <v>12</v>
      </c>
      <c r="C2824" s="10" t="s">
        <v>326</v>
      </c>
      <c r="D2824" s="10">
        <v>4</v>
      </c>
      <c r="E2824" s="10">
        <v>81</v>
      </c>
      <c r="F2824" s="10" t="s">
        <v>692</v>
      </c>
      <c r="G2824" s="10" t="s">
        <v>767</v>
      </c>
      <c r="H2824" s="10" t="str" cm="1">
        <f t="array" aca="1" ref="H2824" ca="1">IF(INDEX(I2824:Z2824,$H$1)=0,"",INDEX(I2824:Z2824,$H$1))</f>
        <v>Error: The emission calculation for this source category contains an error.</v>
      </c>
      <c r="I2824" s="2" t="s">
        <v>3212</v>
      </c>
      <c r="J2824" s="2" t="s">
        <v>3212</v>
      </c>
      <c r="K2824" s="2" t="s">
        <v>3212</v>
      </c>
    </row>
    <row r="2825" spans="1:11" x14ac:dyDescent="0.35">
      <c r="A2825" s="10" t="s">
        <v>1184</v>
      </c>
      <c r="B2825" s="255">
        <v>12</v>
      </c>
      <c r="C2825" s="10" t="s">
        <v>326</v>
      </c>
      <c r="D2825" s="10">
        <v>4</v>
      </c>
      <c r="E2825" s="10">
        <v>81</v>
      </c>
      <c r="F2825" s="10" t="s">
        <v>692</v>
      </c>
      <c r="G2825" s="10" t="s">
        <v>767</v>
      </c>
      <c r="H2825" s="10" t="str" cm="1">
        <f t="array" aca="1" ref="H2825" ca="1">IF(INDEX(I2825:Z2825,$H$1)=0,"",INDEX(I2825:Z2825,$H$1))</f>
        <v>Error: The quantity of the specified source needs to be declared (Field B).</v>
      </c>
      <c r="I2825" s="2" t="s">
        <v>3275</v>
      </c>
      <c r="J2825" s="2" t="s">
        <v>3275</v>
      </c>
      <c r="K2825" s="2" t="s">
        <v>3275</v>
      </c>
    </row>
    <row r="2826" spans="1:11" x14ac:dyDescent="0.35">
      <c r="A2826" s="10" t="s">
        <v>1184</v>
      </c>
      <c r="B2826" s="255">
        <v>12</v>
      </c>
      <c r="C2826" s="10" t="s">
        <v>326</v>
      </c>
      <c r="D2826" s="10">
        <v>4</v>
      </c>
      <c r="E2826" s="10">
        <v>81</v>
      </c>
      <c r="F2826" s="10" t="s">
        <v>692</v>
      </c>
      <c r="G2826" s="10" t="s">
        <v>767</v>
      </c>
      <c r="H2826" s="10" t="str" cm="1">
        <f t="array" aca="1" ref="H2826" ca="1">IF(INDEX(I2826:Z2826,$H$1)=0,"",INDEX(I2826:Z2826,$H$1))</f>
        <v>Error: A fuel type has been declared in Field D. The fuel subtype also needs to be declared in Field E.</v>
      </c>
      <c r="I2826" s="2" t="s">
        <v>3276</v>
      </c>
      <c r="J2826" s="2" t="s">
        <v>3276</v>
      </c>
      <c r="K2826" s="2" t="s">
        <v>3276</v>
      </c>
    </row>
    <row r="2827" spans="1:11" x14ac:dyDescent="0.35">
      <c r="A2827" s="10" t="s">
        <v>1184</v>
      </c>
      <c r="B2827" s="255">
        <v>12</v>
      </c>
      <c r="C2827" s="10" t="s">
        <v>326</v>
      </c>
      <c r="D2827" s="10">
        <v>4</v>
      </c>
      <c r="E2827" s="10">
        <v>81</v>
      </c>
      <c r="F2827" s="10" t="s">
        <v>692</v>
      </c>
      <c r="G2827" s="10" t="s">
        <v>767</v>
      </c>
      <c r="H2827" s="10" t="str" cm="1">
        <f t="array" aca="1" ref="H2827" ca="1">IF(INDEX(I2827:Z2827,$H$1)=0,"",INDEX(I2827:Z2827,$H$1))</f>
        <v>Error: The units of measure (Field I) need to be set.</v>
      </c>
      <c r="I2827" s="2" t="s">
        <v>3303</v>
      </c>
      <c r="J2827" s="2" t="s">
        <v>3303</v>
      </c>
      <c r="K2827" s="2" t="s">
        <v>3303</v>
      </c>
    </row>
    <row r="2828" spans="1:11" x14ac:dyDescent="0.35">
      <c r="A2828" s="10" t="s">
        <v>1184</v>
      </c>
      <c r="B2828" s="255">
        <v>12</v>
      </c>
      <c r="C2828" s="10" t="s">
        <v>326</v>
      </c>
      <c r="D2828" s="10">
        <v>4</v>
      </c>
      <c r="E2828" s="10">
        <v>81</v>
      </c>
      <c r="F2828" s="10" t="s">
        <v>692</v>
      </c>
      <c r="G2828" s="10" t="s">
        <v>767</v>
      </c>
      <c r="H2828" s="10" t="str" cm="1">
        <f t="array" aca="1" ref="H2828" ca="1">IF(INDEX(I2828:Z2828,$H$1)=0,"",INDEX(I2828:Z2828,$H$1))</f>
        <v>Error: The units of measure (Field J) need to be set.</v>
      </c>
      <c r="I2828" s="2" t="s">
        <v>3304</v>
      </c>
      <c r="J2828" s="2" t="s">
        <v>3304</v>
      </c>
      <c r="K2828" s="2" t="s">
        <v>3304</v>
      </c>
    </row>
    <row r="2829" spans="1:11" x14ac:dyDescent="0.35">
      <c r="A2829" s="10" t="s">
        <v>1184</v>
      </c>
      <c r="B2829" s="255">
        <v>12</v>
      </c>
      <c r="C2829" s="10" t="s">
        <v>326</v>
      </c>
      <c r="D2829" s="10">
        <v>4</v>
      </c>
      <c r="E2829" s="10">
        <v>81</v>
      </c>
      <c r="F2829" s="10" t="s">
        <v>692</v>
      </c>
      <c r="G2829" s="10" t="s">
        <v>767</v>
      </c>
      <c r="H2829" s="10" t="str" cm="1">
        <f t="array" aca="1" ref="H2829" ca="1">IF(INDEX(I2829:Z2829,$H$1)=0,"",INDEX(I2829:Z2829,$H$1))</f>
        <v>Error: The fuel type needs to be set to 'Liquid'.</v>
      </c>
      <c r="I2829" s="2" t="s">
        <v>3305</v>
      </c>
      <c r="J2829" s="2" t="s">
        <v>3305</v>
      </c>
      <c r="K2829" s="2" t="s">
        <v>3305</v>
      </c>
    </row>
    <row r="2830" spans="1:11" x14ac:dyDescent="0.35">
      <c r="A2830" s="10" t="s">
        <v>1184</v>
      </c>
      <c r="B2830" s="255">
        <v>12</v>
      </c>
      <c r="C2830" s="10" t="s">
        <v>326</v>
      </c>
      <c r="D2830" s="10">
        <v>4</v>
      </c>
      <c r="E2830" s="10">
        <v>81</v>
      </c>
      <c r="F2830" s="10" t="s">
        <v>692</v>
      </c>
      <c r="G2830" s="10" t="s">
        <v>767</v>
      </c>
      <c r="H2830" s="10" t="str" cm="1">
        <f t="array" aca="1" ref="H2830" ca="1">IF(INDEX(I2830:Z2830,$H$1)=0,"",INDEX(I2830:Z2830,$H$1))</f>
        <v>Error: The fuel type needs to be set to 'Gaseous'.</v>
      </c>
      <c r="I2830" s="2" t="s">
        <v>3306</v>
      </c>
      <c r="J2830" s="2" t="s">
        <v>3306</v>
      </c>
      <c r="K2830" s="2" t="s">
        <v>3306</v>
      </c>
    </row>
    <row r="2831" spans="1:11" x14ac:dyDescent="0.35">
      <c r="A2831" s="10" t="s">
        <v>1184</v>
      </c>
      <c r="B2831" s="255">
        <v>12</v>
      </c>
      <c r="C2831" s="10" t="s">
        <v>326</v>
      </c>
      <c r="D2831" s="10">
        <v>4</v>
      </c>
      <c r="E2831" s="10">
        <v>81</v>
      </c>
      <c r="F2831" s="10" t="s">
        <v>692</v>
      </c>
      <c r="G2831" s="10" t="s">
        <v>767</v>
      </c>
      <c r="H2831" s="10" t="str" cm="1">
        <f t="array" aca="1" ref="H2831" ca="1">IF(INDEX(I2831:Z2831,$H$1)=0,"",INDEX(I2831:Z2831,$H$1))</f>
        <v>Error: The units of measure (Field G) need to be set.</v>
      </c>
      <c r="I2831" s="2" t="s">
        <v>3297</v>
      </c>
      <c r="J2831" s="2" t="s">
        <v>3297</v>
      </c>
      <c r="K2831" s="2" t="s">
        <v>3297</v>
      </c>
    </row>
    <row r="2832" spans="1:11" x14ac:dyDescent="0.35">
      <c r="A2832" s="10" t="s">
        <v>1339</v>
      </c>
      <c r="B2832" s="255">
        <v>13</v>
      </c>
      <c r="C2832" s="10" t="s">
        <v>29</v>
      </c>
      <c r="D2832" s="10">
        <v>1</v>
      </c>
      <c r="E2832" s="10">
        <v>2</v>
      </c>
      <c r="F2832" s="10" t="s">
        <v>687</v>
      </c>
      <c r="G2832" s="10" t="s">
        <v>696</v>
      </c>
      <c r="H2832" s="10" t="str" cm="1">
        <f t="array" aca="1" ref="H2832" ca="1">IF(INDEX(I2832:Z2832,$H$1)=0,"",INDEX(I2832:Z2832,$H$1))</f>
        <v>List</v>
      </c>
      <c r="I2832" s="2" t="s">
        <v>29</v>
      </c>
      <c r="J2832" s="2" t="s">
        <v>1342</v>
      </c>
      <c r="K2832" s="27" t="s">
        <v>1830</v>
      </c>
    </row>
    <row r="2833" spans="1:11" x14ac:dyDescent="0.35">
      <c r="A2833" s="10" t="s">
        <v>1339</v>
      </c>
      <c r="B2833" s="255">
        <v>13</v>
      </c>
      <c r="C2833" s="10" t="s">
        <v>29</v>
      </c>
      <c r="D2833" s="10">
        <v>1</v>
      </c>
      <c r="E2833" s="10">
        <v>2</v>
      </c>
      <c r="F2833" s="10" t="s">
        <v>690</v>
      </c>
      <c r="G2833" s="10" t="s">
        <v>696</v>
      </c>
      <c r="H2833" s="10" t="str" cm="1">
        <f t="array" aca="1" ref="H2833" ca="1">IF(INDEX(I2833:Z2833,$H$1)=0,"",INDEX(I2833:Z2833,$H$1))</f>
        <v>Valid Options (Active)</v>
      </c>
      <c r="I2833" s="2" t="s">
        <v>1033</v>
      </c>
      <c r="J2833" s="2" t="s">
        <v>1343</v>
      </c>
      <c r="K2833" s="27" t="s">
        <v>1831</v>
      </c>
    </row>
    <row r="2834" spans="1:11" x14ac:dyDescent="0.35">
      <c r="A2834" s="10" t="s">
        <v>1339</v>
      </c>
      <c r="B2834" s="255">
        <v>13</v>
      </c>
      <c r="C2834" s="10" t="s">
        <v>29</v>
      </c>
      <c r="D2834" s="10">
        <v>1</v>
      </c>
      <c r="E2834" s="10">
        <f>E2832</f>
        <v>2</v>
      </c>
      <c r="F2834" s="10" t="s">
        <v>38</v>
      </c>
      <c r="G2834" s="10" t="s">
        <v>696</v>
      </c>
      <c r="H2834" s="10" t="str" cm="1">
        <f t="array" aca="1" ref="H2834" ca="1">IF(INDEX(I2834:Z2834,$H$1)=0,"",INDEX(I2834:Z2834,$H$1))</f>
        <v>Valid Options</v>
      </c>
      <c r="I2834" s="2" t="s">
        <v>1340</v>
      </c>
      <c r="J2834" s="2" t="s">
        <v>1341</v>
      </c>
      <c r="K2834" s="27" t="s">
        <v>1832</v>
      </c>
    </row>
    <row r="2835" spans="1:11" x14ac:dyDescent="0.35">
      <c r="A2835" s="10" t="s">
        <v>1339</v>
      </c>
      <c r="B2835" s="255">
        <v>13</v>
      </c>
      <c r="C2835" s="10" t="s">
        <v>29</v>
      </c>
      <c r="D2835" s="10">
        <v>1</v>
      </c>
      <c r="E2835" s="10">
        <v>3</v>
      </c>
      <c r="F2835" s="10" t="s">
        <v>687</v>
      </c>
      <c r="G2835" s="10" t="s">
        <v>695</v>
      </c>
      <c r="H2835" s="10" t="str" cm="1">
        <f t="array" aca="1" ref="H2835" ca="1">IF(INDEX(I2835:Z2835,$H$1)=0,"",INDEX(I2835:Z2835,$H$1))</f>
        <v>Industry Segment</v>
      </c>
      <c r="I2835" s="2" t="s">
        <v>30</v>
      </c>
      <c r="J2835" s="10" t="s">
        <v>697</v>
      </c>
      <c r="K2835" s="27" t="s">
        <v>1385</v>
      </c>
    </row>
    <row r="2836" spans="1:11" x14ac:dyDescent="0.35">
      <c r="A2836" s="10" t="s">
        <v>1339</v>
      </c>
      <c r="B2836" s="255">
        <v>13</v>
      </c>
      <c r="C2836" s="10" t="s">
        <v>29</v>
      </c>
      <c r="D2836" s="10">
        <v>1</v>
      </c>
      <c r="E2836" s="10">
        <v>4</v>
      </c>
      <c r="F2836" s="10" t="s">
        <v>38</v>
      </c>
      <c r="G2836" s="10" t="s">
        <v>767</v>
      </c>
      <c r="H2836" s="10" t="str" cm="1">
        <f t="array" aca="1" ref="H2836" ca="1">IF(INDEX(I2836:Z2836,$H$1)=0,"",INDEX(I2836:Z2836,$H$1))</f>
        <v>Offshore Oil Production</v>
      </c>
      <c r="I2836" s="2" t="s">
        <v>3309</v>
      </c>
      <c r="J2836" s="2" t="s">
        <v>3313</v>
      </c>
      <c r="K2836" s="27" t="s">
        <v>3317</v>
      </c>
    </row>
    <row r="2837" spans="1:11" x14ac:dyDescent="0.35">
      <c r="A2837" s="10" t="s">
        <v>1339</v>
      </c>
      <c r="B2837" s="255">
        <v>13</v>
      </c>
      <c r="C2837" s="10" t="s">
        <v>29</v>
      </c>
      <c r="D2837" s="10">
        <v>1</v>
      </c>
      <c r="E2837" s="10">
        <v>4</v>
      </c>
      <c r="F2837" s="10" t="s">
        <v>38</v>
      </c>
      <c r="G2837" s="10" t="s">
        <v>767</v>
      </c>
      <c r="H2837" s="10" t="str" cm="1">
        <f t="array" aca="1" ref="H2837" ca="1">IF(INDEX(I2837:Z2837,$H$1)=0,"",INDEX(I2837:Z2837,$H$1))</f>
        <v>Offshore Gas Production</v>
      </c>
      <c r="I2837" s="2" t="s">
        <v>3310</v>
      </c>
      <c r="J2837" s="2" t="s">
        <v>3314</v>
      </c>
      <c r="K2837" s="27" t="s">
        <v>3318</v>
      </c>
    </row>
    <row r="2838" spans="1:11" x14ac:dyDescent="0.35">
      <c r="A2838" s="10" t="s">
        <v>1339</v>
      </c>
      <c r="B2838" s="255">
        <v>13</v>
      </c>
      <c r="C2838" s="10" t="s">
        <v>29</v>
      </c>
      <c r="D2838" s="10">
        <v>1</v>
      </c>
      <c r="E2838" s="10">
        <v>4</v>
      </c>
      <c r="F2838" s="10" t="s">
        <v>38</v>
      </c>
      <c r="G2838" s="10" t="s">
        <v>767</v>
      </c>
      <c r="H2838" s="10" t="str" cm="1">
        <f t="array" aca="1" ref="H2838" ca="1">IF(INDEX(I2838:Z2838,$H$1)=0,"",INDEX(I2838:Z2838,$H$1))</f>
        <v>Onshore Oil Production</v>
      </c>
      <c r="I2838" s="2" t="s">
        <v>3311</v>
      </c>
      <c r="J2838" s="2" t="s">
        <v>3315</v>
      </c>
      <c r="K2838" s="27" t="s">
        <v>3319</v>
      </c>
    </row>
    <row r="2839" spans="1:11" x14ac:dyDescent="0.35">
      <c r="A2839" s="10" t="s">
        <v>1339</v>
      </c>
      <c r="B2839" s="255">
        <v>13</v>
      </c>
      <c r="C2839" s="10" t="s">
        <v>29</v>
      </c>
      <c r="D2839" s="10">
        <v>1</v>
      </c>
      <c r="E2839" s="10">
        <v>4</v>
      </c>
      <c r="F2839" s="10" t="s">
        <v>38</v>
      </c>
      <c r="G2839" s="10" t="s">
        <v>767</v>
      </c>
      <c r="H2839" s="10" t="str" cm="1">
        <f t="array" aca="1" ref="H2839" ca="1">IF(INDEX(I2839:Z2839,$H$1)=0,"",INDEX(I2839:Z2839,$H$1))</f>
        <v>Onshore Gas Production</v>
      </c>
      <c r="I2839" s="2" t="s">
        <v>3312</v>
      </c>
      <c r="J2839" s="2" t="s">
        <v>3316</v>
      </c>
      <c r="K2839" s="27" t="s">
        <v>3320</v>
      </c>
    </row>
    <row r="2840" spans="1:11" x14ac:dyDescent="0.35">
      <c r="A2840" s="10" t="s">
        <v>1339</v>
      </c>
      <c r="B2840" s="255">
        <v>13</v>
      </c>
      <c r="C2840" s="10" t="s">
        <v>29</v>
      </c>
      <c r="D2840" s="10">
        <v>1</v>
      </c>
      <c r="E2840" s="10">
        <v>5</v>
      </c>
      <c r="F2840" s="10" t="s">
        <v>38</v>
      </c>
      <c r="G2840" s="10" t="s">
        <v>767</v>
      </c>
      <c r="H2840" s="10" t="str" cm="1">
        <f t="array" aca="1" ref="H2840" ca="1">IF(INDEX(I2840:Z2840,$H$1)=0,"",INDEX(I2840:Z2840,$H$1))</f>
        <v>Gas Processing</v>
      </c>
      <c r="I2840" s="2" t="s">
        <v>31</v>
      </c>
      <c r="J2840" s="2" t="s">
        <v>1242</v>
      </c>
      <c r="K2840" s="27" t="s">
        <v>1817</v>
      </c>
    </row>
    <row r="2841" spans="1:11" x14ac:dyDescent="0.35">
      <c r="A2841" s="10" t="s">
        <v>1339</v>
      </c>
      <c r="B2841" s="255">
        <v>13</v>
      </c>
      <c r="C2841" s="10" t="s">
        <v>29</v>
      </c>
      <c r="D2841" s="10">
        <v>1</v>
      </c>
      <c r="E2841" s="10">
        <v>6</v>
      </c>
      <c r="F2841" s="10" t="s">
        <v>38</v>
      </c>
      <c r="G2841" s="10" t="s">
        <v>767</v>
      </c>
      <c r="H2841" s="10" t="str" cm="1">
        <f t="array" aca="1" ref="H2841" ca="1">IF(INDEX(I2841:Z2841,$H$1)=0,"",INDEX(I2841:Z2841,$H$1))</f>
        <v>Gas Transmission</v>
      </c>
      <c r="I2841" s="2" t="s">
        <v>32</v>
      </c>
      <c r="J2841" s="2" t="s">
        <v>1244</v>
      </c>
      <c r="K2841" s="27" t="s">
        <v>1818</v>
      </c>
    </row>
    <row r="2842" spans="1:11" x14ac:dyDescent="0.35">
      <c r="A2842" s="10" t="s">
        <v>1339</v>
      </c>
      <c r="B2842" s="255">
        <v>13</v>
      </c>
      <c r="C2842" s="10" t="s">
        <v>29</v>
      </c>
      <c r="D2842" s="10">
        <v>1</v>
      </c>
      <c r="E2842" s="10">
        <v>7</v>
      </c>
      <c r="F2842" s="10" t="s">
        <v>38</v>
      </c>
      <c r="G2842" s="10" t="s">
        <v>767</v>
      </c>
      <c r="H2842" s="10" t="str" cm="1">
        <f t="array" aca="1" ref="H2842" ca="1">IF(INDEX(I2842:Z2842,$H$1)=0,"",INDEX(I2842:Z2842,$H$1))</f>
        <v>Gas Storage</v>
      </c>
      <c r="I2842" s="2" t="s">
        <v>33</v>
      </c>
      <c r="J2842" s="2" t="s">
        <v>1243</v>
      </c>
      <c r="K2842" s="27" t="s">
        <v>1819</v>
      </c>
    </row>
    <row r="2843" spans="1:11" x14ac:dyDescent="0.35">
      <c r="A2843" s="10" t="s">
        <v>1339</v>
      </c>
      <c r="B2843" s="255">
        <v>13</v>
      </c>
      <c r="C2843" s="10" t="s">
        <v>29</v>
      </c>
      <c r="D2843" s="10">
        <v>1</v>
      </c>
      <c r="E2843" s="10">
        <v>8</v>
      </c>
      <c r="F2843" s="10" t="s">
        <v>38</v>
      </c>
      <c r="G2843" s="10" t="s">
        <v>767</v>
      </c>
      <c r="H2843" s="10" t="str" cm="1">
        <f t="array" aca="1" ref="H2843" ca="1">IF(INDEX(I2843:Z2843,$H$1)=0,"",INDEX(I2843:Z2843,$H$1))</f>
        <v>Gas Distribution</v>
      </c>
      <c r="I2843" s="2" t="s">
        <v>34</v>
      </c>
      <c r="J2843" s="2" t="s">
        <v>1240</v>
      </c>
      <c r="K2843" s="27" t="s">
        <v>1820</v>
      </c>
    </row>
    <row r="2844" spans="1:11" x14ac:dyDescent="0.35">
      <c r="A2844" s="10" t="s">
        <v>1339</v>
      </c>
      <c r="B2844" s="255">
        <v>13</v>
      </c>
      <c r="C2844" s="10" t="s">
        <v>29</v>
      </c>
      <c r="D2844" s="10">
        <v>1</v>
      </c>
      <c r="E2844" s="10">
        <v>8</v>
      </c>
      <c r="F2844" s="10" t="s">
        <v>38</v>
      </c>
      <c r="G2844" s="10" t="s">
        <v>767</v>
      </c>
      <c r="H2844" s="10" t="str" cm="1">
        <f t="array" aca="1" ref="H2844" ca="1">IF(INDEX(I2844:Z2844,$H$1)=0,"",INDEX(I2844:Z2844,$H$1))</f>
        <v>Petroleum Refining</v>
      </c>
      <c r="I2844" s="2" t="s">
        <v>3337</v>
      </c>
      <c r="J2844" s="2" t="s">
        <v>3338</v>
      </c>
      <c r="K2844" s="27" t="s">
        <v>3339</v>
      </c>
    </row>
    <row r="2845" spans="1:11" x14ac:dyDescent="0.35">
      <c r="A2845" s="10" t="s">
        <v>1339</v>
      </c>
      <c r="B2845" s="255">
        <v>13</v>
      </c>
      <c r="C2845" s="10" t="s">
        <v>29</v>
      </c>
      <c r="D2845" s="10">
        <v>1</v>
      </c>
      <c r="E2845" s="10">
        <v>9</v>
      </c>
      <c r="F2845" s="10" t="s">
        <v>687</v>
      </c>
      <c r="G2845" s="10" t="s">
        <v>695</v>
      </c>
      <c r="H2845" s="10" t="str" cm="1">
        <f t="array" aca="1" ref="H2845" ca="1">IF(INDEX(I2845:Z2845,$H$1)=0,"",INDEX(I2845:Z2845,$H$1))</f>
        <v>Dehydrator Types</v>
      </c>
      <c r="I2845" s="10" t="s">
        <v>47</v>
      </c>
      <c r="J2845" s="2" t="s">
        <v>1344</v>
      </c>
      <c r="K2845" s="27" t="s">
        <v>1833</v>
      </c>
    </row>
    <row r="2846" spans="1:11" x14ac:dyDescent="0.35">
      <c r="A2846" s="10" t="s">
        <v>1339</v>
      </c>
      <c r="B2846" s="255">
        <v>13</v>
      </c>
      <c r="C2846" s="10" t="s">
        <v>29</v>
      </c>
      <c r="D2846" s="10">
        <v>1</v>
      </c>
      <c r="E2846" s="10">
        <v>10</v>
      </c>
      <c r="F2846" s="10" t="s">
        <v>38</v>
      </c>
      <c r="G2846" s="10" t="s">
        <v>767</v>
      </c>
      <c r="H2846" s="10" t="str" cm="1">
        <f t="array" aca="1" ref="H2846" ca="1">IF(INDEX(I2846:Z2846,$H$1)=0,"",INDEX(I2846:Z2846,$H$1))</f>
        <v>Without Gas-Assisted Pump Emissions</v>
      </c>
      <c r="I2846" s="2" t="s">
        <v>385</v>
      </c>
      <c r="J2846" s="2" t="s">
        <v>1105</v>
      </c>
      <c r="K2846" s="27" t="s">
        <v>1693</v>
      </c>
    </row>
    <row r="2847" spans="1:11" x14ac:dyDescent="0.35">
      <c r="A2847" s="10" t="s">
        <v>1339</v>
      </c>
      <c r="B2847" s="255">
        <v>13</v>
      </c>
      <c r="C2847" s="10" t="s">
        <v>29</v>
      </c>
      <c r="D2847" s="10">
        <v>1</v>
      </c>
      <c r="E2847" s="10">
        <v>11</v>
      </c>
      <c r="F2847" s="10" t="s">
        <v>38</v>
      </c>
      <c r="G2847" s="10" t="s">
        <v>767</v>
      </c>
      <c r="H2847" s="10" t="str" cm="1">
        <f t="array" aca="1" ref="H2847" ca="1">IF(INDEX(I2847:Z2847,$H$1)=0,"",INDEX(I2847:Z2847,$H$1))</f>
        <v>With Gas-Assisted Pump Emissions</v>
      </c>
      <c r="I2847" s="2" t="s">
        <v>358</v>
      </c>
      <c r="J2847" s="2" t="s">
        <v>1106</v>
      </c>
      <c r="K2847" s="27" t="s">
        <v>1692</v>
      </c>
    </row>
    <row r="2848" spans="1:11" x14ac:dyDescent="0.35">
      <c r="A2848" s="10" t="s">
        <v>1339</v>
      </c>
      <c r="B2848" s="255">
        <v>13</v>
      </c>
      <c r="C2848" s="10" t="s">
        <v>29</v>
      </c>
      <c r="D2848" s="10">
        <v>1</v>
      </c>
      <c r="E2848" s="10">
        <v>12</v>
      </c>
      <c r="F2848" s="10" t="s">
        <v>687</v>
      </c>
      <c r="G2848" s="10" t="s">
        <v>695</v>
      </c>
      <c r="H2848" s="10" t="str" cm="1">
        <f t="array" aca="1" ref="H2848" ca="1">IF(INDEX(I2848:Z2848,$H$1)=0,"",INDEX(I2848:Z2848,$H$1))</f>
        <v>Pneumatic Supply Gas</v>
      </c>
      <c r="I2848" s="2" t="s">
        <v>258</v>
      </c>
      <c r="J2848" s="2" t="s">
        <v>1352</v>
      </c>
      <c r="K2848" s="2" t="s">
        <v>1834</v>
      </c>
    </row>
    <row r="2849" spans="1:11" x14ac:dyDescent="0.35">
      <c r="A2849" s="10" t="s">
        <v>1339</v>
      </c>
      <c r="B2849" s="255">
        <v>13</v>
      </c>
      <c r="C2849" s="10" t="s">
        <v>29</v>
      </c>
      <c r="D2849" s="10">
        <v>1</v>
      </c>
      <c r="E2849" s="10">
        <v>13</v>
      </c>
      <c r="F2849" s="10" t="s">
        <v>38</v>
      </c>
      <c r="G2849" s="10" t="s">
        <v>767</v>
      </c>
      <c r="H2849" s="10" t="str" cm="1">
        <f t="array" aca="1" ref="H2849" ca="1">IF(INDEX(I2849:Z2849,$H$1)=0,"",INDEX(I2849:Z2849,$H$1))</f>
        <v>Compressed Air</v>
      </c>
      <c r="I2849" s="2" t="s">
        <v>259</v>
      </c>
      <c r="J2849" s="2" t="s">
        <v>1107</v>
      </c>
      <c r="K2849" s="2" t="s">
        <v>1835</v>
      </c>
    </row>
    <row r="2850" spans="1:11" x14ac:dyDescent="0.35">
      <c r="A2850" s="10" t="s">
        <v>1339</v>
      </c>
      <c r="B2850" s="255">
        <v>13</v>
      </c>
      <c r="C2850" s="10" t="s">
        <v>29</v>
      </c>
      <c r="D2850" s="10">
        <v>1</v>
      </c>
      <c r="E2850" s="10">
        <v>14</v>
      </c>
      <c r="F2850" s="10" t="s">
        <v>38</v>
      </c>
      <c r="G2850" s="10" t="s">
        <v>767</v>
      </c>
      <c r="H2850" s="10" t="str" cm="1">
        <f t="array" aca="1" ref="H2850" ca="1">IF(INDEX(I2850:Z2850,$H$1)=0,"",INDEX(I2850:Z2850,$H$1))</f>
        <v>Natural Gas</v>
      </c>
      <c r="I2850" s="2" t="s">
        <v>260</v>
      </c>
      <c r="J2850" s="2" t="s">
        <v>1077</v>
      </c>
      <c r="K2850" s="27" t="s">
        <v>1485</v>
      </c>
    </row>
    <row r="2851" spans="1:11" x14ac:dyDescent="0.35">
      <c r="A2851" s="10" t="s">
        <v>1339</v>
      </c>
      <c r="B2851" s="255">
        <v>13</v>
      </c>
      <c r="C2851" s="10" t="s">
        <v>29</v>
      </c>
      <c r="D2851" s="10">
        <v>1</v>
      </c>
      <c r="E2851" s="10">
        <v>15</v>
      </c>
      <c r="F2851" s="10" t="s">
        <v>687</v>
      </c>
      <c r="G2851" s="10" t="s">
        <v>695</v>
      </c>
      <c r="H2851" s="10" t="str" cm="1">
        <f t="array" aca="1" ref="H2851" ca="1">IF(INDEX(I2851:Z2851,$H$1)=0,"",INDEX(I2851:Z2851,$H$1))</f>
        <v>Hydrocarbon Liquids</v>
      </c>
      <c r="I2851" s="2" t="s">
        <v>305</v>
      </c>
      <c r="J2851" s="2" t="s">
        <v>1351</v>
      </c>
      <c r="K2851" s="27" t="s">
        <v>1836</v>
      </c>
    </row>
    <row r="2852" spans="1:11" x14ac:dyDescent="0.35">
      <c r="A2852" s="10" t="s">
        <v>1339</v>
      </c>
      <c r="B2852" s="255">
        <v>13</v>
      </c>
      <c r="C2852" s="10" t="s">
        <v>29</v>
      </c>
      <c r="D2852" s="10">
        <v>1</v>
      </c>
      <c r="E2852" s="10">
        <v>16</v>
      </c>
      <c r="F2852" s="10" t="s">
        <v>38</v>
      </c>
      <c r="G2852" s="10" t="s">
        <v>767</v>
      </c>
      <c r="H2852" s="10" t="str" cm="1">
        <f t="array" aca="1" ref="H2852" ca="1">IF(INDEX(I2852:Z2852,$H$1)=0,"",INDEX(I2852:Z2852,$H$1))</f>
        <v>Light</v>
      </c>
      <c r="I2852" s="2" t="s">
        <v>306</v>
      </c>
      <c r="J2852" s="2" t="s">
        <v>1108</v>
      </c>
      <c r="K2852" s="2" t="s">
        <v>1837</v>
      </c>
    </row>
    <row r="2853" spans="1:11" x14ac:dyDescent="0.35">
      <c r="A2853" s="10" t="s">
        <v>1339</v>
      </c>
      <c r="B2853" s="255">
        <v>13</v>
      </c>
      <c r="C2853" s="10" t="s">
        <v>29</v>
      </c>
      <c r="D2853" s="10">
        <v>1</v>
      </c>
      <c r="E2853" s="10">
        <v>17</v>
      </c>
      <c r="F2853" s="10" t="s">
        <v>38</v>
      </c>
      <c r="G2853" s="10" t="s">
        <v>767</v>
      </c>
      <c r="H2853" s="10" t="str" cm="1">
        <f t="array" aca="1" ref="H2853" ca="1">IF(INDEX(I2853:Z2853,$H$1)=0,"",INDEX(I2853:Z2853,$H$1))</f>
        <v>Medium</v>
      </c>
      <c r="I2853" s="2" t="s">
        <v>308</v>
      </c>
      <c r="J2853" s="2" t="s">
        <v>1109</v>
      </c>
      <c r="K2853" s="2" t="s">
        <v>1838</v>
      </c>
    </row>
    <row r="2854" spans="1:11" x14ac:dyDescent="0.35">
      <c r="A2854" s="10" t="s">
        <v>1339</v>
      </c>
      <c r="B2854" s="255">
        <v>13</v>
      </c>
      <c r="C2854" s="10" t="s">
        <v>29</v>
      </c>
      <c r="D2854" s="10">
        <v>1</v>
      </c>
      <c r="E2854" s="10">
        <v>18</v>
      </c>
      <c r="F2854" s="10" t="s">
        <v>38</v>
      </c>
      <c r="G2854" s="10" t="s">
        <v>767</v>
      </c>
      <c r="H2854" s="10" t="str" cm="1">
        <f t="array" aca="1" ref="H2854" ca="1">IF(INDEX(I2854:Z2854,$H$1)=0,"",INDEX(I2854:Z2854,$H$1))</f>
        <v>Heavy</v>
      </c>
      <c r="I2854" s="2" t="s">
        <v>307</v>
      </c>
      <c r="J2854" s="2" t="s">
        <v>1110</v>
      </c>
      <c r="K2854" s="2" t="s">
        <v>1839</v>
      </c>
    </row>
    <row r="2855" spans="1:11" x14ac:dyDescent="0.35">
      <c r="A2855" s="10" t="s">
        <v>1339</v>
      </c>
      <c r="B2855" s="255">
        <v>13</v>
      </c>
      <c r="C2855" s="10" t="s">
        <v>29</v>
      </c>
      <c r="D2855" s="10">
        <v>1</v>
      </c>
      <c r="E2855" s="10">
        <v>19</v>
      </c>
      <c r="F2855" s="10" t="s">
        <v>38</v>
      </c>
      <c r="G2855" s="10" t="s">
        <v>767</v>
      </c>
      <c r="H2855" s="10" t="str" cm="1">
        <f t="array" aca="1" ref="H2855" ca="1">IF(INDEX(I2855:Z2855,$H$1)=0,"",INDEX(I2855:Z2855,$H$1))</f>
        <v>Very Heavy</v>
      </c>
      <c r="I2855" s="2" t="s">
        <v>309</v>
      </c>
      <c r="J2855" s="2" t="s">
        <v>1111</v>
      </c>
      <c r="K2855" s="2" t="s">
        <v>1840</v>
      </c>
    </row>
    <row r="2856" spans="1:11" x14ac:dyDescent="0.35">
      <c r="A2856" s="10" t="s">
        <v>1339</v>
      </c>
      <c r="B2856" s="255">
        <v>13</v>
      </c>
      <c r="C2856" s="10" t="s">
        <v>29</v>
      </c>
      <c r="D2856" s="10">
        <v>1</v>
      </c>
      <c r="E2856" s="10">
        <v>20</v>
      </c>
      <c r="F2856" s="10" t="s">
        <v>687</v>
      </c>
      <c r="G2856" s="10" t="s">
        <v>695</v>
      </c>
      <c r="H2856" s="10" t="str" cm="1">
        <f t="array" aca="1" ref="H2856" ca="1">IF(INDEX(I2856:Z2856,$H$1)=0,"",INDEX(I2856:Z2856,$H$1))</f>
        <v>Type of Controllers</v>
      </c>
      <c r="I2856" s="2" t="s">
        <v>323</v>
      </c>
      <c r="J2856" s="2" t="s">
        <v>748</v>
      </c>
      <c r="K2856" s="27" t="s">
        <v>1439</v>
      </c>
    </row>
    <row r="2857" spans="1:11" x14ac:dyDescent="0.35">
      <c r="A2857" s="10" t="s">
        <v>1339</v>
      </c>
      <c r="B2857" s="255">
        <v>13</v>
      </c>
      <c r="C2857" s="10" t="s">
        <v>29</v>
      </c>
      <c r="D2857" s="10">
        <v>1</v>
      </c>
      <c r="E2857" s="10">
        <v>21</v>
      </c>
      <c r="F2857" s="10" t="s">
        <v>38</v>
      </c>
      <c r="G2857" s="10" t="s">
        <v>767</v>
      </c>
      <c r="H2857" s="10" t="str" cm="1">
        <f t="array" aca="1" ref="H2857" ca="1">IF(INDEX(I2857:Z2857,$H$1)=0,"",INDEX(I2857:Z2857,$H$1))</f>
        <v>Not Applicable</v>
      </c>
      <c r="I2857" s="2" t="s">
        <v>50</v>
      </c>
      <c r="J2857" s="2" t="s">
        <v>888</v>
      </c>
      <c r="K2857" s="27" t="s">
        <v>1579</v>
      </c>
    </row>
    <row r="2858" spans="1:11" x14ac:dyDescent="0.35">
      <c r="A2858" s="10" t="s">
        <v>1339</v>
      </c>
      <c r="B2858" s="255">
        <v>13</v>
      </c>
      <c r="C2858" s="10" t="s">
        <v>29</v>
      </c>
      <c r="D2858" s="10">
        <v>1</v>
      </c>
      <c r="E2858" s="10">
        <v>22</v>
      </c>
      <c r="F2858" s="10" t="s">
        <v>38</v>
      </c>
      <c r="G2858" s="10" t="s">
        <v>767</v>
      </c>
      <c r="H2858" s="10" t="str" cm="1">
        <f t="array" aca="1" ref="H2858" ca="1">IF(INDEX(I2858:Z2858,$H$1)=0,"",INDEX(I2858:Z2858,$H$1))</f>
        <v>Low-Bleed</v>
      </c>
      <c r="I2858" s="2" t="s">
        <v>10</v>
      </c>
      <c r="J2858" s="10" t="s">
        <v>1261</v>
      </c>
      <c r="K2858" s="27" t="s">
        <v>1577</v>
      </c>
    </row>
    <row r="2859" spans="1:11" x14ac:dyDescent="0.35">
      <c r="A2859" s="10" t="s">
        <v>1339</v>
      </c>
      <c r="B2859" s="255">
        <v>13</v>
      </c>
      <c r="C2859" s="10" t="s">
        <v>29</v>
      </c>
      <c r="D2859" s="10">
        <v>1</v>
      </c>
      <c r="E2859" s="10">
        <v>23</v>
      </c>
      <c r="F2859" s="10" t="s">
        <v>38</v>
      </c>
      <c r="G2859" s="10" t="s">
        <v>767</v>
      </c>
      <c r="H2859" s="10" t="str" cm="1">
        <f t="array" aca="1" ref="H2859" ca="1">IF(INDEX(I2859:Z2859,$H$1)=0,"",INDEX(I2859:Z2859,$H$1))</f>
        <v>High-Bleed</v>
      </c>
      <c r="I2859" s="2" t="s">
        <v>11</v>
      </c>
      <c r="J2859" s="2" t="s">
        <v>889</v>
      </c>
      <c r="K2859" s="27" t="s">
        <v>1575</v>
      </c>
    </row>
    <row r="2860" spans="1:11" x14ac:dyDescent="0.35">
      <c r="A2860" s="10" t="s">
        <v>1339</v>
      </c>
      <c r="B2860" s="255">
        <v>13</v>
      </c>
      <c r="C2860" s="10" t="s">
        <v>29</v>
      </c>
      <c r="D2860" s="10">
        <v>1</v>
      </c>
      <c r="E2860" s="10">
        <v>24</v>
      </c>
      <c r="F2860" s="10" t="s">
        <v>38</v>
      </c>
      <c r="G2860" s="10" t="s">
        <v>767</v>
      </c>
      <c r="H2860" s="10" t="str" cm="1">
        <f t="array" aca="1" ref="H2860" ca="1">IF(INDEX(I2860:Z2860,$H$1)=0,"",INDEX(I2860:Z2860,$H$1))</f>
        <v>Intermittent Bleed</v>
      </c>
      <c r="I2860" s="2" t="s">
        <v>12</v>
      </c>
      <c r="J2860" s="2" t="s">
        <v>890</v>
      </c>
      <c r="K2860" s="27" t="s">
        <v>1576</v>
      </c>
    </row>
    <row r="2861" spans="1:11" x14ac:dyDescent="0.35">
      <c r="A2861" s="10" t="s">
        <v>1339</v>
      </c>
      <c r="B2861" s="255">
        <v>13</v>
      </c>
      <c r="C2861" s="10" t="s">
        <v>29</v>
      </c>
      <c r="D2861" s="10">
        <v>1</v>
      </c>
      <c r="E2861" s="10">
        <v>25</v>
      </c>
      <c r="F2861" s="10" t="s">
        <v>38</v>
      </c>
      <c r="G2861" s="10" t="s">
        <v>767</v>
      </c>
      <c r="H2861" s="10" t="str" cm="1">
        <f t="array" aca="1" ref="H2861" ca="1">IF(INDEX(I2861:Z2861,$H$1)=0,"",INDEX(I2861:Z2861,$H$1))</f>
        <v>No-Bleed</v>
      </c>
      <c r="I2861" s="2" t="s">
        <v>13</v>
      </c>
      <c r="J2861" s="10" t="s">
        <v>1266</v>
      </c>
      <c r="K2861" s="27" t="s">
        <v>1578</v>
      </c>
    </row>
    <row r="2862" spans="1:11" x14ac:dyDescent="0.35">
      <c r="A2862" s="10" t="s">
        <v>1339</v>
      </c>
      <c r="B2862" s="255">
        <v>13</v>
      </c>
      <c r="C2862" s="10" t="s">
        <v>29</v>
      </c>
      <c r="D2862" s="10">
        <v>1</v>
      </c>
      <c r="E2862" s="10">
        <v>26</v>
      </c>
      <c r="F2862" s="10" t="s">
        <v>687</v>
      </c>
      <c r="G2862" s="10" t="s">
        <v>695</v>
      </c>
      <c r="H2862" s="10" t="str" cm="1">
        <f t="array" aca="1" ref="H2862" ca="1">IF(INDEX(I2862:Z2862,$H$1)=0,"",INDEX(I2862:Z2862,$H$1))</f>
        <v>Source of Quantity</v>
      </c>
      <c r="I2862" s="2" t="s">
        <v>608</v>
      </c>
      <c r="J2862" s="2" t="s">
        <v>1350</v>
      </c>
      <c r="K2862" s="2" t="s">
        <v>1841</v>
      </c>
    </row>
    <row r="2863" spans="1:11" x14ac:dyDescent="0.35">
      <c r="A2863" s="10" t="s">
        <v>1339</v>
      </c>
      <c r="B2863" s="255">
        <v>13</v>
      </c>
      <c r="C2863" s="10" t="s">
        <v>29</v>
      </c>
      <c r="D2863" s="10">
        <v>1</v>
      </c>
      <c r="E2863" s="10">
        <v>27</v>
      </c>
      <c r="F2863" s="10" t="s">
        <v>38</v>
      </c>
      <c r="G2863" s="10" t="s">
        <v>767</v>
      </c>
      <c r="H2863" s="10" t="str" cm="1">
        <f t="array" aca="1" ref="H2863" ca="1">IF(INDEX(I2863:Z2863,$H$1)=0,"",INDEX(I2863:Z2863,$H$1))</f>
        <v>Calculated</v>
      </c>
      <c r="I2863" s="2" t="s">
        <v>569</v>
      </c>
      <c r="J2863" s="2" t="s">
        <v>1113</v>
      </c>
      <c r="K2863" s="2" t="s">
        <v>1843</v>
      </c>
    </row>
    <row r="2864" spans="1:11" x14ac:dyDescent="0.35">
      <c r="A2864" s="10" t="s">
        <v>1339</v>
      </c>
      <c r="B2864" s="255">
        <v>13</v>
      </c>
      <c r="C2864" s="10" t="s">
        <v>29</v>
      </c>
      <c r="D2864" s="10">
        <v>1</v>
      </c>
      <c r="E2864" s="10">
        <v>28</v>
      </c>
      <c r="F2864" s="10" t="s">
        <v>38</v>
      </c>
      <c r="G2864" s="10" t="s">
        <v>767</v>
      </c>
      <c r="H2864" s="10" t="str" cm="1">
        <f t="array" aca="1" ref="H2864" ca="1">IF(INDEX(I2864:Z2864,$H$1)=0,"",INDEX(I2864:Z2864,$H$1))</f>
        <v>Engineering Judgement</v>
      </c>
      <c r="I2864" s="2" t="s">
        <v>581</v>
      </c>
      <c r="J2864" s="2" t="s">
        <v>1114</v>
      </c>
      <c r="K2864" s="2" t="s">
        <v>1842</v>
      </c>
    </row>
    <row r="2865" spans="1:11" x14ac:dyDescent="0.35">
      <c r="A2865" s="10" t="s">
        <v>1339</v>
      </c>
      <c r="B2865" s="255">
        <v>13</v>
      </c>
      <c r="C2865" s="10" t="s">
        <v>29</v>
      </c>
      <c r="D2865" s="10">
        <v>1</v>
      </c>
      <c r="E2865" s="10">
        <v>29</v>
      </c>
      <c r="F2865" s="10" t="s">
        <v>38</v>
      </c>
      <c r="G2865" s="10" t="s">
        <v>767</v>
      </c>
      <c r="H2865" s="10" t="str" cm="1">
        <f t="array" aca="1" ref="H2865" ca="1">IF(INDEX(I2865:Z2865,$H$1)=0,"",INDEX(I2865:Z2865,$H$1))</f>
        <v>Measured</v>
      </c>
      <c r="I2865" s="2" t="s">
        <v>580</v>
      </c>
      <c r="J2865" s="2" t="s">
        <v>1112</v>
      </c>
      <c r="K2865" s="2" t="s">
        <v>1844</v>
      </c>
    </row>
    <row r="2866" spans="1:11" x14ac:dyDescent="0.35">
      <c r="A2866" s="10" t="s">
        <v>1339</v>
      </c>
      <c r="B2866" s="255">
        <v>13</v>
      </c>
      <c r="C2866" s="10" t="s">
        <v>29</v>
      </c>
      <c r="D2866" s="10">
        <v>1</v>
      </c>
      <c r="E2866" s="10">
        <v>29</v>
      </c>
      <c r="F2866" s="10" t="s">
        <v>38</v>
      </c>
      <c r="G2866" s="10" t="s">
        <v>767</v>
      </c>
      <c r="H2866" s="10" t="str" cm="1">
        <f t="array" aca="1" ref="H2866" ca="1">IF(INDEX(I2866:Z2866,$H$1)=0,"",INDEX(I2866:Z2866,$H$1))</f>
        <v>Reported by Facility</v>
      </c>
      <c r="I2866" s="2" t="s">
        <v>2722</v>
      </c>
      <c r="J2866" s="2" t="s">
        <v>2724</v>
      </c>
      <c r="K2866" s="2" t="s">
        <v>2723</v>
      </c>
    </row>
    <row r="2867" spans="1:11" x14ac:dyDescent="0.35">
      <c r="A2867" s="10" t="s">
        <v>1339</v>
      </c>
      <c r="B2867" s="255">
        <v>13</v>
      </c>
      <c r="C2867" s="10" t="s">
        <v>29</v>
      </c>
      <c r="D2867" s="10">
        <v>1</v>
      </c>
      <c r="E2867" s="10">
        <v>30</v>
      </c>
      <c r="F2867" s="10" t="s">
        <v>687</v>
      </c>
      <c r="G2867" s="10" t="s">
        <v>695</v>
      </c>
      <c r="H2867" s="10" t="str" cm="1">
        <f t="array" aca="1" ref="H2867" ca="1">IF(INDEX(I2867:Z2867,$H$1)=0,"",INDEX(I2867:Z2867,$H$1))</f>
        <v>Source of Property</v>
      </c>
      <c r="I2867" s="2" t="s">
        <v>609</v>
      </c>
      <c r="J2867" s="2" t="s">
        <v>1349</v>
      </c>
      <c r="K2867" s="2" t="s">
        <v>1845</v>
      </c>
    </row>
    <row r="2868" spans="1:11" x14ac:dyDescent="0.35">
      <c r="A2868" s="10" t="s">
        <v>1339</v>
      </c>
      <c r="B2868" s="255">
        <v>13</v>
      </c>
      <c r="C2868" s="10" t="s">
        <v>29</v>
      </c>
      <c r="D2868" s="10">
        <v>1</v>
      </c>
      <c r="E2868" s="10">
        <v>31</v>
      </c>
      <c r="F2868" s="10" t="s">
        <v>38</v>
      </c>
      <c r="G2868" s="10" t="s">
        <v>767</v>
      </c>
      <c r="H2868" s="10" t="str" cm="1">
        <f t="array" aca="1" ref="H2868" ca="1">IF(INDEX(I2868:Z2868,$H$1)=0,"",INDEX(I2868:Z2868,$H$1))</f>
        <v>Default</v>
      </c>
      <c r="I2868" s="2" t="s">
        <v>596</v>
      </c>
      <c r="J2868" s="2" t="s">
        <v>1115</v>
      </c>
      <c r="K2868" s="2" t="s">
        <v>1477</v>
      </c>
    </row>
    <row r="2869" spans="1:11" x14ac:dyDescent="0.35">
      <c r="A2869" s="10" t="s">
        <v>1339</v>
      </c>
      <c r="B2869" s="255">
        <v>13</v>
      </c>
      <c r="C2869" s="10" t="s">
        <v>29</v>
      </c>
      <c r="D2869" s="10">
        <v>1</v>
      </c>
      <c r="E2869" s="10">
        <v>32</v>
      </c>
      <c r="F2869" s="10" t="s">
        <v>38</v>
      </c>
      <c r="G2869" s="10" t="s">
        <v>767</v>
      </c>
      <c r="H2869" s="10" t="str" cm="1">
        <f t="array" aca="1" ref="H2869" ca="1">IF(INDEX(I2869:Z2869,$H$1)=0,"",INDEX(I2869:Z2869,$H$1))</f>
        <v>Measured</v>
      </c>
      <c r="I2869" s="2" t="s">
        <v>580</v>
      </c>
      <c r="J2869" s="2" t="s">
        <v>1112</v>
      </c>
      <c r="K2869" s="2" t="s">
        <v>1844</v>
      </c>
    </row>
    <row r="2870" spans="1:11" x14ac:dyDescent="0.35">
      <c r="A2870" s="10" t="s">
        <v>1339</v>
      </c>
      <c r="B2870" s="255">
        <v>13</v>
      </c>
      <c r="C2870" s="10" t="s">
        <v>29</v>
      </c>
      <c r="D2870" s="10">
        <v>1</v>
      </c>
      <c r="E2870" s="10">
        <v>33</v>
      </c>
      <c r="F2870" s="10" t="s">
        <v>38</v>
      </c>
      <c r="G2870" s="10" t="s">
        <v>767</v>
      </c>
      <c r="H2870" s="10" t="str" cm="1">
        <f t="array" aca="1" ref="H2870" ca="1">IF(INDEX(I2870:Z2870,$H$1)=0,"",INDEX(I2870:Z2870,$H$1))</f>
        <v>Calculated</v>
      </c>
      <c r="I2870" s="2" t="s">
        <v>569</v>
      </c>
      <c r="J2870" s="2" t="s">
        <v>1113</v>
      </c>
      <c r="K2870" s="2" t="s">
        <v>1843</v>
      </c>
    </row>
    <row r="2871" spans="1:11" x14ac:dyDescent="0.35">
      <c r="A2871" s="10" t="s">
        <v>1339</v>
      </c>
      <c r="B2871" s="255">
        <v>13</v>
      </c>
      <c r="C2871" s="10" t="s">
        <v>29</v>
      </c>
      <c r="D2871" s="10">
        <v>1</v>
      </c>
      <c r="E2871" s="10">
        <v>33</v>
      </c>
      <c r="F2871" s="10" t="s">
        <v>38</v>
      </c>
      <c r="G2871" s="10" t="s">
        <v>767</v>
      </c>
      <c r="H2871" s="10" t="str" cm="1">
        <f t="array" aca="1" ref="H2871" ca="1">IF(INDEX(I2871:Z2871,$H$1)=0,"",INDEX(I2871:Z2871,$H$1))</f>
        <v>Fuel Category</v>
      </c>
      <c r="I2871" s="2" t="s">
        <v>2768</v>
      </c>
      <c r="J2871" s="2" t="s">
        <v>2768</v>
      </c>
      <c r="K2871" s="2" t="s">
        <v>2768</v>
      </c>
    </row>
    <row r="2872" spans="1:11" x14ac:dyDescent="0.35">
      <c r="A2872" s="10" t="s">
        <v>1339</v>
      </c>
      <c r="B2872" s="255">
        <v>13</v>
      </c>
      <c r="C2872" s="10" t="s">
        <v>29</v>
      </c>
      <c r="D2872" s="10">
        <v>1</v>
      </c>
      <c r="E2872" s="10">
        <v>33</v>
      </c>
      <c r="F2872" s="10" t="s">
        <v>38</v>
      </c>
      <c r="G2872" s="10" t="s">
        <v>767</v>
      </c>
      <c r="H2872" s="10" t="str" cm="1">
        <f t="array" aca="1" ref="H2872" ca="1">IF(INDEX(I2872:Z2872,$H$1)=0,"",INDEX(I2872:Z2872,$H$1))</f>
        <v>Solid</v>
      </c>
      <c r="I2872" s="2" t="s">
        <v>2883</v>
      </c>
      <c r="J2872" s="2" t="s">
        <v>3129</v>
      </c>
      <c r="K2872" s="2" t="s">
        <v>3130</v>
      </c>
    </row>
    <row r="2873" spans="1:11" x14ac:dyDescent="0.35">
      <c r="A2873" s="10" t="s">
        <v>1339</v>
      </c>
      <c r="B2873" s="255">
        <v>13</v>
      </c>
      <c r="C2873" s="10" t="s">
        <v>29</v>
      </c>
      <c r="D2873" s="10">
        <v>1</v>
      </c>
      <c r="E2873" s="10">
        <v>33</v>
      </c>
      <c r="F2873" s="10" t="s">
        <v>38</v>
      </c>
      <c r="G2873" s="10" t="s">
        <v>767</v>
      </c>
      <c r="H2873" s="10" t="str" cm="1">
        <f t="array" aca="1" ref="H2873" ca="1">IF(INDEX(I2873:Z2873,$H$1)=0,"",INDEX(I2873:Z2873,$H$1))</f>
        <v>Liquid</v>
      </c>
      <c r="I2873" s="2" t="s">
        <v>640</v>
      </c>
      <c r="J2873" s="2" t="s">
        <v>1055</v>
      </c>
      <c r="K2873" s="2" t="s">
        <v>3131</v>
      </c>
    </row>
    <row r="2874" spans="1:11" x14ac:dyDescent="0.35">
      <c r="A2874" s="10" t="s">
        <v>1339</v>
      </c>
      <c r="B2874" s="255">
        <v>13</v>
      </c>
      <c r="C2874" s="10" t="s">
        <v>29</v>
      </c>
      <c r="D2874" s="10">
        <v>1</v>
      </c>
      <c r="E2874" s="10">
        <v>33</v>
      </c>
      <c r="F2874" s="10" t="s">
        <v>38</v>
      </c>
      <c r="G2874" s="10" t="s">
        <v>767</v>
      </c>
      <c r="H2874" s="10" t="str" cm="1">
        <f t="array" aca="1" ref="H2874" ca="1">IF(INDEX(I2874:Z2874,$H$1)=0,"",INDEX(I2874:Z2874,$H$1))</f>
        <v>Gaseous</v>
      </c>
      <c r="I2874" s="2" t="s">
        <v>2919</v>
      </c>
      <c r="J2874" s="2" t="s">
        <v>3132</v>
      </c>
      <c r="K2874" s="2" t="s">
        <v>3133</v>
      </c>
    </row>
    <row r="2875" spans="1:11" x14ac:dyDescent="0.35">
      <c r="A2875" s="10" t="s">
        <v>1339</v>
      </c>
      <c r="B2875" s="255">
        <v>13</v>
      </c>
      <c r="C2875" s="10" t="s">
        <v>29</v>
      </c>
      <c r="D2875" s="10">
        <v>1</v>
      </c>
      <c r="E2875" s="10">
        <v>33</v>
      </c>
      <c r="F2875" s="10" t="s">
        <v>38</v>
      </c>
      <c r="G2875" s="10" t="s">
        <v>767</v>
      </c>
      <c r="H2875" s="10" t="str" cm="1">
        <f t="array" aca="1" ref="H2875" ca="1">IF(INDEX(I2875:Z2875,$H$1)=0,"",INDEX(I2875:Z2875,$H$1))</f>
        <v>Engineering Judgement</v>
      </c>
      <c r="I2875" s="2" t="s">
        <v>581</v>
      </c>
      <c r="J2875" s="2" t="s">
        <v>1114</v>
      </c>
      <c r="K2875" s="2" t="s">
        <v>1842</v>
      </c>
    </row>
    <row r="2876" spans="1:11" x14ac:dyDescent="0.35">
      <c r="A2876" s="10" t="s">
        <v>1339</v>
      </c>
      <c r="B2876" s="255">
        <v>13</v>
      </c>
      <c r="C2876" s="10" t="s">
        <v>29</v>
      </c>
      <c r="D2876" s="10">
        <v>1</v>
      </c>
      <c r="E2876" s="10">
        <v>33</v>
      </c>
      <c r="F2876" s="10" t="s">
        <v>38</v>
      </c>
      <c r="G2876" s="10" t="s">
        <v>767</v>
      </c>
      <c r="H2876" s="10" t="str" cm="1">
        <f t="array" aca="1" ref="H2876" ca="1">IF(INDEX(I2876:Z2876,$H$1)=0,"",INDEX(I2876:Z2876,$H$1))</f>
        <v>Reported by Facility</v>
      </c>
      <c r="I2876" s="2" t="s">
        <v>2722</v>
      </c>
      <c r="J2876" s="2" t="s">
        <v>2724</v>
      </c>
      <c r="K2876" s="2" t="s">
        <v>2723</v>
      </c>
    </row>
    <row r="2877" spans="1:11" x14ac:dyDescent="0.35">
      <c r="A2877" s="10" t="s">
        <v>1339</v>
      </c>
      <c r="B2877" s="255">
        <v>13</v>
      </c>
      <c r="C2877" s="10" t="s">
        <v>29</v>
      </c>
      <c r="D2877" s="10">
        <v>1</v>
      </c>
      <c r="E2877" s="10">
        <v>34</v>
      </c>
      <c r="F2877" s="10" t="s">
        <v>687</v>
      </c>
      <c r="G2877" s="10" t="s">
        <v>695</v>
      </c>
      <c r="H2877" s="10" t="str" cm="1">
        <f t="array" aca="1" ref="H2877" ca="1">IF(INDEX(I2877:Z2877,$H$1)=0,"",INDEX(I2877:Z2877,$H$1))</f>
        <v>Solid Fuels</v>
      </c>
      <c r="I2877" s="2" t="s">
        <v>605</v>
      </c>
      <c r="J2877" s="2" t="s">
        <v>1348</v>
      </c>
      <c r="K2877" s="2" t="s">
        <v>1846</v>
      </c>
    </row>
    <row r="2878" spans="1:11" x14ac:dyDescent="0.35">
      <c r="A2878" s="10" t="s">
        <v>1339</v>
      </c>
      <c r="B2878" s="255">
        <v>13</v>
      </c>
      <c r="C2878" s="10" t="s">
        <v>29</v>
      </c>
      <c r="D2878" s="10">
        <v>1</v>
      </c>
      <c r="E2878" s="10">
        <v>35</v>
      </c>
      <c r="F2878" s="10" t="s">
        <v>38</v>
      </c>
      <c r="G2878" s="10" t="s">
        <v>767</v>
      </c>
      <c r="H2878" s="10" t="str" cm="1">
        <f t="array" aca="1" ref="H2878" ca="1">IF(INDEX(I2878:Z2878,$H$1)=0,"",INDEX(I2878:Z2878,$H$1))</f>
        <v>Anthracite</v>
      </c>
      <c r="I2878" s="2" t="s">
        <v>563</v>
      </c>
      <c r="J2878" s="2" t="s">
        <v>789</v>
      </c>
      <c r="K2878" s="2" t="s">
        <v>1466</v>
      </c>
    </row>
    <row r="2879" spans="1:11" x14ac:dyDescent="0.35">
      <c r="A2879" s="10" t="s">
        <v>1339</v>
      </c>
      <c r="B2879" s="255">
        <v>13</v>
      </c>
      <c r="C2879" s="10" t="s">
        <v>29</v>
      </c>
      <c r="D2879" s="10">
        <v>1</v>
      </c>
      <c r="E2879" s="10">
        <v>36</v>
      </c>
      <c r="F2879" s="10" t="s">
        <v>38</v>
      </c>
      <c r="G2879" s="10" t="s">
        <v>767</v>
      </c>
      <c r="H2879" s="10" t="str" cm="1">
        <f t="array" aca="1" ref="H2879" ca="1">IF(INDEX(I2879:Z2879,$H$1)=0,"",INDEX(I2879:Z2879,$H$1))</f>
        <v>Bituminous</v>
      </c>
      <c r="I2879" s="2" t="s">
        <v>1116</v>
      </c>
      <c r="J2879" s="2" t="s">
        <v>790</v>
      </c>
      <c r="K2879" s="2" t="s">
        <v>2083</v>
      </c>
    </row>
    <row r="2880" spans="1:11" x14ac:dyDescent="0.35">
      <c r="A2880" s="10" t="s">
        <v>1339</v>
      </c>
      <c r="B2880" s="255">
        <v>13</v>
      </c>
      <c r="C2880" s="10" t="s">
        <v>29</v>
      </c>
      <c r="D2880" s="10">
        <v>1</v>
      </c>
      <c r="E2880" s="10">
        <v>37</v>
      </c>
      <c r="F2880" s="10" t="s">
        <v>38</v>
      </c>
      <c r="G2880" s="10" t="s">
        <v>767</v>
      </c>
      <c r="H2880" s="10" t="str" cm="1">
        <f t="array" aca="1" ref="H2880" ca="1">IF(INDEX(I2880:Z2880,$H$1)=0,"",INDEX(I2880:Z2880,$H$1))</f>
        <v>Lignite</v>
      </c>
      <c r="I2880" s="2" t="s">
        <v>565</v>
      </c>
      <c r="J2880" s="2" t="s">
        <v>791</v>
      </c>
      <c r="K2880" s="2" t="s">
        <v>1467</v>
      </c>
    </row>
    <row r="2881" spans="1:11" x14ac:dyDescent="0.35">
      <c r="A2881" s="10" t="s">
        <v>1339</v>
      </c>
      <c r="B2881" s="255">
        <v>13</v>
      </c>
      <c r="C2881" s="10" t="s">
        <v>29</v>
      </c>
      <c r="D2881" s="10">
        <v>1</v>
      </c>
      <c r="E2881" s="10">
        <v>38</v>
      </c>
      <c r="F2881" s="10" t="s">
        <v>38</v>
      </c>
      <c r="G2881" s="10" t="s">
        <v>767</v>
      </c>
      <c r="H2881" s="10" t="str" cm="1">
        <f t="array" aca="1" ref="H2881" ca="1">IF(INDEX(I2881:Z2881,$H$1)=0,"",INDEX(I2881:Z2881,$H$1))</f>
        <v>Cleaned Coal</v>
      </c>
      <c r="I2881" s="2" t="s">
        <v>566</v>
      </c>
      <c r="J2881" s="10" t="s">
        <v>792</v>
      </c>
      <c r="K2881" s="27" t="s">
        <v>1468</v>
      </c>
    </row>
    <row r="2882" spans="1:11" x14ac:dyDescent="0.35">
      <c r="A2882" s="10" t="s">
        <v>1339</v>
      </c>
      <c r="B2882" s="255">
        <v>13</v>
      </c>
      <c r="C2882" s="10" t="s">
        <v>29</v>
      </c>
      <c r="D2882" s="10">
        <v>1</v>
      </c>
      <c r="E2882" s="10">
        <v>39</v>
      </c>
      <c r="F2882" s="10" t="s">
        <v>38</v>
      </c>
      <c r="G2882" s="10" t="s">
        <v>767</v>
      </c>
      <c r="H2882" s="10" t="str" cm="1">
        <f t="array" aca="1" ref="H2882" ca="1">IF(INDEX(I2882:Z2882,$H$1)=0,"",INDEX(I2882:Z2882,$H$1))</f>
        <v>Other Washed Coal</v>
      </c>
      <c r="I2882" s="2" t="s">
        <v>567</v>
      </c>
      <c r="J2882" s="2" t="s">
        <v>793</v>
      </c>
      <c r="K2882" s="27" t="s">
        <v>1469</v>
      </c>
    </row>
    <row r="2883" spans="1:11" x14ac:dyDescent="0.35">
      <c r="A2883" s="10" t="s">
        <v>1339</v>
      </c>
      <c r="B2883" s="255">
        <v>13</v>
      </c>
      <c r="C2883" s="10" t="s">
        <v>29</v>
      </c>
      <c r="D2883" s="10">
        <v>1</v>
      </c>
      <c r="E2883" s="10">
        <v>40</v>
      </c>
      <c r="F2883" s="10" t="s">
        <v>38</v>
      </c>
      <c r="G2883" s="10" t="s">
        <v>767</v>
      </c>
      <c r="H2883" s="10" t="str" cm="1">
        <f t="array" aca="1" ref="H2883" ca="1">IF(INDEX(I2883:Z2883,$H$1)=0,"",INDEX(I2883:Z2883,$H$1))</f>
        <v>Briquette Coal</v>
      </c>
      <c r="I2883" s="2" t="s">
        <v>1323</v>
      </c>
      <c r="J2883" s="10" t="s">
        <v>794</v>
      </c>
      <c r="K2883" s="27" t="s">
        <v>1470</v>
      </c>
    </row>
    <row r="2884" spans="1:11" x14ac:dyDescent="0.35">
      <c r="A2884" s="10" t="s">
        <v>1339</v>
      </c>
      <c r="B2884" s="255">
        <v>13</v>
      </c>
      <c r="C2884" s="10" t="s">
        <v>29</v>
      </c>
      <c r="D2884" s="10">
        <v>1</v>
      </c>
      <c r="E2884" s="10">
        <v>41</v>
      </c>
      <c r="F2884" s="10" t="s">
        <v>38</v>
      </c>
      <c r="G2884" s="10" t="s">
        <v>767</v>
      </c>
      <c r="H2884" s="10" t="str" cm="1">
        <f t="array" aca="1" ref="H2884" ca="1">IF(INDEX(I2884:Z2884,$H$1)=0,"",INDEX(I2884:Z2884,$H$1))</f>
        <v>Coke</v>
      </c>
      <c r="I2884" s="2" t="s">
        <v>568</v>
      </c>
      <c r="J2884" s="10" t="s">
        <v>795</v>
      </c>
      <c r="K2884" s="27" t="s">
        <v>1471</v>
      </c>
    </row>
    <row r="2885" spans="1:11" x14ac:dyDescent="0.35">
      <c r="A2885" s="10" t="s">
        <v>1339</v>
      </c>
      <c r="B2885" s="255">
        <v>13</v>
      </c>
      <c r="C2885" s="10" t="s">
        <v>29</v>
      </c>
      <c r="D2885" s="10">
        <v>1</v>
      </c>
      <c r="E2885" s="10">
        <v>42</v>
      </c>
      <c r="F2885" s="10" t="s">
        <v>38</v>
      </c>
      <c r="G2885" s="10" t="s">
        <v>767</v>
      </c>
      <c r="H2885" s="10" t="str" cm="1">
        <f t="array" aca="1" ref="H2885" ca="1">IF(INDEX(I2885:Z2885,$H$1)=0,"",INDEX(I2885:Z2885,$H$1))</f>
        <v>Petroleum Coke</v>
      </c>
      <c r="I2885" s="2" t="s">
        <v>576</v>
      </c>
      <c r="J2885" s="10" t="s">
        <v>796</v>
      </c>
      <c r="K2885" s="27" t="s">
        <v>1472</v>
      </c>
    </row>
    <row r="2886" spans="1:11" x14ac:dyDescent="0.35">
      <c r="A2886" s="10" t="s">
        <v>1339</v>
      </c>
      <c r="B2886" s="255">
        <v>13</v>
      </c>
      <c r="C2886" s="10" t="s">
        <v>29</v>
      </c>
      <c r="D2886" s="10">
        <v>1</v>
      </c>
      <c r="E2886" s="10">
        <v>43</v>
      </c>
      <c r="F2886" s="10" t="s">
        <v>687</v>
      </c>
      <c r="G2886" s="10" t="s">
        <v>695</v>
      </c>
      <c r="H2886" s="10" t="str" cm="1">
        <f t="array" aca="1" ref="H2886" ca="1">IF(INDEX(I2886:Z2886,$H$1)=0,"",INDEX(I2886:Z2886,$H$1))</f>
        <v>Liquid Fuels</v>
      </c>
      <c r="I2886" s="2" t="s">
        <v>606</v>
      </c>
      <c r="J2886" s="2" t="s">
        <v>1347</v>
      </c>
      <c r="K2886" s="2" t="s">
        <v>1847</v>
      </c>
    </row>
    <row r="2887" spans="1:11" x14ac:dyDescent="0.35">
      <c r="A2887" s="10" t="s">
        <v>1339</v>
      </c>
      <c r="B2887" s="255">
        <v>13</v>
      </c>
      <c r="C2887" s="10" t="s">
        <v>29</v>
      </c>
      <c r="D2887" s="10">
        <v>1</v>
      </c>
      <c r="E2887" s="10">
        <v>44</v>
      </c>
      <c r="F2887" s="10" t="s">
        <v>38</v>
      </c>
      <c r="G2887" s="10" t="s">
        <v>767</v>
      </c>
      <c r="H2887" s="10" t="str" cm="1">
        <f t="array" aca="1" ref="H2887" ca="1">IF(INDEX(I2887:Z2887,$H$1)=0,"",INDEX(I2887:Z2887,$H$1))</f>
        <v>Crude Oil</v>
      </c>
      <c r="I2887" s="2" t="s">
        <v>52</v>
      </c>
      <c r="J2887" s="2" t="s">
        <v>797</v>
      </c>
      <c r="K2887" s="27" t="s">
        <v>1474</v>
      </c>
    </row>
    <row r="2888" spans="1:11" x14ac:dyDescent="0.35">
      <c r="A2888" s="10" t="s">
        <v>1339</v>
      </c>
      <c r="B2888" s="255">
        <v>13</v>
      </c>
      <c r="C2888" s="10" t="s">
        <v>29</v>
      </c>
      <c r="D2888" s="10">
        <v>1</v>
      </c>
      <c r="E2888" s="10">
        <v>45</v>
      </c>
      <c r="F2888" s="10" t="s">
        <v>38</v>
      </c>
      <c r="G2888" s="10" t="s">
        <v>767</v>
      </c>
      <c r="H2888" s="10" t="str" cm="1">
        <f t="array" aca="1" ref="H2888" ca="1">IF(INDEX(I2888:Z2888,$H$1)=0,"",INDEX(I2888:Z2888,$H$1))</f>
        <v>Fuel Oil</v>
      </c>
      <c r="I2888" s="2" t="s">
        <v>570</v>
      </c>
      <c r="J2888" s="2" t="s">
        <v>798</v>
      </c>
      <c r="K2888" s="27" t="s">
        <v>1475</v>
      </c>
    </row>
    <row r="2889" spans="1:11" x14ac:dyDescent="0.35">
      <c r="A2889" s="10" t="s">
        <v>1339</v>
      </c>
      <c r="B2889" s="255">
        <v>13</v>
      </c>
      <c r="C2889" s="10" t="s">
        <v>29</v>
      </c>
      <c r="D2889" s="10">
        <v>1</v>
      </c>
      <c r="E2889" s="10">
        <v>46</v>
      </c>
      <c r="F2889" s="10" t="s">
        <v>38</v>
      </c>
      <c r="G2889" s="10" t="s">
        <v>767</v>
      </c>
      <c r="H2889" s="10" t="str" cm="1">
        <f t="array" aca="1" ref="H2889" ca="1">IF(INDEX(I2889:Z2889,$H$1)=0,"",INDEX(I2889:Z2889,$H$1))</f>
        <v>Gasoline</v>
      </c>
      <c r="I2889" s="2" t="s">
        <v>571</v>
      </c>
      <c r="J2889" s="2" t="s">
        <v>799</v>
      </c>
      <c r="K2889" s="2" t="s">
        <v>1476</v>
      </c>
    </row>
    <row r="2890" spans="1:11" x14ac:dyDescent="0.35">
      <c r="A2890" s="10" t="s">
        <v>1339</v>
      </c>
      <c r="B2890" s="255">
        <v>13</v>
      </c>
      <c r="C2890" s="10" t="s">
        <v>29</v>
      </c>
      <c r="D2890" s="10">
        <v>1</v>
      </c>
      <c r="E2890" s="10">
        <v>47</v>
      </c>
      <c r="F2890" s="10" t="s">
        <v>38</v>
      </c>
      <c r="G2890" s="10" t="s">
        <v>767</v>
      </c>
      <c r="H2890" s="10" t="str" cm="1">
        <f t="array" aca="1" ref="H2890" ca="1">IF(INDEX(I2890:Z2890,$H$1)=0,"",INDEX(I2890:Z2890,$H$1))</f>
        <v>Diesel</v>
      </c>
      <c r="I2890" s="2" t="s">
        <v>572</v>
      </c>
      <c r="J2890" s="10" t="s">
        <v>800</v>
      </c>
      <c r="K2890" s="27" t="s">
        <v>1478</v>
      </c>
    </row>
    <row r="2891" spans="1:11" x14ac:dyDescent="0.35">
      <c r="A2891" s="10" t="s">
        <v>1339</v>
      </c>
      <c r="B2891" s="255">
        <v>13</v>
      </c>
      <c r="C2891" s="10" t="s">
        <v>29</v>
      </c>
      <c r="D2891" s="10">
        <v>1</v>
      </c>
      <c r="E2891" s="10">
        <v>48</v>
      </c>
      <c r="F2891" s="10" t="s">
        <v>38</v>
      </c>
      <c r="G2891" s="10" t="s">
        <v>767</v>
      </c>
      <c r="H2891" s="10" t="str" cm="1">
        <f t="array" aca="1" ref="H2891" ca="1">IF(INDEX(I2891:Z2891,$H$1)=0,"",INDEX(I2891:Z2891,$H$1))</f>
        <v>Aviation Kerosene</v>
      </c>
      <c r="I2891" s="2" t="s">
        <v>573</v>
      </c>
      <c r="J2891" s="2" t="s">
        <v>801</v>
      </c>
      <c r="K2891" s="27" t="s">
        <v>1479</v>
      </c>
    </row>
    <row r="2892" spans="1:11" x14ac:dyDescent="0.35">
      <c r="A2892" s="10" t="s">
        <v>1339</v>
      </c>
      <c r="B2892" s="255">
        <v>13</v>
      </c>
      <c r="C2892" s="10" t="s">
        <v>29</v>
      </c>
      <c r="D2892" s="10">
        <v>1</v>
      </c>
      <c r="E2892" s="10">
        <v>49</v>
      </c>
      <c r="F2892" s="10" t="s">
        <v>38</v>
      </c>
      <c r="G2892" s="10" t="s">
        <v>767</v>
      </c>
      <c r="H2892" s="10" t="str" cm="1">
        <f t="array" aca="1" ref="H2892" ca="1">IF(INDEX(I2892:Z2892,$H$1)=0,"",INDEX(I2892:Z2892,$H$1))</f>
        <v>Common Kerosene</v>
      </c>
      <c r="I2892" s="2" t="s">
        <v>574</v>
      </c>
      <c r="J2892" s="2" t="s">
        <v>802</v>
      </c>
      <c r="K2892" s="27" t="s">
        <v>1480</v>
      </c>
    </row>
    <row r="2893" spans="1:11" x14ac:dyDescent="0.35">
      <c r="A2893" s="10" t="s">
        <v>1339</v>
      </c>
      <c r="B2893" s="255">
        <v>13</v>
      </c>
      <c r="C2893" s="10" t="s">
        <v>29</v>
      </c>
      <c r="D2893" s="10">
        <v>1</v>
      </c>
      <c r="E2893" s="10">
        <v>50</v>
      </c>
      <c r="F2893" s="10" t="s">
        <v>38</v>
      </c>
      <c r="G2893" s="10" t="s">
        <v>767</v>
      </c>
      <c r="H2893" s="10" t="str" cm="1">
        <f t="array" aca="1" ref="H2893" ca="1">IF(INDEX(I2893:Z2893,$H$1)=0,"",INDEX(I2893:Z2893,$H$1))</f>
        <v>Naphtha</v>
      </c>
      <c r="I2893" s="2" t="s">
        <v>575</v>
      </c>
      <c r="J2893" s="2" t="s">
        <v>803</v>
      </c>
      <c r="K2893" s="2" t="s">
        <v>1481</v>
      </c>
    </row>
    <row r="2894" spans="1:11" x14ac:dyDescent="0.35">
      <c r="A2894" s="10" t="s">
        <v>1339</v>
      </c>
      <c r="B2894" s="255">
        <v>13</v>
      </c>
      <c r="C2894" s="10" t="s">
        <v>29</v>
      </c>
      <c r="D2894" s="10">
        <v>1</v>
      </c>
      <c r="E2894" s="10">
        <v>51</v>
      </c>
      <c r="F2894" s="10" t="s">
        <v>38</v>
      </c>
      <c r="G2894" s="10" t="s">
        <v>767</v>
      </c>
      <c r="H2894" s="10" t="str" cm="1">
        <f t="array" aca="1" ref="H2894" ca="1">IF(INDEX(I2894:Z2894,$H$1)=0,"",INDEX(I2894:Z2894,$H$1))</f>
        <v>Liquefied Petroleum Gas</v>
      </c>
      <c r="I2894" s="16" t="s">
        <v>1117</v>
      </c>
      <c r="J2894" s="16" t="s">
        <v>812</v>
      </c>
      <c r="K2894" s="2" t="s">
        <v>1482</v>
      </c>
    </row>
    <row r="2895" spans="1:11" x14ac:dyDescent="0.35">
      <c r="A2895" s="10" t="s">
        <v>1339</v>
      </c>
      <c r="B2895" s="255">
        <v>13</v>
      </c>
      <c r="C2895" s="10" t="s">
        <v>29</v>
      </c>
      <c r="D2895" s="10">
        <v>1</v>
      </c>
      <c r="E2895" s="10">
        <v>52</v>
      </c>
      <c r="F2895" s="10" t="s">
        <v>38</v>
      </c>
      <c r="G2895" s="10" t="s">
        <v>767</v>
      </c>
      <c r="H2895" s="10" t="str" cm="1">
        <f t="array" aca="1" ref="H2895" ca="1">IF(INDEX(I2895:Z2895,$H$1)=0,"",INDEX(I2895:Z2895,$H$1))</f>
        <v>Liquefied Natural Gas</v>
      </c>
      <c r="I2895" s="16" t="s">
        <v>599</v>
      </c>
      <c r="J2895" s="16" t="s">
        <v>1075</v>
      </c>
      <c r="K2895" s="27" t="s">
        <v>1483</v>
      </c>
    </row>
    <row r="2896" spans="1:11" x14ac:dyDescent="0.35">
      <c r="A2896" s="10" t="s">
        <v>1339</v>
      </c>
      <c r="B2896" s="255">
        <v>13</v>
      </c>
      <c r="C2896" s="10" t="s">
        <v>29</v>
      </c>
      <c r="D2896" s="10">
        <v>1</v>
      </c>
      <c r="E2896" s="10">
        <v>52</v>
      </c>
      <c r="F2896" s="10" t="s">
        <v>38</v>
      </c>
      <c r="G2896" s="10" t="s">
        <v>767</v>
      </c>
      <c r="H2896" s="10" t="str" cm="1">
        <f t="array" aca="1" ref="H2896" ca="1">IF(INDEX(I2896:Z2896,$H$1)=0,"",INDEX(I2896:Z2896,$H$1))</f>
        <v>Propane (liquid)</v>
      </c>
      <c r="I2896" s="16" t="s">
        <v>2085</v>
      </c>
      <c r="J2896" s="16" t="s">
        <v>2086</v>
      </c>
      <c r="K2896" s="27" t="s">
        <v>2087</v>
      </c>
    </row>
    <row r="2897" spans="1:11" x14ac:dyDescent="0.35">
      <c r="A2897" s="10" t="s">
        <v>1339</v>
      </c>
      <c r="B2897" s="255">
        <v>13</v>
      </c>
      <c r="C2897" s="10" t="s">
        <v>29</v>
      </c>
      <c r="D2897" s="10">
        <v>1</v>
      </c>
      <c r="E2897" s="10">
        <v>53</v>
      </c>
      <c r="F2897" s="10" t="s">
        <v>687</v>
      </c>
      <c r="G2897" s="10" t="s">
        <v>695</v>
      </c>
      <c r="H2897" s="10" t="str" cm="1">
        <f t="array" aca="1" ref="H2897" ca="1">IF(INDEX(I2897:Z2897,$H$1)=0,"",INDEX(I2897:Z2897,$H$1))</f>
        <v>Gaseous Fuels</v>
      </c>
      <c r="I2897" s="2" t="s">
        <v>607</v>
      </c>
      <c r="J2897" s="2" t="s">
        <v>1346</v>
      </c>
      <c r="K2897" s="2" t="s">
        <v>1848</v>
      </c>
    </row>
    <row r="2898" spans="1:11" x14ac:dyDescent="0.35">
      <c r="A2898" s="10" t="s">
        <v>1339</v>
      </c>
      <c r="B2898" s="255">
        <v>13</v>
      </c>
      <c r="C2898" s="10" t="s">
        <v>29</v>
      </c>
      <c r="D2898" s="10">
        <v>1</v>
      </c>
      <c r="E2898" s="10">
        <v>54</v>
      </c>
      <c r="F2898" s="10" t="s">
        <v>38</v>
      </c>
      <c r="G2898" s="10" t="s">
        <v>767</v>
      </c>
      <c r="H2898" s="10" t="str" cm="1">
        <f t="array" aca="1" ref="H2898" ca="1">IF(INDEX(I2898:Z2898,$H$1)=0,"",INDEX(I2898:Z2898,$H$1))</f>
        <v>Natural Gas</v>
      </c>
      <c r="I2898" s="2" t="s">
        <v>260</v>
      </c>
      <c r="J2898" s="2" t="s">
        <v>1077</v>
      </c>
      <c r="K2898" s="27" t="s">
        <v>1485</v>
      </c>
    </row>
    <row r="2899" spans="1:11" x14ac:dyDescent="0.35">
      <c r="A2899" s="10" t="s">
        <v>1339</v>
      </c>
      <c r="B2899" s="255">
        <v>13</v>
      </c>
      <c r="C2899" s="10" t="s">
        <v>29</v>
      </c>
      <c r="D2899" s="10">
        <v>1</v>
      </c>
      <c r="E2899" s="10">
        <v>55</v>
      </c>
      <c r="F2899" s="10" t="s">
        <v>38</v>
      </c>
      <c r="G2899" s="10" t="s">
        <v>767</v>
      </c>
      <c r="H2899" s="10" t="str" cm="1">
        <f t="array" aca="1" ref="H2899" ca="1">IF(INDEX(I2899:Z2899,$H$1)=0,"",INDEX(I2899:Z2899,$H$1))</f>
        <v>Coke Oven Gas</v>
      </c>
      <c r="I2899" s="2" t="s">
        <v>600</v>
      </c>
      <c r="J2899" s="2" t="s">
        <v>1209</v>
      </c>
      <c r="K2899" s="27" t="s">
        <v>1486</v>
      </c>
    </row>
    <row r="2900" spans="1:11" x14ac:dyDescent="0.35">
      <c r="A2900" s="10" t="s">
        <v>1339</v>
      </c>
      <c r="B2900" s="255">
        <v>13</v>
      </c>
      <c r="C2900" s="10" t="s">
        <v>29</v>
      </c>
      <c r="D2900" s="10">
        <v>1</v>
      </c>
      <c r="E2900" s="10">
        <v>56</v>
      </c>
      <c r="F2900" s="10" t="s">
        <v>38</v>
      </c>
      <c r="G2900" s="10" t="s">
        <v>767</v>
      </c>
      <c r="H2900" s="10" t="str" cm="1">
        <f t="array" aca="1" ref="H2900" ca="1">IF(INDEX(I2900:Z2900,$H$1)=0,"",INDEX(I2900:Z2900,$H$1))</f>
        <v>Blast Furnace Gas</v>
      </c>
      <c r="I2900" s="2" t="s">
        <v>601</v>
      </c>
      <c r="J2900" s="2" t="s">
        <v>1297</v>
      </c>
      <c r="K2900" s="27" t="s">
        <v>1487</v>
      </c>
    </row>
    <row r="2901" spans="1:11" x14ac:dyDescent="0.35">
      <c r="A2901" s="10" t="s">
        <v>1339</v>
      </c>
      <c r="B2901" s="255">
        <v>13</v>
      </c>
      <c r="C2901" s="10" t="s">
        <v>29</v>
      </c>
      <c r="D2901" s="10">
        <v>1</v>
      </c>
      <c r="E2901" s="10">
        <v>57</v>
      </c>
      <c r="F2901" s="10" t="s">
        <v>38</v>
      </c>
      <c r="G2901" s="10" t="s">
        <v>767</v>
      </c>
      <c r="H2901" s="10" t="str" cm="1">
        <f t="array" aca="1" ref="H2901" ca="1">IF(INDEX(I2901:Z2901,$H$1)=0,"",INDEX(I2901:Z2901,$H$1))</f>
        <v>Converter Gas</v>
      </c>
      <c r="I2901" s="2" t="s">
        <v>602</v>
      </c>
      <c r="J2901" s="2" t="s">
        <v>1222</v>
      </c>
      <c r="K2901" s="27" t="s">
        <v>1488</v>
      </c>
    </row>
    <row r="2902" spans="1:11" x14ac:dyDescent="0.35">
      <c r="A2902" s="10" t="s">
        <v>1339</v>
      </c>
      <c r="B2902" s="255">
        <v>13</v>
      </c>
      <c r="C2902" s="10" t="s">
        <v>29</v>
      </c>
      <c r="D2902" s="10">
        <v>1</v>
      </c>
      <c r="E2902" s="10">
        <v>58</v>
      </c>
      <c r="F2902" s="10" t="s">
        <v>38</v>
      </c>
      <c r="G2902" s="10" t="s">
        <v>767</v>
      </c>
      <c r="H2902" s="10" t="str" cm="1">
        <f t="array" aca="1" ref="H2902" ca="1">IF(INDEX(I2902:Z2902,$H$1)=0,"",INDEX(I2902:Z2902,$H$1))</f>
        <v>Gas of Calcium Carbide Furnace</v>
      </c>
      <c r="I2902" s="16" t="s">
        <v>603</v>
      </c>
      <c r="J2902" s="16" t="s">
        <v>1241</v>
      </c>
      <c r="K2902" s="27" t="s">
        <v>1489</v>
      </c>
    </row>
    <row r="2903" spans="1:11" x14ac:dyDescent="0.35">
      <c r="A2903" s="10" t="s">
        <v>1339</v>
      </c>
      <c r="B2903" s="255">
        <v>13</v>
      </c>
      <c r="C2903" s="10" t="s">
        <v>29</v>
      </c>
      <c r="D2903" s="10">
        <v>1</v>
      </c>
      <c r="E2903" s="10">
        <v>59</v>
      </c>
      <c r="F2903" s="10" t="s">
        <v>38</v>
      </c>
      <c r="G2903" s="10" t="s">
        <v>767</v>
      </c>
      <c r="H2903" s="10" t="str" cm="1">
        <f t="array" aca="1" ref="H2903" ca="1">IF(INDEX(I2903:Z2903,$H$1)=0,"",INDEX(I2903:Z2903,$H$1))</f>
        <v>Other Coal Gases</v>
      </c>
      <c r="I2903" s="2" t="s">
        <v>604</v>
      </c>
      <c r="J2903" s="2" t="s">
        <v>1270</v>
      </c>
      <c r="K2903" s="27" t="s">
        <v>1490</v>
      </c>
    </row>
    <row r="2904" spans="1:11" x14ac:dyDescent="0.35">
      <c r="A2904" s="10" t="s">
        <v>1339</v>
      </c>
      <c r="B2904" s="255">
        <v>13</v>
      </c>
      <c r="C2904" s="10" t="s">
        <v>29</v>
      </c>
      <c r="D2904" s="10">
        <v>1</v>
      </c>
      <c r="E2904" s="10">
        <v>60</v>
      </c>
      <c r="F2904" s="10" t="s">
        <v>687</v>
      </c>
      <c r="G2904" s="10" t="s">
        <v>695</v>
      </c>
      <c r="H2904" s="10" t="str" cm="1">
        <f t="array" aca="1" ref="H2904" ca="1">IF(INDEX(I2904:Z2904,$H$1)=0,"",INDEX(I2904:Z2904,$H$1))</f>
        <v>Application Type</v>
      </c>
      <c r="I2904" s="2" t="s">
        <v>2278</v>
      </c>
      <c r="J2904" s="2" t="s">
        <v>2330</v>
      </c>
      <c r="K2904" s="27" t="s">
        <v>2329</v>
      </c>
    </row>
    <row r="2905" spans="1:11" x14ac:dyDescent="0.35">
      <c r="A2905" s="10" t="s">
        <v>1339</v>
      </c>
      <c r="B2905" s="255">
        <v>13</v>
      </c>
      <c r="C2905" s="10" t="s">
        <v>29</v>
      </c>
      <c r="D2905" s="10">
        <v>1</v>
      </c>
      <c r="E2905" s="10">
        <v>61</v>
      </c>
      <c r="F2905" s="10" t="s">
        <v>38</v>
      </c>
      <c r="G2905" s="10" t="s">
        <v>767</v>
      </c>
      <c r="H2905" s="10" t="str" cm="1">
        <f t="array" aca="1" ref="H2905" ca="1">IF(INDEX(I2905:Z2905,$H$1)=0,"",INDEX(I2905:Z2905,$H$1))</f>
        <v>Turbine</v>
      </c>
      <c r="I2905" s="2" t="s">
        <v>2763</v>
      </c>
      <c r="J2905" s="2" t="s">
        <v>2331</v>
      </c>
      <c r="K2905" s="27" t="s">
        <v>2332</v>
      </c>
    </row>
    <row r="2906" spans="1:11" x14ac:dyDescent="0.35">
      <c r="A2906" s="10" t="s">
        <v>1339</v>
      </c>
      <c r="B2906" s="255">
        <v>13</v>
      </c>
      <c r="C2906" s="10" t="s">
        <v>29</v>
      </c>
      <c r="D2906" s="10">
        <v>1</v>
      </c>
      <c r="E2906" s="10">
        <v>62</v>
      </c>
      <c r="F2906" s="10" t="s">
        <v>38</v>
      </c>
      <c r="G2906" s="10" t="s">
        <v>767</v>
      </c>
      <c r="H2906" s="10" t="str" cm="1">
        <f t="array" aca="1" ref="H2906" ca="1">IF(INDEX(I2906:Z2906,$H$1)=0,"",INDEX(I2906:Z2906,$H$1))</f>
        <v>Gas Engine (2-Stroke Lean-Burn)</v>
      </c>
      <c r="I2906" s="2" t="s">
        <v>3288</v>
      </c>
      <c r="J2906" s="2" t="s">
        <v>2335</v>
      </c>
      <c r="K2906" s="27" t="s">
        <v>2333</v>
      </c>
    </row>
    <row r="2907" spans="1:11" x14ac:dyDescent="0.35">
      <c r="A2907" s="10" t="s">
        <v>1339</v>
      </c>
      <c r="B2907" s="255">
        <v>13</v>
      </c>
      <c r="C2907" s="10" t="s">
        <v>29</v>
      </c>
      <c r="D2907" s="10">
        <v>1</v>
      </c>
      <c r="E2907" s="10">
        <v>63</v>
      </c>
      <c r="F2907" s="10" t="s">
        <v>38</v>
      </c>
      <c r="G2907" s="10" t="s">
        <v>767</v>
      </c>
      <c r="H2907" s="10" t="str" cm="1">
        <f t="array" aca="1" ref="H2907" ca="1">IF(INDEX(I2907:Z2907,$H$1)=0,"",INDEX(I2907:Z2907,$H$1))</f>
        <v>Gas Engine (4-Stroke Lean-Burn)</v>
      </c>
      <c r="I2907" s="2" t="s">
        <v>3289</v>
      </c>
      <c r="J2907" s="2" t="s">
        <v>2336</v>
      </c>
      <c r="K2907" s="27" t="s">
        <v>2334</v>
      </c>
    </row>
    <row r="2908" spans="1:11" x14ac:dyDescent="0.35">
      <c r="A2908" s="10" t="s">
        <v>1339</v>
      </c>
      <c r="B2908" s="255">
        <v>13</v>
      </c>
      <c r="C2908" s="10" t="s">
        <v>29</v>
      </c>
      <c r="D2908" s="10">
        <v>1</v>
      </c>
      <c r="E2908" s="10">
        <v>64</v>
      </c>
      <c r="F2908" s="10" t="s">
        <v>38</v>
      </c>
      <c r="G2908" s="10" t="s">
        <v>767</v>
      </c>
      <c r="H2908" s="10" t="str" cm="1">
        <f t="array" aca="1" ref="H2908" ca="1">IF(INDEX(I2908:Z2908,$H$1)=0,"",INDEX(I2908:Z2908,$H$1))</f>
        <v>Gas Engine (4-Stroke Rich-Burn)</v>
      </c>
      <c r="I2908" s="2" t="s">
        <v>3290</v>
      </c>
      <c r="J2908" s="2" t="s">
        <v>2337</v>
      </c>
      <c r="K2908" s="27" t="s">
        <v>2338</v>
      </c>
    </row>
    <row r="2909" spans="1:11" x14ac:dyDescent="0.35">
      <c r="A2909" s="10" t="s">
        <v>1339</v>
      </c>
      <c r="B2909" s="255">
        <v>13</v>
      </c>
      <c r="C2909" s="10" t="s">
        <v>29</v>
      </c>
      <c r="D2909" s="10">
        <v>1</v>
      </c>
      <c r="E2909" s="10">
        <v>65</v>
      </c>
      <c r="F2909" s="10" t="s">
        <v>38</v>
      </c>
      <c r="G2909" s="10" t="s">
        <v>767</v>
      </c>
      <c r="H2909" s="10" t="str" cm="1">
        <f t="array" aca="1" ref="H2909" ca="1">IF(INDEX(I2909:Z2909,$H$1)=0,"",INDEX(I2909:Z2909,$H$1))</f>
        <v>Heaters &amp; Boilers</v>
      </c>
      <c r="I2909" s="2" t="s">
        <v>2280</v>
      </c>
      <c r="J2909" s="2" t="s">
        <v>2340</v>
      </c>
      <c r="K2909" s="27" t="s">
        <v>2339</v>
      </c>
    </row>
    <row r="2910" spans="1:11" x14ac:dyDescent="0.35">
      <c r="A2910" s="10" t="s">
        <v>1339</v>
      </c>
      <c r="B2910" s="255">
        <v>13</v>
      </c>
      <c r="C2910" s="10" t="s">
        <v>29</v>
      </c>
      <c r="D2910" s="10">
        <v>1</v>
      </c>
      <c r="E2910" s="10">
        <v>66</v>
      </c>
      <c r="F2910" s="10" t="s">
        <v>38</v>
      </c>
      <c r="G2910" s="10" t="s">
        <v>767</v>
      </c>
      <c r="H2910" s="10" t="str" cm="1">
        <f t="array" aca="1" ref="H2910" ca="1">IF(INDEX(I2910:Z2910,$H$1)=0,"",INDEX(I2910:Z2910,$H$1))</f>
        <v>Heaters &amp; Boilers (Low-NOx)</v>
      </c>
      <c r="I2910" s="2" t="s">
        <v>2282</v>
      </c>
      <c r="J2910" s="2" t="s">
        <v>2341</v>
      </c>
      <c r="K2910" s="27" t="s">
        <v>2342</v>
      </c>
    </row>
    <row r="2911" spans="1:11" x14ac:dyDescent="0.35">
      <c r="A2911" s="10" t="s">
        <v>1339</v>
      </c>
      <c r="B2911" s="255">
        <v>13</v>
      </c>
      <c r="C2911" s="10" t="s">
        <v>29</v>
      </c>
      <c r="D2911" s="10">
        <v>1</v>
      </c>
      <c r="E2911" s="10">
        <v>66</v>
      </c>
      <c r="F2911" s="10" t="s">
        <v>38</v>
      </c>
      <c r="G2911" s="10" t="s">
        <v>767</v>
      </c>
      <c r="H2911" s="10" t="str" cm="1">
        <f t="array" aca="1" ref="H2911" ca="1">IF(INDEX(I2911:Z2911,$H$1)=0,"",INDEX(I2911:Z2911,$H$1))</f>
        <v>Heater/Boiler Type</v>
      </c>
      <c r="I2911" s="2" t="s">
        <v>2761</v>
      </c>
      <c r="J2911" s="2" t="s">
        <v>2773</v>
      </c>
      <c r="K2911" s="27" t="s">
        <v>2780</v>
      </c>
    </row>
    <row r="2912" spans="1:11" x14ac:dyDescent="0.35">
      <c r="A2912" s="10" t="s">
        <v>1339</v>
      </c>
      <c r="B2912" s="255">
        <v>13</v>
      </c>
      <c r="C2912" s="10" t="s">
        <v>29</v>
      </c>
      <c r="D2912" s="10">
        <v>1</v>
      </c>
      <c r="E2912" s="10">
        <v>66</v>
      </c>
      <c r="F2912" s="10" t="s">
        <v>38</v>
      </c>
      <c r="G2912" s="10" t="s">
        <v>767</v>
      </c>
      <c r="H2912" s="10" t="str" cm="1">
        <f t="array" aca="1" ref="H2912" ca="1">IF(INDEX(I2912:Z2912,$H$1)=0,"",INDEX(I2912:Z2912,$H$1))</f>
        <v>Unknown</v>
      </c>
      <c r="I2912" s="2" t="s">
        <v>2794</v>
      </c>
      <c r="J2912" s="2" t="s">
        <v>2794</v>
      </c>
      <c r="K2912" s="2" t="s">
        <v>2794</v>
      </c>
    </row>
    <row r="2913" spans="1:11" x14ac:dyDescent="0.35">
      <c r="A2913" s="10" t="s">
        <v>1339</v>
      </c>
      <c r="B2913" s="255">
        <v>13</v>
      </c>
      <c r="C2913" s="10" t="s">
        <v>29</v>
      </c>
      <c r="D2913" s="10">
        <v>1</v>
      </c>
      <c r="E2913" s="10">
        <v>66</v>
      </c>
      <c r="F2913" s="10" t="s">
        <v>38</v>
      </c>
      <c r="G2913" s="10" t="s">
        <v>767</v>
      </c>
      <c r="H2913" s="10" t="str" cm="1">
        <f t="array" aca="1" ref="H2913" ca="1">IF(INDEX(I2913:Z2913,$H$1)=0,"",INDEX(I2913:Z2913,$H$1))</f>
        <v>Turbine</v>
      </c>
      <c r="I2913" s="2" t="s">
        <v>2763</v>
      </c>
      <c r="J2913" s="2" t="s">
        <v>2763</v>
      </c>
      <c r="K2913" s="2" t="s">
        <v>2763</v>
      </c>
    </row>
    <row r="2914" spans="1:11" x14ac:dyDescent="0.35">
      <c r="A2914" s="10"/>
      <c r="B2914" s="255"/>
      <c r="C2914" s="10"/>
      <c r="D2914" s="10">
        <v>1</v>
      </c>
      <c r="E2914" s="10">
        <v>61</v>
      </c>
      <c r="F2914" s="10" t="s">
        <v>38</v>
      </c>
      <c r="G2914" s="10" t="s">
        <v>767</v>
      </c>
      <c r="H2914" s="10" t="str" cm="1">
        <f t="array" aca="1" ref="H2914" ca="1">IF(INDEX(I2914:Z2914,$H$1)=0,"",INDEX(I2914:Z2914,$H$1))</f>
        <v>Engine (Liquid Fuel)</v>
      </c>
      <c r="I2914" s="2" t="s">
        <v>3292</v>
      </c>
      <c r="J2914" s="2" t="s">
        <v>3292</v>
      </c>
      <c r="K2914" s="2" t="s">
        <v>3292</v>
      </c>
    </row>
    <row r="2915" spans="1:11" x14ac:dyDescent="0.35">
      <c r="A2915" s="10" t="s">
        <v>1339</v>
      </c>
      <c r="B2915" s="255">
        <v>13</v>
      </c>
      <c r="C2915" s="10" t="s">
        <v>29</v>
      </c>
      <c r="D2915" s="10">
        <v>1</v>
      </c>
      <c r="E2915" s="10">
        <v>66</v>
      </c>
      <c r="F2915" s="10" t="s">
        <v>38</v>
      </c>
      <c r="G2915" s="10" t="s">
        <v>767</v>
      </c>
      <c r="H2915" s="10" t="str" cm="1">
        <f t="array" aca="1" ref="H2915" ca="1">IF(INDEX(I2915:Z2915,$H$1)=0,"",INDEX(I2915:Z2915,$H$1))</f>
        <v>Gas Engine (2-Stroke Lean-Burn)</v>
      </c>
      <c r="I2915" s="2" t="s">
        <v>3288</v>
      </c>
      <c r="J2915" s="2" t="s">
        <v>3288</v>
      </c>
      <c r="K2915" s="2" t="s">
        <v>3288</v>
      </c>
    </row>
    <row r="2916" spans="1:11" x14ac:dyDescent="0.35">
      <c r="A2916" s="10" t="s">
        <v>1339</v>
      </c>
      <c r="B2916" s="255">
        <v>13</v>
      </c>
      <c r="C2916" s="10" t="s">
        <v>29</v>
      </c>
      <c r="D2916" s="10">
        <v>1</v>
      </c>
      <c r="E2916" s="10">
        <v>66</v>
      </c>
      <c r="F2916" s="10" t="s">
        <v>38</v>
      </c>
      <c r="G2916" s="10" t="s">
        <v>767</v>
      </c>
      <c r="H2916" s="10" t="str" cm="1">
        <f t="array" aca="1" ref="H2916" ca="1">IF(INDEX(I2916:Z2916,$H$1)=0,"",INDEX(I2916:Z2916,$H$1))</f>
        <v>Gas Engine (4-Stroke Lean-Burn)</v>
      </c>
      <c r="I2916" s="2" t="s">
        <v>3289</v>
      </c>
      <c r="J2916" s="2" t="s">
        <v>3289</v>
      </c>
      <c r="K2916" s="2" t="s">
        <v>3289</v>
      </c>
    </row>
    <row r="2917" spans="1:11" x14ac:dyDescent="0.35">
      <c r="A2917" s="10" t="s">
        <v>1339</v>
      </c>
      <c r="B2917" s="255">
        <v>13</v>
      </c>
      <c r="C2917" s="10" t="s">
        <v>29</v>
      </c>
      <c r="D2917" s="10">
        <v>1</v>
      </c>
      <c r="E2917" s="10">
        <v>66</v>
      </c>
      <c r="F2917" s="10" t="s">
        <v>38</v>
      </c>
      <c r="G2917" s="10" t="s">
        <v>767</v>
      </c>
      <c r="H2917" s="10" t="str" cm="1">
        <f t="array" aca="1" ref="H2917" ca="1">IF(INDEX(I2917:Z2917,$H$1)=0,"",INDEX(I2917:Z2917,$H$1))</f>
        <v>Gas Engine (4-Stroke Rich-Burn)</v>
      </c>
      <c r="I2917" s="2" t="s">
        <v>3290</v>
      </c>
      <c r="J2917" s="2" t="s">
        <v>3290</v>
      </c>
      <c r="K2917" s="2" t="s">
        <v>3290</v>
      </c>
    </row>
    <row r="2918" spans="1:11" x14ac:dyDescent="0.35">
      <c r="A2918" s="10" t="s">
        <v>1339</v>
      </c>
      <c r="B2918" s="255">
        <v>13</v>
      </c>
      <c r="C2918" s="10" t="s">
        <v>29</v>
      </c>
      <c r="D2918" s="10">
        <v>1</v>
      </c>
      <c r="E2918" s="10">
        <v>66</v>
      </c>
      <c r="F2918" s="10" t="s">
        <v>38</v>
      </c>
      <c r="G2918" s="10" t="s">
        <v>767</v>
      </c>
      <c r="H2918" s="10" t="str" cm="1">
        <f t="array" aca="1" ref="H2918" ca="1">IF(INDEX(I2918:Z2918,$H$1)=0,"",INDEX(I2918:Z2918,$H$1))</f>
        <v>Basis</v>
      </c>
      <c r="I2918" s="2" t="s">
        <v>2759</v>
      </c>
      <c r="J2918" s="2" t="s">
        <v>2759</v>
      </c>
      <c r="K2918" s="2" t="s">
        <v>2759</v>
      </c>
    </row>
    <row r="2919" spans="1:11" x14ac:dyDescent="0.35">
      <c r="A2919" s="10" t="s">
        <v>1339</v>
      </c>
      <c r="B2919" s="255">
        <v>13</v>
      </c>
      <c r="C2919" s="10" t="s">
        <v>29</v>
      </c>
      <c r="D2919" s="10">
        <v>1</v>
      </c>
      <c r="E2919" s="10">
        <v>66</v>
      </c>
      <c r="F2919" s="10" t="s">
        <v>38</v>
      </c>
      <c r="G2919" s="10" t="s">
        <v>767</v>
      </c>
      <c r="H2919" s="10" t="str" cm="1">
        <f t="array" aca="1" ref="H2919" ca="1">IF(INDEX(I2919:Z2919,$H$1)=0,"",INDEX(I2919:Z2919,$H$1))</f>
        <v>Manufacturer</v>
      </c>
      <c r="I2919" s="2" t="s">
        <v>420</v>
      </c>
      <c r="J2919" s="2" t="s">
        <v>420</v>
      </c>
      <c r="K2919" s="2" t="s">
        <v>420</v>
      </c>
    </row>
    <row r="2920" spans="1:11" x14ac:dyDescent="0.35">
      <c r="A2920" s="10" t="s">
        <v>1339</v>
      </c>
      <c r="B2920" s="255">
        <v>13</v>
      </c>
      <c r="C2920" s="10" t="s">
        <v>29</v>
      </c>
      <c r="D2920" s="10">
        <v>1</v>
      </c>
      <c r="E2920" s="10">
        <v>66</v>
      </c>
      <c r="F2920" s="10" t="s">
        <v>38</v>
      </c>
      <c r="G2920" s="10" t="s">
        <v>767</v>
      </c>
      <c r="H2920" s="10" t="str" cm="1">
        <f t="array" aca="1" ref="H2920" ca="1">IF(INDEX(I2920:Z2920,$H$1)=0,"",INDEX(I2920:Z2920,$H$1))</f>
        <v>Engineering Judgement</v>
      </c>
      <c r="I2920" s="2" t="s">
        <v>581</v>
      </c>
      <c r="J2920" s="2" t="s">
        <v>581</v>
      </c>
      <c r="K2920" s="2" t="s">
        <v>581</v>
      </c>
    </row>
    <row r="2921" spans="1:11" x14ac:dyDescent="0.35">
      <c r="A2921" s="10" t="s">
        <v>1339</v>
      </c>
      <c r="B2921" s="255">
        <v>13</v>
      </c>
      <c r="C2921" s="10" t="s">
        <v>29</v>
      </c>
      <c r="D2921" s="10">
        <v>1</v>
      </c>
      <c r="E2921" s="10">
        <v>66</v>
      </c>
      <c r="F2921" s="10" t="s">
        <v>38</v>
      </c>
      <c r="G2921" s="10" t="s">
        <v>767</v>
      </c>
      <c r="H2921" s="10" t="str" cm="1">
        <f t="array" aca="1" ref="H2921" ca="1">IF(INDEX(I2921:Z2921,$H$1)=0,"",INDEX(I2921:Z2921,$H$1))</f>
        <v>Oil Storage System Type</v>
      </c>
      <c r="I2921" s="2" t="s">
        <v>3134</v>
      </c>
      <c r="J2921" s="2" t="s">
        <v>3134</v>
      </c>
      <c r="K2921" s="2" t="s">
        <v>3134</v>
      </c>
    </row>
    <row r="2922" spans="1:11" x14ac:dyDescent="0.35">
      <c r="A2922" s="10" t="s">
        <v>1339</v>
      </c>
      <c r="B2922" s="255">
        <v>13</v>
      </c>
      <c r="C2922" s="10" t="s">
        <v>29</v>
      </c>
      <c r="D2922" s="10">
        <v>1</v>
      </c>
      <c r="E2922" s="10">
        <v>66</v>
      </c>
      <c r="F2922" s="10" t="s">
        <v>38</v>
      </c>
      <c r="G2922" s="10" t="s">
        <v>767</v>
      </c>
      <c r="H2922" s="10" t="str" cm="1">
        <f t="array" aca="1" ref="H2922" ca="1">IF(INDEX(I2922:Z2922,$H$1)=0,"",INDEX(I2922:Z2922,$H$1))</f>
        <v>Separator</v>
      </c>
      <c r="I2922" s="2" t="s">
        <v>3135</v>
      </c>
      <c r="J2922" s="2" t="s">
        <v>3135</v>
      </c>
      <c r="K2922" s="2" t="s">
        <v>3135</v>
      </c>
    </row>
    <row r="2923" spans="1:11" x14ac:dyDescent="0.35">
      <c r="A2923" s="10" t="s">
        <v>1339</v>
      </c>
      <c r="B2923" s="255">
        <v>13</v>
      </c>
      <c r="C2923" s="10" t="s">
        <v>29</v>
      </c>
      <c r="D2923" s="10">
        <v>1</v>
      </c>
      <c r="E2923" s="10">
        <v>66</v>
      </c>
      <c r="F2923" s="10" t="s">
        <v>38</v>
      </c>
      <c r="G2923" s="10" t="s">
        <v>767</v>
      </c>
      <c r="H2923" s="10" t="str" cm="1">
        <f t="array" aca="1" ref="H2923" ca="1">IF(INDEX(I2923:Z2923,$H$1)=0,"",INDEX(I2923:Z2923,$H$1))</f>
        <v>Treater</v>
      </c>
      <c r="I2923" s="2" t="s">
        <v>2869</v>
      </c>
      <c r="J2923" s="2" t="s">
        <v>2869</v>
      </c>
      <c r="K2923" s="2" t="s">
        <v>2869</v>
      </c>
    </row>
    <row r="2924" spans="1:11" x14ac:dyDescent="0.35">
      <c r="A2924" s="10" t="s">
        <v>1339</v>
      </c>
      <c r="B2924" s="255">
        <v>13</v>
      </c>
      <c r="C2924" s="10" t="s">
        <v>29</v>
      </c>
      <c r="D2924" s="10">
        <v>1</v>
      </c>
      <c r="E2924" s="10">
        <v>66</v>
      </c>
      <c r="F2924" s="10" t="s">
        <v>38</v>
      </c>
      <c r="G2924" s="10" t="s">
        <v>767</v>
      </c>
      <c r="H2924" s="10" t="str" cm="1">
        <f t="array" aca="1" ref="H2924" ca="1">IF(INDEX(I2924:Z2924,$H$1)=0,"",INDEX(I2924:Z2924,$H$1))</f>
        <v>Vapor Recovery Tower</v>
      </c>
      <c r="I2924" s="2" t="s">
        <v>3136</v>
      </c>
      <c r="J2924" s="2" t="s">
        <v>3136</v>
      </c>
      <c r="K2924" s="2" t="s">
        <v>3136</v>
      </c>
    </row>
    <row r="2925" spans="1:11" x14ac:dyDescent="0.35">
      <c r="A2925" s="10" t="s">
        <v>1339</v>
      </c>
      <c r="B2925" s="255">
        <v>13</v>
      </c>
      <c r="C2925" s="10" t="s">
        <v>29</v>
      </c>
      <c r="D2925" s="10">
        <v>1</v>
      </c>
      <c r="E2925" s="10">
        <v>66</v>
      </c>
      <c r="F2925" s="10" t="s">
        <v>38</v>
      </c>
      <c r="G2925" s="10" t="s">
        <v>767</v>
      </c>
      <c r="H2925" s="10" t="str" cm="1">
        <f t="array" aca="1" ref="H2925" ca="1">IF(INDEX(I2925:Z2925,$H$1)=0,"",INDEX(I2925:Z2925,$H$1))</f>
        <v>Produced Water Storage System Type</v>
      </c>
      <c r="I2925" s="2" t="s">
        <v>3137</v>
      </c>
      <c r="J2925" s="2" t="s">
        <v>3137</v>
      </c>
      <c r="K2925" s="2" t="s">
        <v>3137</v>
      </c>
    </row>
    <row r="2926" spans="1:11" x14ac:dyDescent="0.35">
      <c r="A2926" s="10" t="s">
        <v>1339</v>
      </c>
      <c r="B2926" s="255">
        <v>13</v>
      </c>
      <c r="C2926" s="10" t="s">
        <v>29</v>
      </c>
      <c r="D2926" s="10">
        <v>1</v>
      </c>
      <c r="E2926" s="10">
        <v>66</v>
      </c>
      <c r="F2926" s="10" t="s">
        <v>38</v>
      </c>
      <c r="G2926" s="10" t="s">
        <v>767</v>
      </c>
      <c r="H2926" s="10" t="str" cm="1">
        <f t="array" aca="1" ref="H2926" ca="1">IF(INDEX(I2926:Z2926,$H$1)=0,"",INDEX(I2926:Z2926,$H$1))</f>
        <v>Inlet Separator</v>
      </c>
      <c r="I2926" s="2" t="s">
        <v>3138</v>
      </c>
      <c r="J2926" s="2" t="s">
        <v>3138</v>
      </c>
      <c r="K2926" s="2" t="s">
        <v>3138</v>
      </c>
    </row>
    <row r="2927" spans="1:11" x14ac:dyDescent="0.35">
      <c r="A2927" s="10" t="s">
        <v>1339</v>
      </c>
      <c r="B2927" s="255">
        <v>13</v>
      </c>
      <c r="C2927" s="10" t="s">
        <v>29</v>
      </c>
      <c r="D2927" s="10">
        <v>1</v>
      </c>
      <c r="E2927" s="10">
        <v>66</v>
      </c>
      <c r="F2927" s="10" t="s">
        <v>38</v>
      </c>
      <c r="G2927" s="10" t="s">
        <v>767</v>
      </c>
      <c r="H2927" s="10" t="str" cm="1">
        <f t="array" aca="1" ref="H2927" ca="1">IF(INDEX(I2927:Z2927,$H$1)=0,"",INDEX(I2927:Z2927,$H$1))</f>
        <v>Free-Water Knock-Out</v>
      </c>
      <c r="I2927" s="2" t="s">
        <v>2868</v>
      </c>
      <c r="J2927" s="2" t="s">
        <v>2868</v>
      </c>
      <c r="K2927" s="2" t="s">
        <v>2868</v>
      </c>
    </row>
    <row r="2928" spans="1:11" x14ac:dyDescent="0.35">
      <c r="A2928" s="10" t="s">
        <v>1339</v>
      </c>
      <c r="B2928" s="255">
        <v>13</v>
      </c>
      <c r="C2928" s="10" t="s">
        <v>29</v>
      </c>
      <c r="D2928" s="10">
        <v>1</v>
      </c>
      <c r="E2928" s="10">
        <v>66</v>
      </c>
      <c r="F2928" s="10" t="s">
        <v>38</v>
      </c>
      <c r="G2928" s="10" t="s">
        <v>767</v>
      </c>
      <c r="H2928" s="10" t="str" cm="1">
        <f t="array" aca="1" ref="H2928" ca="1">IF(INDEX(I2928:Z2928,$H$1)=0,"",INDEX(I2928:Z2928,$H$1))</f>
        <v>Vent Control Device</v>
      </c>
      <c r="I2928" s="2" t="s">
        <v>2814</v>
      </c>
      <c r="J2928" s="2" t="s">
        <v>2814</v>
      </c>
      <c r="K2928" s="2" t="s">
        <v>2814</v>
      </c>
    </row>
    <row r="2929" spans="1:11" x14ac:dyDescent="0.35">
      <c r="A2929" s="10" t="s">
        <v>1339</v>
      </c>
      <c r="B2929" s="255">
        <v>13</v>
      </c>
      <c r="C2929" s="10" t="s">
        <v>29</v>
      </c>
      <c r="D2929" s="10">
        <v>1</v>
      </c>
      <c r="E2929" s="10">
        <v>66</v>
      </c>
      <c r="F2929" s="10" t="s">
        <v>38</v>
      </c>
      <c r="G2929" s="10" t="s">
        <v>767</v>
      </c>
      <c r="H2929" s="10" t="str" cm="1">
        <f t="array" aca="1" ref="H2929" ca="1">IF(INDEX(I2929:Z2929,$H$1)=0,"",INDEX(I2929:Z2929,$H$1))</f>
        <v>None</v>
      </c>
      <c r="I2929" s="2" t="s">
        <v>14</v>
      </c>
      <c r="J2929" s="2" t="s">
        <v>14</v>
      </c>
      <c r="K2929" s="2" t="s">
        <v>14</v>
      </c>
    </row>
    <row r="2930" spans="1:11" x14ac:dyDescent="0.35">
      <c r="A2930" s="10" t="s">
        <v>1339</v>
      </c>
      <c r="B2930" s="255">
        <v>13</v>
      </c>
      <c r="C2930" s="10" t="s">
        <v>29</v>
      </c>
      <c r="D2930" s="10">
        <v>1</v>
      </c>
      <c r="E2930" s="10">
        <v>66</v>
      </c>
      <c r="F2930" s="10" t="s">
        <v>38</v>
      </c>
      <c r="G2930" s="10" t="s">
        <v>767</v>
      </c>
      <c r="H2930" s="10" t="str" cm="1">
        <f t="array" aca="1" ref="H2930" ca="1">IF(INDEX(I2930:Z2930,$H$1)=0,"",INDEX(I2930:Z2930,$H$1))</f>
        <v>Flare</v>
      </c>
      <c r="I2930" s="2" t="s">
        <v>3139</v>
      </c>
      <c r="J2930" s="2" t="s">
        <v>3139</v>
      </c>
      <c r="K2930" s="2" t="s">
        <v>3139</v>
      </c>
    </row>
    <row r="2931" spans="1:11" x14ac:dyDescent="0.35">
      <c r="A2931" s="10" t="s">
        <v>1339</v>
      </c>
      <c r="B2931" s="255">
        <v>13</v>
      </c>
      <c r="C2931" s="10" t="s">
        <v>29</v>
      </c>
      <c r="D2931" s="10">
        <v>1</v>
      </c>
      <c r="E2931" s="10">
        <v>66</v>
      </c>
      <c r="F2931" s="10" t="s">
        <v>38</v>
      </c>
      <c r="G2931" s="10" t="s">
        <v>767</v>
      </c>
      <c r="H2931" s="10" t="str" cm="1">
        <f t="array" aca="1" ref="H2931" ca="1">IF(INDEX(I2931:Z2931,$H$1)=0,"",INDEX(I2931:Z2931,$H$1))</f>
        <v>Vapor Recovery Compressor</v>
      </c>
      <c r="I2931" s="2" t="s">
        <v>2866</v>
      </c>
      <c r="J2931" s="2" t="s">
        <v>2866</v>
      </c>
      <c r="K2931" s="2" t="s">
        <v>2866</v>
      </c>
    </row>
    <row r="2932" spans="1:11" x14ac:dyDescent="0.35">
      <c r="A2932" s="10" t="s">
        <v>1339</v>
      </c>
      <c r="B2932" s="255">
        <v>13</v>
      </c>
      <c r="C2932" s="10" t="s">
        <v>29</v>
      </c>
      <c r="D2932" s="10">
        <v>1</v>
      </c>
      <c r="E2932" s="10">
        <v>66</v>
      </c>
      <c r="F2932" s="10" t="s">
        <v>38</v>
      </c>
      <c r="G2932" s="10" t="s">
        <v>767</v>
      </c>
      <c r="H2932" s="10" t="str" cm="1">
        <f t="array" aca="1" ref="H2932" ca="1">IF(INDEX(I2932:Z2932,$H$1)=0,"",INDEX(I2932:Z2932,$H$1))</f>
        <v>Heater (Natural Draft)</v>
      </c>
      <c r="I2932" s="2" t="s">
        <v>2765</v>
      </c>
      <c r="J2932" s="2" t="s">
        <v>2774</v>
      </c>
      <c r="K2932" s="27" t="s">
        <v>2781</v>
      </c>
    </row>
    <row r="2933" spans="1:11" x14ac:dyDescent="0.35">
      <c r="A2933" s="10" t="s">
        <v>1339</v>
      </c>
      <c r="B2933" s="255">
        <v>13</v>
      </c>
      <c r="C2933" s="10" t="s">
        <v>29</v>
      </c>
      <c r="D2933" s="10">
        <v>1</v>
      </c>
      <c r="E2933" s="10">
        <v>66</v>
      </c>
      <c r="F2933" s="10" t="s">
        <v>38</v>
      </c>
      <c r="G2933" s="10" t="s">
        <v>767</v>
      </c>
      <c r="H2933" s="10" t="str" cm="1">
        <f t="array" aca="1" ref="H2933" ca="1">IF(INDEX(I2933:Z2933,$H$1)=0,"",INDEX(I2933:Z2933,$H$1))</f>
        <v>Heater (Forced Draft)</v>
      </c>
      <c r="I2933" s="2" t="s">
        <v>2766</v>
      </c>
      <c r="J2933" s="2" t="s">
        <v>2775</v>
      </c>
      <c r="K2933" s="27" t="s">
        <v>2782</v>
      </c>
    </row>
    <row r="2934" spans="1:11" x14ac:dyDescent="0.35">
      <c r="A2934" s="10" t="s">
        <v>1339</v>
      </c>
      <c r="B2934" s="255">
        <v>13</v>
      </c>
      <c r="C2934" s="10" t="s">
        <v>29</v>
      </c>
      <c r="D2934" s="10">
        <v>1</v>
      </c>
      <c r="E2934" s="10">
        <v>66</v>
      </c>
      <c r="F2934" s="10" t="s">
        <v>38</v>
      </c>
      <c r="G2934" s="10" t="s">
        <v>767</v>
      </c>
      <c r="H2934" s="10" t="str" cm="1">
        <f t="array" aca="1" ref="H2934" ca="1">IF(INDEX(I2934:Z2934,$H$1)=0,"",INDEX(I2934:Z2934,$H$1))</f>
        <v>Boiler</v>
      </c>
      <c r="I2934" s="2" t="s">
        <v>2767</v>
      </c>
      <c r="J2934" s="2" t="s">
        <v>2776</v>
      </c>
      <c r="K2934" s="27" t="s">
        <v>2783</v>
      </c>
    </row>
    <row r="2935" spans="1:11" x14ac:dyDescent="0.35">
      <c r="A2935" s="10" t="s">
        <v>1339</v>
      </c>
      <c r="B2935" s="255">
        <v>13</v>
      </c>
      <c r="C2935" s="10" t="s">
        <v>29</v>
      </c>
      <c r="D2935" s="10">
        <v>1</v>
      </c>
      <c r="E2935" s="10">
        <v>66</v>
      </c>
      <c r="F2935" s="10" t="s">
        <v>38</v>
      </c>
      <c r="G2935" s="10" t="s">
        <v>767</v>
      </c>
      <c r="H2935" s="10" t="str" cm="1">
        <f t="array" aca="1" ref="H2935" ca="1">IF(INDEX(I2935:Z2935,$H$1)=0,"",INDEX(I2935:Z2935,$H$1))</f>
        <v>Engine Type</v>
      </c>
      <c r="I2935" s="2" t="s">
        <v>2762</v>
      </c>
      <c r="J2935" s="2" t="s">
        <v>2777</v>
      </c>
      <c r="K2935" s="27" t="s">
        <v>2784</v>
      </c>
    </row>
    <row r="2936" spans="1:11" x14ac:dyDescent="0.35">
      <c r="A2936" s="10" t="s">
        <v>1339</v>
      </c>
      <c r="B2936" s="255">
        <v>13</v>
      </c>
      <c r="C2936" s="10" t="s">
        <v>29</v>
      </c>
      <c r="D2936" s="10">
        <v>1</v>
      </c>
      <c r="E2936" s="10">
        <v>66</v>
      </c>
      <c r="F2936" s="10" t="s">
        <v>38</v>
      </c>
      <c r="G2936" s="10" t="s">
        <v>767</v>
      </c>
      <c r="H2936" s="10" t="str" cm="1">
        <f t="array" aca="1" ref="H2936" ca="1">IF(INDEX(I2936:Z2936,$H$1)=0,"",INDEX(I2936:Z2936,$H$1))</f>
        <v>Turbine</v>
      </c>
      <c r="I2936" s="2" t="s">
        <v>2763</v>
      </c>
      <c r="J2936" s="2" t="s">
        <v>2778</v>
      </c>
      <c r="K2936" s="27" t="s">
        <v>2785</v>
      </c>
    </row>
    <row r="2937" spans="1:11" x14ac:dyDescent="0.35">
      <c r="A2937" s="10" t="s">
        <v>1339</v>
      </c>
      <c r="B2937" s="255">
        <v>13</v>
      </c>
      <c r="C2937" s="10" t="s">
        <v>29</v>
      </c>
      <c r="D2937" s="10">
        <v>1</v>
      </c>
      <c r="E2937" s="10">
        <v>66</v>
      </c>
      <c r="F2937" s="10" t="s">
        <v>38</v>
      </c>
      <c r="G2937" s="10" t="s">
        <v>767</v>
      </c>
      <c r="H2937" s="10" t="str" cm="1">
        <f t="array" aca="1" ref="H2937" ca="1">IF(INDEX(I2937:Z2937,$H$1)=0,"",INDEX(I2937:Z2937,$H$1))</f>
        <v>Reciprocating Engine</v>
      </c>
      <c r="I2937" s="2" t="s">
        <v>2764</v>
      </c>
      <c r="J2937" s="2" t="s">
        <v>2779</v>
      </c>
      <c r="K2937" s="27" t="s">
        <v>2786</v>
      </c>
    </row>
    <row r="2938" spans="1:11" x14ac:dyDescent="0.35">
      <c r="A2938" s="10" t="s">
        <v>1339</v>
      </c>
      <c r="B2938" s="255">
        <v>13</v>
      </c>
      <c r="C2938" s="10" t="s">
        <v>29</v>
      </c>
      <c r="D2938" s="10">
        <v>1</v>
      </c>
      <c r="E2938" s="10">
        <v>67</v>
      </c>
      <c r="F2938" s="10" t="s">
        <v>687</v>
      </c>
      <c r="G2938" s="10" t="s">
        <v>695</v>
      </c>
      <c r="H2938" s="10" t="str" cm="1">
        <f t="array" aca="1" ref="H2938" ca="1">IF(INDEX(I2938:Z2938,$H$1)=0,"",INDEX(I2938:Z2938,$H$1))</f>
        <v xml:space="preserve">Language </v>
      </c>
      <c r="I2938" s="2" t="s">
        <v>1101</v>
      </c>
      <c r="J2938" s="2" t="s">
        <v>1345</v>
      </c>
      <c r="K2938" s="2" t="s">
        <v>1849</v>
      </c>
    </row>
    <row r="2939" spans="1:11" x14ac:dyDescent="0.35">
      <c r="A2939" s="10" t="s">
        <v>1339</v>
      </c>
      <c r="B2939" s="255">
        <v>13</v>
      </c>
      <c r="C2939" s="10" t="s">
        <v>29</v>
      </c>
      <c r="D2939" s="10">
        <v>1</v>
      </c>
      <c r="E2939" s="10">
        <v>68</v>
      </c>
      <c r="F2939" s="10" t="s">
        <v>38</v>
      </c>
      <c r="G2939" s="10" t="s">
        <v>767</v>
      </c>
      <c r="H2939" s="10" t="str" cm="1">
        <f t="array" aca="1" ref="H2939" ca="1">IF(INDEX(I2939:Z2939,$H$1)=0,"",INDEX(I2939:Z2939,$H$1))</f>
        <v>英语/English</v>
      </c>
      <c r="I2939" s="2" t="s">
        <v>1104</v>
      </c>
      <c r="J2939" s="2" t="s">
        <v>1104</v>
      </c>
      <c r="K2939" s="2" t="s">
        <v>1104</v>
      </c>
    </row>
    <row r="2940" spans="1:11" x14ac:dyDescent="0.35">
      <c r="A2940" s="10" t="s">
        <v>1339</v>
      </c>
      <c r="B2940" s="255">
        <v>13</v>
      </c>
      <c r="C2940" s="10" t="s">
        <v>29</v>
      </c>
      <c r="D2940" s="10">
        <v>1</v>
      </c>
      <c r="E2940" s="10">
        <v>69</v>
      </c>
      <c r="F2940" s="10" t="s">
        <v>38</v>
      </c>
      <c r="G2940" s="10" t="s">
        <v>767</v>
      </c>
      <c r="H2940" s="10" t="str" cm="1">
        <f t="array" aca="1" ref="H2940" ca="1">IF(INDEX(I2940:Z2940,$H$1)=0,"",INDEX(I2940:Z2940,$H$1))</f>
        <v>中文</v>
      </c>
      <c r="I2940" s="8" t="s">
        <v>1102</v>
      </c>
      <c r="J2940" s="8" t="s">
        <v>1102</v>
      </c>
      <c r="K2940" s="8" t="s">
        <v>1102</v>
      </c>
    </row>
    <row r="2941" spans="1:11" x14ac:dyDescent="0.35">
      <c r="A2941" s="10" t="s">
        <v>1339</v>
      </c>
      <c r="B2941" s="255">
        <v>13</v>
      </c>
      <c r="C2941" s="10" t="s">
        <v>29</v>
      </c>
      <c r="D2941" s="10">
        <v>1</v>
      </c>
      <c r="E2941" s="10">
        <v>70</v>
      </c>
      <c r="F2941" s="10" t="s">
        <v>38</v>
      </c>
      <c r="G2941" s="10" t="s">
        <v>767</v>
      </c>
      <c r="H2941" s="10" t="str" cm="1">
        <f t="array" aca="1" ref="H2941" ca="1">IF(INDEX(I2941:Z2941,$H$1)=0,"",INDEX(I2941:Z2941,$H$1))</f>
        <v>Española (Colombia)</v>
      </c>
      <c r="I2941" s="2" t="s">
        <v>1332</v>
      </c>
      <c r="J2941" s="2" t="s">
        <v>1332</v>
      </c>
      <c r="K2941" s="2" t="s">
        <v>1332</v>
      </c>
    </row>
    <row r="2942" spans="1:11" x14ac:dyDescent="0.35">
      <c r="A2942" s="10" t="s">
        <v>3128</v>
      </c>
      <c r="B2942" s="255">
        <v>14</v>
      </c>
      <c r="C2942" s="2" t="s">
        <v>388</v>
      </c>
      <c r="D2942" s="10">
        <v>1</v>
      </c>
      <c r="E2942" s="10">
        <v>3</v>
      </c>
      <c r="F2942" s="10" t="s">
        <v>690</v>
      </c>
      <c r="G2942" s="10" t="s">
        <v>688</v>
      </c>
      <c r="H2942" s="10" t="str" cm="1">
        <f t="array" aca="1" ref="H2942" ca="1">IF(INDEX(I2942:Z2942,$H$1)=0,"",INDEX(I2942:Z2942,$H$1))</f>
        <v>Estimation of Volumes of Gas Released by Blowdown &amp; Purging Events</v>
      </c>
      <c r="I2942" s="2" t="s">
        <v>388</v>
      </c>
      <c r="J2942" s="2" t="s">
        <v>1119</v>
      </c>
      <c r="K2942" s="27" t="s">
        <v>1850</v>
      </c>
    </row>
    <row r="2943" spans="1:11" x14ac:dyDescent="0.35">
      <c r="A2943" s="10" t="s">
        <v>3128</v>
      </c>
      <c r="B2943" s="255">
        <v>14</v>
      </c>
      <c r="C2943" s="2" t="s">
        <v>388</v>
      </c>
      <c r="D2943" s="10">
        <v>1</v>
      </c>
      <c r="E2943" s="10">
        <v>15</v>
      </c>
      <c r="F2943" s="10" t="s">
        <v>692</v>
      </c>
      <c r="G2943" s="10" t="s">
        <v>767</v>
      </c>
      <c r="H2943" s="10" t="str" cm="1">
        <f t="array" aca="1" ref="H2943" ca="1">IF(INDEX(I2943:Z2943,$H$1)=0,"",INDEX(I2943:Z2943,$H$1))</f>
        <v>m3 at STP</v>
      </c>
      <c r="I2943" s="2" t="s">
        <v>394</v>
      </c>
      <c r="J2943" s="2" t="s">
        <v>1133</v>
      </c>
      <c r="K2943" s="27" t="s">
        <v>1851</v>
      </c>
    </row>
    <row r="2944" spans="1:11" x14ac:dyDescent="0.35">
      <c r="A2944" s="10" t="s">
        <v>3128</v>
      </c>
      <c r="B2944" s="255">
        <v>14</v>
      </c>
      <c r="C2944" s="2" t="s">
        <v>388</v>
      </c>
      <c r="D2944" s="10">
        <v>1</v>
      </c>
      <c r="E2944" s="10">
        <v>15</v>
      </c>
      <c r="F2944" s="10" t="s">
        <v>694</v>
      </c>
      <c r="G2944" s="10" t="s">
        <v>767</v>
      </c>
      <c r="H2944" s="10" t="str" cm="1">
        <f t="array" aca="1" ref="H2944" ca="1">IF(INDEX(I2944:Z2944,$H$1)=0,"",INDEX(I2944:Z2944,$H$1))</f>
        <v>Physical internal volume of the equipment or piping system to be depressurized.</v>
      </c>
      <c r="I2944" s="2" t="s">
        <v>493</v>
      </c>
      <c r="J2944" s="2" t="s">
        <v>1139</v>
      </c>
      <c r="K2944" s="27" t="s">
        <v>1852</v>
      </c>
    </row>
    <row r="2945" spans="1:11" x14ac:dyDescent="0.35">
      <c r="A2945" s="10" t="s">
        <v>3128</v>
      </c>
      <c r="B2945" s="255">
        <v>14</v>
      </c>
      <c r="C2945" s="2" t="s">
        <v>388</v>
      </c>
      <c r="D2945" s="10">
        <v>1</v>
      </c>
      <c r="E2945" s="10">
        <v>16</v>
      </c>
      <c r="F2945" s="10" t="s">
        <v>692</v>
      </c>
      <c r="G2945" s="10" t="s">
        <v>767</v>
      </c>
      <c r="H2945" s="10" t="str" cm="1">
        <f t="array" aca="1" ref="H2945" ca="1">IF(INDEX(I2945:Z2945,$H$1)=0,"",INDEX(I2945:Z2945,$H$1))</f>
        <v>kPa</v>
      </c>
      <c r="I2945" s="2" t="s">
        <v>64</v>
      </c>
      <c r="J2945" s="2" t="s">
        <v>64</v>
      </c>
      <c r="K2945" s="27" t="s">
        <v>64</v>
      </c>
    </row>
    <row r="2946" spans="1:11" x14ac:dyDescent="0.35">
      <c r="A2946" s="10" t="s">
        <v>3128</v>
      </c>
      <c r="B2946" s="255">
        <v>14</v>
      </c>
      <c r="C2946" s="2" t="s">
        <v>388</v>
      </c>
      <c r="D2946" s="10">
        <v>1</v>
      </c>
      <c r="E2946" s="10">
        <v>16</v>
      </c>
      <c r="F2946" s="10" t="s">
        <v>694</v>
      </c>
      <c r="G2946" s="10" t="s">
        <v>767</v>
      </c>
      <c r="H2946" s="10" t="str" cm="1">
        <f t="array" aca="1" ref="H2946" ca="1">IF(INDEX(I2946:Z2946,$H$1)=0,"",INDEX(I2946:Z2946,$H$1))</f>
        <v>Local atmospheric pressure.</v>
      </c>
      <c r="I2946" s="2" t="s">
        <v>494</v>
      </c>
      <c r="J2946" s="2" t="s">
        <v>1260</v>
      </c>
      <c r="K2946" s="27" t="s">
        <v>1853</v>
      </c>
    </row>
    <row r="2947" spans="1:11" x14ac:dyDescent="0.35">
      <c r="A2947" s="10" t="s">
        <v>3128</v>
      </c>
      <c r="B2947" s="255">
        <v>14</v>
      </c>
      <c r="C2947" s="2" t="s">
        <v>388</v>
      </c>
      <c r="D2947" s="10">
        <v>1</v>
      </c>
      <c r="E2947" s="10">
        <v>18</v>
      </c>
      <c r="F2947" s="10" t="s">
        <v>690</v>
      </c>
      <c r="G2947" s="10" t="s">
        <v>688</v>
      </c>
      <c r="H2947" s="10" t="str" cm="1">
        <f t="array" aca="1" ref="H2947" ca="1">IF(INDEX(I2947:Z2947,$H$1)=0,"",INDEX(I2947:Z2947,$H$1))</f>
        <v>Blowdown Events:</v>
      </c>
      <c r="I2947" s="2" t="s">
        <v>392</v>
      </c>
      <c r="J2947" s="2" t="s">
        <v>1205</v>
      </c>
      <c r="K2947" s="27" t="s">
        <v>1854</v>
      </c>
    </row>
    <row r="2948" spans="1:11" x14ac:dyDescent="0.35">
      <c r="A2948" s="10" t="s">
        <v>3128</v>
      </c>
      <c r="B2948" s="255">
        <v>14</v>
      </c>
      <c r="C2948" s="2" t="s">
        <v>388</v>
      </c>
      <c r="D2948" s="10">
        <v>1</v>
      </c>
      <c r="E2948" s="10">
        <v>19</v>
      </c>
      <c r="F2948" s="10" t="s">
        <v>692</v>
      </c>
      <c r="G2948" s="10" t="s">
        <v>767</v>
      </c>
      <c r="H2948" s="10" t="str" cm="1">
        <f t="array" aca="1" ref="H2948" ca="1">IF(INDEX(I2948:Z2948,$H$1)=0,"",INDEX(I2948:Z2948,$H$1))</f>
        <v>kPag</v>
      </c>
      <c r="I2948" s="2" t="s">
        <v>389</v>
      </c>
      <c r="J2948" s="2" t="s">
        <v>389</v>
      </c>
      <c r="K2948" s="27" t="s">
        <v>389</v>
      </c>
    </row>
    <row r="2949" spans="1:11" x14ac:dyDescent="0.35">
      <c r="A2949" s="10" t="s">
        <v>3128</v>
      </c>
      <c r="B2949" s="255">
        <v>14</v>
      </c>
      <c r="C2949" s="2" t="s">
        <v>388</v>
      </c>
      <c r="D2949" s="10">
        <v>1</v>
      </c>
      <c r="E2949" s="10">
        <v>19</v>
      </c>
      <c r="F2949" s="10" t="s">
        <v>694</v>
      </c>
      <c r="G2949" s="10" t="s">
        <v>767</v>
      </c>
      <c r="H2949" s="10" t="str" cm="1">
        <f t="array" aca="1" ref="H2949" ca="1">IF(INDEX(I2949:Z2949,$H$1)=0,"",INDEX(I2949:Z2949,$H$1))</f>
        <v>Initial pressure of the system.</v>
      </c>
      <c r="I2949" s="2" t="s">
        <v>495</v>
      </c>
      <c r="J2949" s="2" t="s">
        <v>1140</v>
      </c>
      <c r="K2949" s="27" t="s">
        <v>1855</v>
      </c>
    </row>
    <row r="2950" spans="1:11" x14ac:dyDescent="0.35">
      <c r="A2950" s="10" t="s">
        <v>3128</v>
      </c>
      <c r="B2950" s="255">
        <v>14</v>
      </c>
      <c r="C2950" s="2" t="s">
        <v>388</v>
      </c>
      <c r="D2950" s="10">
        <v>1</v>
      </c>
      <c r="E2950" s="10">
        <v>20</v>
      </c>
      <c r="F2950" s="10" t="s">
        <v>692</v>
      </c>
      <c r="G2950" s="10" t="s">
        <v>767</v>
      </c>
      <c r="H2950" s="10" t="str" cm="1">
        <f t="array" aca="1" ref="H2950" ca="1">IF(INDEX(I2950:Z2950,$H$1)=0,"",INDEX(I2950:Z2950,$H$1))</f>
        <v>kPag</v>
      </c>
      <c r="I2950" s="2" t="s">
        <v>389</v>
      </c>
      <c r="J2950" s="2" t="s">
        <v>389</v>
      </c>
      <c r="K2950" s="27" t="s">
        <v>389</v>
      </c>
    </row>
    <row r="2951" spans="1:11" x14ac:dyDescent="0.35">
      <c r="A2951" s="10" t="s">
        <v>3128</v>
      </c>
      <c r="B2951" s="255">
        <v>14</v>
      </c>
      <c r="C2951" s="2" t="s">
        <v>388</v>
      </c>
      <c r="D2951" s="10">
        <v>1</v>
      </c>
      <c r="E2951" s="10">
        <v>20</v>
      </c>
      <c r="F2951" s="10" t="s">
        <v>694</v>
      </c>
      <c r="G2951" s="10" t="s">
        <v>767</v>
      </c>
      <c r="H2951" s="10" t="str" cm="1">
        <f t="array" aca="1" ref="H2951" ca="1">IF(INDEX(I2951:Z2951,$H$1)=0,"",INDEX(I2951:Z2951,$H$1))</f>
        <v>Final pressure of the system.</v>
      </c>
      <c r="I2951" s="2" t="s">
        <v>496</v>
      </c>
      <c r="J2951" s="2" t="s">
        <v>1141</v>
      </c>
      <c r="K2951" s="27" t="s">
        <v>1856</v>
      </c>
    </row>
    <row r="2952" spans="1:11" x14ac:dyDescent="0.35">
      <c r="A2952" s="10" t="s">
        <v>3128</v>
      </c>
      <c r="B2952" s="255">
        <v>14</v>
      </c>
      <c r="C2952" s="2" t="s">
        <v>388</v>
      </c>
      <c r="D2952" s="10">
        <v>1</v>
      </c>
      <c r="E2952" s="10">
        <v>21</v>
      </c>
      <c r="F2952" s="10" t="s">
        <v>692</v>
      </c>
      <c r="G2952" s="10" t="s">
        <v>767</v>
      </c>
      <c r="H2952" s="10" t="str" cm="1">
        <f t="array" aca="1" ref="H2952" ca="1">IF(INDEX(I2952:Z2952,$H$1)=0,"",INDEX(I2952:Z2952,$H$1))</f>
        <v>°C</v>
      </c>
      <c r="I2952" s="2" t="s">
        <v>391</v>
      </c>
      <c r="J2952" s="2" t="s">
        <v>391</v>
      </c>
      <c r="K2952" s="2" t="s">
        <v>391</v>
      </c>
    </row>
    <row r="2953" spans="1:11" x14ac:dyDescent="0.35">
      <c r="A2953" s="10" t="s">
        <v>3128</v>
      </c>
      <c r="B2953" s="255">
        <v>14</v>
      </c>
      <c r="C2953" s="2" t="s">
        <v>388</v>
      </c>
      <c r="D2953" s="10">
        <v>1</v>
      </c>
      <c r="E2953" s="10">
        <v>21</v>
      </c>
      <c r="F2953" s="10" t="s">
        <v>694</v>
      </c>
      <c r="G2953" s="10" t="s">
        <v>767</v>
      </c>
      <c r="H2953" s="10" t="str" cm="1">
        <f t="array" aca="1" ref="H2953" ca="1">IF(INDEX(I2953:Z2953,$H$1)=0,"",INDEX(I2953:Z2953,$H$1))</f>
        <v>Initial temperature if the system.</v>
      </c>
      <c r="I2953" s="2" t="s">
        <v>1144</v>
      </c>
      <c r="J2953" s="2" t="s">
        <v>1142</v>
      </c>
      <c r="K2953" s="27" t="s">
        <v>1857</v>
      </c>
    </row>
    <row r="2954" spans="1:11" x14ac:dyDescent="0.35">
      <c r="A2954" s="10" t="s">
        <v>3128</v>
      </c>
      <c r="B2954" s="255">
        <v>14</v>
      </c>
      <c r="C2954" s="2" t="s">
        <v>388</v>
      </c>
      <c r="D2954" s="10">
        <v>1</v>
      </c>
      <c r="E2954" s="10">
        <v>22</v>
      </c>
      <c r="F2954" s="10" t="s">
        <v>692</v>
      </c>
      <c r="G2954" s="10" t="s">
        <v>767</v>
      </c>
      <c r="H2954" s="10" t="str" cm="1">
        <f t="array" aca="1" ref="H2954" ca="1">IF(INDEX(I2954:Z2954,$H$1)=0,"",INDEX(I2954:Z2954,$H$1))</f>
        <v>°C</v>
      </c>
      <c r="I2954" s="2" t="s">
        <v>391</v>
      </c>
      <c r="J2954" s="2" t="s">
        <v>391</v>
      </c>
      <c r="K2954" s="2" t="s">
        <v>391</v>
      </c>
    </row>
    <row r="2955" spans="1:11" x14ac:dyDescent="0.35">
      <c r="A2955" s="10" t="s">
        <v>3128</v>
      </c>
      <c r="B2955" s="255">
        <v>14</v>
      </c>
      <c r="C2955" s="2" t="s">
        <v>388</v>
      </c>
      <c r="D2955" s="10">
        <v>1</v>
      </c>
      <c r="E2955" s="10">
        <v>22</v>
      </c>
      <c r="F2955" s="10" t="s">
        <v>694</v>
      </c>
      <c r="G2955" s="10" t="s">
        <v>767</v>
      </c>
      <c r="H2955" s="10" t="str" cm="1">
        <f t="array" aca="1" ref="H2955" ca="1">IF(INDEX(I2955:Z2955,$H$1)=0,"",INDEX(I2955:Z2955,$H$1))</f>
        <v>Final temperature of the system.</v>
      </c>
      <c r="I2955" s="2" t="s">
        <v>497</v>
      </c>
      <c r="J2955" s="2" t="s">
        <v>1143</v>
      </c>
      <c r="K2955" s="27" t="s">
        <v>1858</v>
      </c>
    </row>
    <row r="2956" spans="1:11" x14ac:dyDescent="0.35">
      <c r="A2956" s="10" t="s">
        <v>3128</v>
      </c>
      <c r="B2956" s="255">
        <v>14</v>
      </c>
      <c r="C2956" s="2" t="s">
        <v>388</v>
      </c>
      <c r="D2956" s="10">
        <v>1</v>
      </c>
      <c r="E2956" s="10">
        <v>23</v>
      </c>
      <c r="F2956" s="10" t="s">
        <v>692</v>
      </c>
      <c r="G2956" s="10" t="s">
        <v>767</v>
      </c>
      <c r="H2956" s="10" t="str" cm="1">
        <f t="array" aca="1" ref="H2956" ca="1">IF(INDEX(I2956:Z2956,$H$1)=0,"",INDEX(I2956:Z2956,$H$1))</f>
        <v>Dimensionless (See "Compressibility Factors" Worksheet</v>
      </c>
      <c r="I2956" s="2" t="s">
        <v>413</v>
      </c>
      <c r="J2956" s="2" t="s">
        <v>1225</v>
      </c>
      <c r="K2956" s="27" t="s">
        <v>1859</v>
      </c>
    </row>
    <row r="2957" spans="1:11" x14ac:dyDescent="0.35">
      <c r="A2957" s="10" t="s">
        <v>3128</v>
      </c>
      <c r="B2957" s="255">
        <v>14</v>
      </c>
      <c r="C2957" s="2" t="s">
        <v>388</v>
      </c>
      <c r="D2957" s="10">
        <v>1</v>
      </c>
      <c r="E2957" s="10">
        <v>23</v>
      </c>
      <c r="F2957" s="10" t="s">
        <v>694</v>
      </c>
      <c r="G2957" s="10" t="s">
        <v>767</v>
      </c>
      <c r="H2957" s="10" t="str" cm="1">
        <f t="array" aca="1" ref="H2957" ca="1">IF(INDEX(I2957:Z2957,$H$1)=0,"",INDEX(I2957:Z2957,$H$1))</f>
        <v>Compressibility factor of the gas at the initial conditions.</v>
      </c>
      <c r="I2957" s="2" t="s">
        <v>498</v>
      </c>
      <c r="J2957" s="2" t="s">
        <v>1145</v>
      </c>
      <c r="K2957" s="27" t="s">
        <v>1860</v>
      </c>
    </row>
    <row r="2958" spans="1:11" x14ac:dyDescent="0.35">
      <c r="A2958" s="10" t="s">
        <v>3128</v>
      </c>
      <c r="B2958" s="255">
        <v>14</v>
      </c>
      <c r="C2958" s="2" t="s">
        <v>388</v>
      </c>
      <c r="D2958" s="10">
        <v>1</v>
      </c>
      <c r="E2958" s="10">
        <v>24</v>
      </c>
      <c r="F2958" s="10" t="s">
        <v>692</v>
      </c>
      <c r="G2958" s="10" t="s">
        <v>767</v>
      </c>
      <c r="H2958" s="10" t="str" cm="1">
        <f t="array" aca="1" ref="H2958" ca="1">IF(INDEX(I2958:Z2958,$H$1)=0,"",INDEX(I2958:Z2958,$H$1))</f>
        <v>Dimensionless (See "Compressibility Factors" Worksheet</v>
      </c>
      <c r="I2958" s="2" t="s">
        <v>413</v>
      </c>
      <c r="J2958" s="2" t="s">
        <v>1225</v>
      </c>
      <c r="K2958" s="27" t="s">
        <v>1859</v>
      </c>
    </row>
    <row r="2959" spans="1:11" x14ac:dyDescent="0.35">
      <c r="A2959" s="10" t="s">
        <v>3128</v>
      </c>
      <c r="B2959" s="255">
        <v>14</v>
      </c>
      <c r="C2959" s="2" t="s">
        <v>388</v>
      </c>
      <c r="D2959" s="10">
        <v>1</v>
      </c>
      <c r="E2959" s="10">
        <v>24</v>
      </c>
      <c r="F2959" s="10" t="s">
        <v>694</v>
      </c>
      <c r="G2959" s="10" t="s">
        <v>767</v>
      </c>
      <c r="H2959" s="10" t="str" cm="1">
        <f t="array" aca="1" ref="H2959" ca="1">IF(INDEX(I2959:Z2959,$H$1)=0,"",INDEX(I2959:Z2959,$H$1))</f>
        <v>Compressibility factor of the gas at the final conditions.</v>
      </c>
      <c r="I2959" s="2" t="s">
        <v>499</v>
      </c>
      <c r="J2959" s="2" t="s">
        <v>1146</v>
      </c>
      <c r="K2959" s="27" t="s">
        <v>1861</v>
      </c>
    </row>
    <row r="2960" spans="1:11" x14ac:dyDescent="0.35">
      <c r="A2960" s="10" t="s">
        <v>3128</v>
      </c>
      <c r="B2960" s="255">
        <v>14</v>
      </c>
      <c r="C2960" s="2" t="s">
        <v>388</v>
      </c>
      <c r="D2960" s="10">
        <v>1</v>
      </c>
      <c r="E2960" s="10">
        <v>26</v>
      </c>
      <c r="F2960" s="10" t="s">
        <v>692</v>
      </c>
      <c r="G2960" s="10" t="s">
        <v>767</v>
      </c>
      <c r="H2960" s="10" t="str" cm="1">
        <f t="array" aca="1" ref="H2960" ca="1">IF(INDEX(I2960:Z2960,$H$1)=0,"",INDEX(I2960:Z2960,$H$1))</f>
        <v>m3 at STP</v>
      </c>
      <c r="I2960" s="2" t="s">
        <v>394</v>
      </c>
      <c r="J2960" s="2" t="s">
        <v>1133</v>
      </c>
      <c r="K2960" s="27" t="s">
        <v>1851</v>
      </c>
    </row>
    <row r="2961" spans="1:11" x14ac:dyDescent="0.35">
      <c r="A2961" s="10" t="s">
        <v>3128</v>
      </c>
      <c r="B2961" s="255">
        <v>14</v>
      </c>
      <c r="C2961" s="2" t="s">
        <v>388</v>
      </c>
      <c r="D2961" s="10">
        <v>1</v>
      </c>
      <c r="E2961" s="10">
        <v>26</v>
      </c>
      <c r="F2961" s="10" t="s">
        <v>694</v>
      </c>
      <c r="G2961" s="10" t="s">
        <v>767</v>
      </c>
      <c r="H2961" s="10" t="str" cm="1">
        <f t="array" aca="1" ref="H2961" ca="1">IF(INDEX(I2961:Z2961,$H$1)=0,"",INDEX(I2961:Z2961,$H$1))</f>
        <v>Volume of gas vented by the blowdown event.</v>
      </c>
      <c r="I2961" s="2" t="s">
        <v>500</v>
      </c>
      <c r="J2961" s="2" t="s">
        <v>1147</v>
      </c>
      <c r="K2961" s="27" t="s">
        <v>1862</v>
      </c>
    </row>
    <row r="2962" spans="1:11" x14ac:dyDescent="0.35">
      <c r="A2962" s="10" t="s">
        <v>3128</v>
      </c>
      <c r="B2962" s="255">
        <v>14</v>
      </c>
      <c r="C2962" s="2" t="s">
        <v>388</v>
      </c>
      <c r="D2962" s="10">
        <v>1</v>
      </c>
      <c r="E2962" s="10">
        <v>28</v>
      </c>
      <c r="F2962" s="10" t="s">
        <v>690</v>
      </c>
      <c r="G2962" s="10" t="s">
        <v>688</v>
      </c>
      <c r="H2962" s="10" t="str" cm="1">
        <f t="array" aca="1" ref="H2962" ca="1">IF(INDEX(I2962:Z2962,$H$1)=0,"",INDEX(I2962:Z2962,$H$1))</f>
        <v>Purge Events:</v>
      </c>
      <c r="I2962" s="2" t="s">
        <v>393</v>
      </c>
      <c r="J2962" s="2" t="s">
        <v>1120</v>
      </c>
      <c r="K2962" s="27" t="s">
        <v>1854</v>
      </c>
    </row>
    <row r="2963" spans="1:11" x14ac:dyDescent="0.35">
      <c r="A2963" s="10" t="s">
        <v>3128</v>
      </c>
      <c r="B2963" s="255">
        <v>14</v>
      </c>
      <c r="C2963" s="2" t="s">
        <v>388</v>
      </c>
      <c r="D2963" s="10">
        <v>1</v>
      </c>
      <c r="E2963" s="10">
        <v>30</v>
      </c>
      <c r="F2963" s="10" t="s">
        <v>692</v>
      </c>
      <c r="G2963" s="10" t="s">
        <v>767</v>
      </c>
      <c r="H2963" s="10" t="str" cm="1">
        <f t="array" aca="1" ref="H2963" ca="1">IF(INDEX(I2963:Z2963,$H$1)=0,"",INDEX(I2963:Z2963,$H$1))</f>
        <v>m3 at STP</v>
      </c>
      <c r="I2963" s="2" t="s">
        <v>394</v>
      </c>
      <c r="J2963" s="2" t="s">
        <v>1133</v>
      </c>
      <c r="K2963" s="27" t="s">
        <v>1851</v>
      </c>
    </row>
    <row r="2964" spans="1:11" x14ac:dyDescent="0.35">
      <c r="A2964" s="10" t="s">
        <v>3128</v>
      </c>
      <c r="B2964" s="255">
        <v>14</v>
      </c>
      <c r="C2964" s="2" t="s">
        <v>388</v>
      </c>
      <c r="D2964" s="10">
        <v>1</v>
      </c>
      <c r="E2964" s="10">
        <v>30</v>
      </c>
      <c r="F2964" s="10" t="s">
        <v>694</v>
      </c>
      <c r="G2964" s="10" t="s">
        <v>767</v>
      </c>
      <c r="H2964" s="10" t="str" cm="1">
        <f t="array" aca="1" ref="H2964" ca="1">IF(INDEX(I2964:Z2964,$H$1)=0,"",INDEX(I2964:Z2964,$H$1))</f>
        <v>Volume of gas purged from a depressurized process unit or piping system.</v>
      </c>
      <c r="I2964" s="2" t="s">
        <v>1326</v>
      </c>
      <c r="J2964" s="2" t="s">
        <v>1148</v>
      </c>
      <c r="K2964" s="27" t="s">
        <v>1863</v>
      </c>
    </row>
    <row r="2965" spans="1:11" x14ac:dyDescent="0.35">
      <c r="A2965" s="10" t="s">
        <v>3128</v>
      </c>
      <c r="B2965" s="255">
        <v>14</v>
      </c>
      <c r="C2965" s="2" t="s">
        <v>395</v>
      </c>
      <c r="D2965" s="10">
        <v>2</v>
      </c>
      <c r="E2965" s="10">
        <v>33</v>
      </c>
      <c r="F2965" s="10" t="s">
        <v>690</v>
      </c>
      <c r="G2965" s="10" t="s">
        <v>688</v>
      </c>
      <c r="H2965" s="10" t="str" cm="1">
        <f t="array" aca="1" ref="H2965" ca="1">IF(INDEX(I2965:Z2965,$H$1)=0,"",INDEX(I2965:Z2965,$H$1))</f>
        <v>Calculation of Gas Consumption by Pneumatic Chemical Injection Pumps</v>
      </c>
      <c r="I2965" s="2" t="s">
        <v>395</v>
      </c>
      <c r="J2965" s="2" t="s">
        <v>1121</v>
      </c>
      <c r="K2965" s="27" t="s">
        <v>1864</v>
      </c>
    </row>
    <row r="2966" spans="1:11" x14ac:dyDescent="0.35">
      <c r="A2966" s="10" t="s">
        <v>3128</v>
      </c>
      <c r="B2966" s="255">
        <v>14</v>
      </c>
      <c r="C2966" s="2" t="s">
        <v>395</v>
      </c>
      <c r="D2966" s="10">
        <v>2</v>
      </c>
      <c r="E2966" s="10">
        <v>41</v>
      </c>
      <c r="F2966" s="10" t="s">
        <v>692</v>
      </c>
      <c r="G2966" s="10" t="s">
        <v>767</v>
      </c>
      <c r="H2966" s="10" t="str" cm="1">
        <f t="array" aca="1" ref="H2966" ca="1">IF(INDEX(I2966:Z2966,$H$1)=0,"",INDEX(I2966:Z2966,$H$1))</f>
        <v>(tonne CH4/y)</v>
      </c>
      <c r="I2966" s="2" t="s">
        <v>516</v>
      </c>
      <c r="J2966" s="2" t="s">
        <v>1073</v>
      </c>
      <c r="K2966" s="27" t="s">
        <v>1607</v>
      </c>
    </row>
    <row r="2967" spans="1:11" x14ac:dyDescent="0.35">
      <c r="A2967" s="10" t="s">
        <v>3128</v>
      </c>
      <c r="B2967" s="255">
        <v>14</v>
      </c>
      <c r="C2967" s="2" t="s">
        <v>395</v>
      </c>
      <c r="D2967" s="10">
        <v>2</v>
      </c>
      <c r="E2967" s="10">
        <v>41</v>
      </c>
      <c r="F2967" s="10" t="s">
        <v>694</v>
      </c>
      <c r="G2967" s="10" t="s">
        <v>767</v>
      </c>
      <c r="H2967" s="10" t="str" cm="1">
        <f t="array" aca="1" ref="H2967" ca="1">IF(INDEX(I2967:Z2967,$H$1)=0,"",INDEX(I2967:Z2967,$H$1))</f>
        <v>Pneumatic venting emissions of substance i and pump j (t/y)</v>
      </c>
      <c r="I2967" s="2" t="s">
        <v>416</v>
      </c>
      <c r="J2967" s="2" t="s">
        <v>1149</v>
      </c>
      <c r="K2967" s="27" t="s">
        <v>1865</v>
      </c>
    </row>
    <row r="2968" spans="1:11" x14ac:dyDescent="0.35">
      <c r="A2968" s="10" t="s">
        <v>3128</v>
      </c>
      <c r="B2968" s="255">
        <v>14</v>
      </c>
      <c r="C2968" s="2" t="s">
        <v>395</v>
      </c>
      <c r="D2968" s="10">
        <v>2</v>
      </c>
      <c r="E2968" s="10">
        <v>42</v>
      </c>
      <c r="F2968" s="10" t="s">
        <v>692</v>
      </c>
      <c r="G2968" s="10" t="s">
        <v>767</v>
      </c>
      <c r="H2968" s="10" t="str" cm="1">
        <f t="array" aca="1" ref="H2968" ca="1">IF(INDEX(I2968:Z2968,$H$1)=0,"",INDEX(I2968:Z2968,$H$1))</f>
        <v>(Liters/y)</v>
      </c>
      <c r="I2968" s="2" t="s">
        <v>510</v>
      </c>
      <c r="J2968" s="2" t="s">
        <v>1134</v>
      </c>
      <c r="K2968" s="27" t="s">
        <v>1866</v>
      </c>
    </row>
    <row r="2969" spans="1:11" x14ac:dyDescent="0.35">
      <c r="A2969" s="10" t="s">
        <v>3128</v>
      </c>
      <c r="B2969" s="255">
        <v>14</v>
      </c>
      <c r="C2969" s="2" t="s">
        <v>395</v>
      </c>
      <c r="D2969" s="10">
        <v>2</v>
      </c>
      <c r="E2969" s="10">
        <v>42</v>
      </c>
      <c r="F2969" s="10" t="s">
        <v>694</v>
      </c>
      <c r="G2969" s="10" t="s">
        <v>767</v>
      </c>
      <c r="H2969" s="10" t="str" cm="1">
        <f t="array" aca="1" ref="H2969" ca="1">IF(INDEX(I2969:Z2969,$H$1)=0,"",INDEX(I2969:Z2969,$H$1))</f>
        <v xml:space="preserve">Annual volume of liquid chemical injected by pump, j (liters/y). </v>
      </c>
      <c r="I2969" s="2" t="s">
        <v>417</v>
      </c>
      <c r="J2969" s="2" t="s">
        <v>1203</v>
      </c>
      <c r="K2969" s="27" t="s">
        <v>1867</v>
      </c>
    </row>
    <row r="2970" spans="1:11" x14ac:dyDescent="0.35">
      <c r="A2970" s="10" t="s">
        <v>3128</v>
      </c>
      <c r="B2970" s="255">
        <v>14</v>
      </c>
      <c r="C2970" s="2" t="s">
        <v>395</v>
      </c>
      <c r="D2970" s="10">
        <v>2</v>
      </c>
      <c r="E2970" s="10">
        <v>43</v>
      </c>
      <c r="F2970" s="10" t="s">
        <v>692</v>
      </c>
      <c r="G2970" s="10" t="s">
        <v>767</v>
      </c>
      <c r="H2970" s="10" t="str" cm="1">
        <f t="array" aca="1" ref="H2970" ca="1">IF(INDEX(I2970:Z2970,$H$1)=0,"",INDEX(I2970:Z2970,$H$1))</f>
        <v>(kg/m3)</v>
      </c>
      <c r="I2970" s="2" t="s">
        <v>61</v>
      </c>
      <c r="J2970" s="2" t="s">
        <v>61</v>
      </c>
      <c r="K2970" s="27" t="s">
        <v>61</v>
      </c>
    </row>
    <row r="2971" spans="1:11" x14ac:dyDescent="0.35">
      <c r="A2971" s="10" t="s">
        <v>3128</v>
      </c>
      <c r="B2971" s="255">
        <v>14</v>
      </c>
      <c r="C2971" s="2" t="s">
        <v>395</v>
      </c>
      <c r="D2971" s="10">
        <v>2</v>
      </c>
      <c r="E2971" s="10">
        <v>43</v>
      </c>
      <c r="F2971" s="10" t="s">
        <v>694</v>
      </c>
      <c r="G2971" s="10" t="s">
        <v>767</v>
      </c>
      <c r="H2971" s="10" t="str" cm="1">
        <f t="array" aca="1" ref="H2971" ca="1">IF(INDEX(I2971:Z2971,$H$1)=0,"",INDEX(I2971:Z2971,$H$1))</f>
        <v>Density of CH4 at standard conditions of 101.325 kPa and 15°C).</v>
      </c>
      <c r="I2971" s="2" t="s">
        <v>1118</v>
      </c>
      <c r="J2971" s="2" t="s">
        <v>1150</v>
      </c>
      <c r="K2971" s="27" t="s">
        <v>1868</v>
      </c>
    </row>
    <row r="2972" spans="1:11" x14ac:dyDescent="0.35">
      <c r="A2972" s="10" t="s">
        <v>3128</v>
      </c>
      <c r="B2972" s="255">
        <v>14</v>
      </c>
      <c r="C2972" s="2" t="s">
        <v>395</v>
      </c>
      <c r="D2972" s="10">
        <v>2</v>
      </c>
      <c r="E2972" s="10">
        <v>44</v>
      </c>
      <c r="F2972" s="10" t="s">
        <v>692</v>
      </c>
      <c r="G2972" s="10" t="s">
        <v>767</v>
      </c>
      <c r="H2972" s="10" t="str" cm="1">
        <f t="array" aca="1" ref="H2972" ca="1">IF(INDEX(I2972:Z2972,$H$1)=0,"",INDEX(I2972:Z2972,$H$1))</f>
        <v>(mol fraction)</v>
      </c>
      <c r="I2972" s="2" t="s">
        <v>511</v>
      </c>
      <c r="J2972" s="2" t="s">
        <v>1135</v>
      </c>
      <c r="K2972" s="27" t="s">
        <v>1869</v>
      </c>
    </row>
    <row r="2973" spans="1:11" x14ac:dyDescent="0.35">
      <c r="A2973" s="10" t="s">
        <v>3128</v>
      </c>
      <c r="B2973" s="255">
        <v>14</v>
      </c>
      <c r="C2973" s="2" t="s">
        <v>395</v>
      </c>
      <c r="D2973" s="10">
        <v>2</v>
      </c>
      <c r="E2973" s="10">
        <v>44</v>
      </c>
      <c r="F2973" s="10" t="s">
        <v>694</v>
      </c>
      <c r="G2973" s="10" t="s">
        <v>767</v>
      </c>
      <c r="H2973" s="10" t="str" cm="1">
        <f t="array" aca="1" ref="H2973" ca="1">IF(INDEX(I2973:Z2973,$H$1)=0,"",INDEX(I2973:Z2973,$H$1))</f>
        <v>Mol fraction of CH4 in the vented gas.</v>
      </c>
      <c r="I2973" s="2" t="s">
        <v>2676</v>
      </c>
      <c r="J2973" s="2" t="s">
        <v>1151</v>
      </c>
      <c r="K2973" s="27" t="s">
        <v>1870</v>
      </c>
    </row>
    <row r="2974" spans="1:11" x14ac:dyDescent="0.35">
      <c r="A2974" s="10" t="s">
        <v>3128</v>
      </c>
      <c r="B2974" s="255">
        <v>14</v>
      </c>
      <c r="C2974" s="2" t="s">
        <v>395</v>
      </c>
      <c r="D2974" s="10">
        <v>2</v>
      </c>
      <c r="E2974" s="10">
        <v>45</v>
      </c>
      <c r="F2974" s="10" t="s">
        <v>692</v>
      </c>
      <c r="G2974" s="10" t="s">
        <v>767</v>
      </c>
      <c r="H2974" s="10" t="str" cm="1">
        <f t="array" aca="1" ref="H2974" ca="1">IF(INDEX(I2974:Z2974,$H$1)=0,"",INDEX(I2974:Z2974,$H$1))</f>
        <v>(tonnes/kg)</v>
      </c>
      <c r="I2974" s="2" t="s">
        <v>512</v>
      </c>
      <c r="J2974" s="2" t="s">
        <v>1136</v>
      </c>
      <c r="K2974" s="27" t="s">
        <v>1871</v>
      </c>
    </row>
    <row r="2975" spans="1:11" x14ac:dyDescent="0.35">
      <c r="A2975" s="10" t="s">
        <v>3128</v>
      </c>
      <c r="B2975" s="255">
        <v>14</v>
      </c>
      <c r="C2975" s="2" t="s">
        <v>395</v>
      </c>
      <c r="D2975" s="10">
        <v>2</v>
      </c>
      <c r="E2975" s="10">
        <v>45</v>
      </c>
      <c r="F2975" s="10" t="s">
        <v>694</v>
      </c>
      <c r="G2975" s="10" t="s">
        <v>767</v>
      </c>
      <c r="H2975" s="10" t="str" cm="1">
        <f t="array" aca="1" ref="H2975" ca="1">IF(INDEX(I2975:Z2975,$H$1)=0,"",INDEX(I2975:Z2975,$H$1))</f>
        <v>Conversion factor (tonnes/kg).</v>
      </c>
      <c r="I2975" s="2" t="s">
        <v>415</v>
      </c>
      <c r="J2975" s="2" t="s">
        <v>1221</v>
      </c>
      <c r="K2975" s="27" t="s">
        <v>1872</v>
      </c>
    </row>
    <row r="2976" spans="1:11" x14ac:dyDescent="0.35">
      <c r="A2976" s="10" t="s">
        <v>3128</v>
      </c>
      <c r="B2976" s="255">
        <v>14</v>
      </c>
      <c r="C2976" s="2" t="s">
        <v>395</v>
      </c>
      <c r="D2976" s="10">
        <v>2</v>
      </c>
      <c r="E2976" s="10">
        <v>46</v>
      </c>
      <c r="F2976" s="10" t="s">
        <v>692</v>
      </c>
      <c r="G2976" s="10" t="s">
        <v>767</v>
      </c>
      <c r="H2976" s="10" t="str" cm="1">
        <f t="array" aca="1" ref="H2976" ca="1">IF(INDEX(I2976:Z2976,$H$1)=0,"",INDEX(I2976:Z2976,$H$1))</f>
        <v>Dimensionless</v>
      </c>
      <c r="I2976" s="2" t="s">
        <v>1224</v>
      </c>
      <c r="J2976" s="2" t="s">
        <v>1137</v>
      </c>
      <c r="K2976" s="27" t="s">
        <v>1873</v>
      </c>
    </row>
    <row r="2977" spans="1:11" x14ac:dyDescent="0.35">
      <c r="A2977" s="10" t="s">
        <v>3128</v>
      </c>
      <c r="B2977" s="255">
        <v>14</v>
      </c>
      <c r="C2977" s="2" t="s">
        <v>395</v>
      </c>
      <c r="D2977" s="10">
        <v>2</v>
      </c>
      <c r="E2977" s="10">
        <v>46</v>
      </c>
      <c r="F2977" s="10" t="s">
        <v>694</v>
      </c>
      <c r="G2977" s="10" t="s">
        <v>767</v>
      </c>
      <c r="H2977" s="10" t="str" cm="1">
        <f t="array" aca="1" ref="H2977" ca="1">IF(INDEX(I2977:Z2977,$H$1)=0,"",INDEX(I2977:Z2977,$H$1))</f>
        <v>Emission control factor (dimensionless fractional value between zero and 1.0)</v>
      </c>
      <c r="I2977" s="2" t="s">
        <v>513</v>
      </c>
      <c r="J2977" s="2" t="s">
        <v>1152</v>
      </c>
      <c r="K2977" s="27" t="s">
        <v>1874</v>
      </c>
    </row>
    <row r="2978" spans="1:11" x14ac:dyDescent="0.35">
      <c r="A2978" s="10" t="s">
        <v>3128</v>
      </c>
      <c r="B2978" s="255">
        <v>14</v>
      </c>
      <c r="C2978" s="2" t="s">
        <v>395</v>
      </c>
      <c r="D2978" s="10">
        <v>2</v>
      </c>
      <c r="E2978" s="10">
        <v>47</v>
      </c>
      <c r="F2978" s="10" t="s">
        <v>692</v>
      </c>
      <c r="G2978" s="10" t="s">
        <v>767</v>
      </c>
      <c r="H2978" s="10" t="str" cm="1">
        <f t="array" aca="1" ref="H2978" ca="1">IF(INDEX(I2978:Z2978,$H$1)=0,"",INDEX(I2978:Z2978,$H$1))</f>
        <v>(Sm3/Liter/pump)</v>
      </c>
      <c r="I2978" s="2" t="s">
        <v>515</v>
      </c>
      <c r="J2978" s="2" t="s">
        <v>1138</v>
      </c>
      <c r="K2978" s="27" t="s">
        <v>1875</v>
      </c>
    </row>
    <row r="2979" spans="1:11" x14ac:dyDescent="0.35">
      <c r="A2979" s="10" t="s">
        <v>3128</v>
      </c>
      <c r="B2979" s="255">
        <v>14</v>
      </c>
      <c r="C2979" s="2" t="s">
        <v>395</v>
      </c>
      <c r="D2979" s="10">
        <v>2</v>
      </c>
      <c r="E2979" s="10">
        <v>47</v>
      </c>
      <c r="F2979" s="10" t="s">
        <v>694</v>
      </c>
      <c r="G2979" s="10" t="s">
        <v>767</v>
      </c>
      <c r="H2979" s="10" t="str" cm="1">
        <f t="array" aca="1" ref="H2979" ca="1">IF(INDEX(I2979:Z2979,$H$1)=0,"",INDEX(I2979:Z2979,$H$1))</f>
        <v>Natural gas-driven pneumatic pump, j, volume rate (Sm3/liter/pump) determined from the following correlation and coefficients in Table 22 (derived from manufacturer specifications).</v>
      </c>
      <c r="I2979" s="2" t="s">
        <v>1327</v>
      </c>
      <c r="J2979" s="2" t="s">
        <v>1153</v>
      </c>
      <c r="K2979" s="27" t="s">
        <v>1876</v>
      </c>
    </row>
    <row r="2980" spans="1:11" x14ac:dyDescent="0.35">
      <c r="A2980" s="10" t="s">
        <v>3128</v>
      </c>
      <c r="B2980" s="255">
        <v>14</v>
      </c>
      <c r="C2980" s="2" t="s">
        <v>395</v>
      </c>
      <c r="D2980" s="10">
        <v>2</v>
      </c>
      <c r="E2980" s="10">
        <v>53</v>
      </c>
      <c r="F2980" s="10" t="s">
        <v>692</v>
      </c>
      <c r="G2980" s="10" t="s">
        <v>767</v>
      </c>
      <c r="H2980" s="10" t="str" cm="1">
        <f t="array" aca="1" ref="H2980" ca="1">IF(INDEX(I2980:Z2980,$H$1)=0,"",INDEX(I2980:Z2980,$H$1))</f>
        <v>(kPag)</v>
      </c>
      <c r="I2980" s="2" t="s">
        <v>514</v>
      </c>
      <c r="J2980" s="2" t="s">
        <v>514</v>
      </c>
      <c r="K2980" s="27" t="s">
        <v>514</v>
      </c>
    </row>
    <row r="2981" spans="1:11" x14ac:dyDescent="0.35">
      <c r="A2981" s="10" t="s">
        <v>3128</v>
      </c>
      <c r="B2981" s="255">
        <v>14</v>
      </c>
      <c r="C2981" s="2" t="s">
        <v>395</v>
      </c>
      <c r="D2981" s="10">
        <v>2</v>
      </c>
      <c r="E2981" s="10">
        <v>53</v>
      </c>
      <c r="F2981" s="10" t="s">
        <v>694</v>
      </c>
      <c r="G2981" s="10" t="s">
        <v>767</v>
      </c>
      <c r="H2981" s="10" t="str" cm="1">
        <f t="array" aca="1" ref="H2981" ca="1">IF(INDEX(I2981:Z2981,$H$1)=0,"",INDEX(I2981:Z2981,$H$1))</f>
        <v>Chemical Injection Pressure (kPa gauge)</v>
      </c>
      <c r="I2981" s="2" t="s">
        <v>418</v>
      </c>
      <c r="J2981" s="2" t="s">
        <v>1154</v>
      </c>
      <c r="K2981" s="27" t="s">
        <v>1877</v>
      </c>
    </row>
    <row r="2982" spans="1:11" x14ac:dyDescent="0.35">
      <c r="A2982" s="10" t="s">
        <v>3128</v>
      </c>
      <c r="B2982" s="255">
        <v>14</v>
      </c>
      <c r="C2982" s="2" t="s">
        <v>395</v>
      </c>
      <c r="D2982" s="10">
        <v>2</v>
      </c>
      <c r="E2982" s="10">
        <v>54</v>
      </c>
      <c r="F2982" s="10" t="s">
        <v>694</v>
      </c>
      <c r="G2982" s="10" t="s">
        <v>767</v>
      </c>
      <c r="H2982" s="10" t="str" cm="1">
        <f t="array" aca="1" ref="H2982" ca="1">IF(INDEX(I2982:Z2982,$H$1)=0,"",INDEX(I2982:Z2982,$H$1))</f>
        <v>Manufacturer P2 coefficient provided in the table below.</v>
      </c>
      <c r="I2982" s="2" t="s">
        <v>501</v>
      </c>
      <c r="J2982" s="2" t="s">
        <v>1155</v>
      </c>
      <c r="K2982" s="27" t="s">
        <v>1878</v>
      </c>
    </row>
    <row r="2983" spans="1:11" x14ac:dyDescent="0.35">
      <c r="A2983" s="10" t="s">
        <v>3128</v>
      </c>
      <c r="B2983" s="255">
        <v>14</v>
      </c>
      <c r="C2983" s="2" t="s">
        <v>395</v>
      </c>
      <c r="D2983" s="10">
        <v>2</v>
      </c>
      <c r="E2983" s="10">
        <v>55</v>
      </c>
      <c r="F2983" s="10" t="s">
        <v>694</v>
      </c>
      <c r="G2983" s="10" t="s">
        <v>767</v>
      </c>
      <c r="H2983" s="10" t="str" cm="1">
        <f t="array" aca="1" ref="H2983" ca="1">IF(INDEX(I2983:Z2983,$H$1)=0,"",INDEX(I2983:Z2983,$H$1))</f>
        <v>Manufacturer P1 coefficient provided in the table below.</v>
      </c>
      <c r="I2983" s="2" t="s">
        <v>502</v>
      </c>
      <c r="J2983" s="2" t="s">
        <v>1156</v>
      </c>
      <c r="K2983" s="27" t="s">
        <v>1879</v>
      </c>
    </row>
    <row r="2984" spans="1:11" x14ac:dyDescent="0.35">
      <c r="A2984" s="10" t="s">
        <v>3128</v>
      </c>
      <c r="B2984" s="255">
        <v>14</v>
      </c>
      <c r="C2984" s="2" t="s">
        <v>395</v>
      </c>
      <c r="D2984" s="10">
        <v>2</v>
      </c>
      <c r="E2984" s="10">
        <v>56</v>
      </c>
      <c r="F2984" s="10" t="s">
        <v>694</v>
      </c>
      <c r="G2984" s="10" t="s">
        <v>767</v>
      </c>
      <c r="H2984" s="10" t="str" cm="1">
        <f t="array" aca="1" ref="H2984" ca="1">IF(INDEX(I2984:Z2984,$H$1)=0,"",INDEX(I2984:Z2984,$H$1))</f>
        <v>Manufacturer P0 coefficient provided in the table below.</v>
      </c>
      <c r="I2984" s="2" t="s">
        <v>503</v>
      </c>
      <c r="J2984" s="2" t="s">
        <v>1157</v>
      </c>
      <c r="K2984" s="27" t="s">
        <v>1880</v>
      </c>
    </row>
    <row r="2985" spans="1:11" x14ac:dyDescent="0.35">
      <c r="A2985" s="10" t="s">
        <v>3128</v>
      </c>
      <c r="B2985" s="255">
        <v>14</v>
      </c>
      <c r="C2985" s="2" t="s">
        <v>395</v>
      </c>
      <c r="D2985" s="10">
        <v>3</v>
      </c>
      <c r="E2985" s="10">
        <v>59</v>
      </c>
      <c r="F2985" s="10" t="s">
        <v>687</v>
      </c>
      <c r="G2985" s="10" t="s">
        <v>688</v>
      </c>
      <c r="H2985" s="10" t="str" cm="1">
        <f t="array" aca="1" ref="H2985" ca="1">IF(INDEX(I2985:Z2985,$H$1)=0,"",INDEX(I2985:Z2985,$H$1))</f>
        <v>Pneumatic pump venting coefficients derived from manufacturer specifications for selected models</v>
      </c>
      <c r="I2985" s="2" t="s">
        <v>419</v>
      </c>
      <c r="J2985" s="2" t="s">
        <v>1122</v>
      </c>
      <c r="K2985" s="27" t="s">
        <v>1881</v>
      </c>
    </row>
    <row r="2986" spans="1:11" x14ac:dyDescent="0.35">
      <c r="A2986" s="10" t="s">
        <v>3128</v>
      </c>
      <c r="B2986" s="255">
        <v>14</v>
      </c>
      <c r="C2986" s="2" t="s">
        <v>395</v>
      </c>
      <c r="D2986" s="10">
        <v>3</v>
      </c>
      <c r="E2986" s="10">
        <v>60</v>
      </c>
      <c r="F2986" s="10" t="s">
        <v>687</v>
      </c>
      <c r="G2986" s="10" t="s">
        <v>696</v>
      </c>
      <c r="H2986" s="10" t="str" cm="1">
        <f t="array" aca="1" ref="H2986" ca="1">IF(INDEX(I2986:Z2986,$H$1)=0,"",INDEX(I2986:Z2986,$H$1))</f>
        <v>Manufacturer</v>
      </c>
      <c r="I2986" s="2" t="s">
        <v>420</v>
      </c>
      <c r="J2986" s="2" t="s">
        <v>1123</v>
      </c>
      <c r="K2986" s="27" t="s">
        <v>1882</v>
      </c>
    </row>
    <row r="2987" spans="1:11" x14ac:dyDescent="0.35">
      <c r="A2987" s="10" t="s">
        <v>3128</v>
      </c>
      <c r="B2987" s="255">
        <v>14</v>
      </c>
      <c r="C2987" s="2" t="s">
        <v>395</v>
      </c>
      <c r="D2987" s="10">
        <v>3</v>
      </c>
      <c r="E2987" s="10">
        <v>60</v>
      </c>
      <c r="F2987" s="10" t="s">
        <v>690</v>
      </c>
      <c r="G2987" s="10" t="s">
        <v>696</v>
      </c>
      <c r="H2987" s="10" t="str" cm="1">
        <f t="array" aca="1" ref="H2987" ca="1">IF(INDEX(I2987:Z2987,$H$1)=0,"",INDEX(I2987:Z2987,$H$1))</f>
        <v>Model</v>
      </c>
      <c r="I2987" s="2" t="s">
        <v>421</v>
      </c>
      <c r="J2987" s="2" t="s">
        <v>1124</v>
      </c>
      <c r="K2987" s="27" t="s">
        <v>1883</v>
      </c>
    </row>
    <row r="2988" spans="1:11" x14ac:dyDescent="0.35">
      <c r="A2988" s="10" t="s">
        <v>3128</v>
      </c>
      <c r="B2988" s="255">
        <v>14</v>
      </c>
      <c r="C2988" s="2" t="s">
        <v>395</v>
      </c>
      <c r="D2988" s="10">
        <v>3</v>
      </c>
      <c r="E2988" s="10">
        <v>60</v>
      </c>
      <c r="F2988" s="10" t="s">
        <v>38</v>
      </c>
      <c r="G2988" s="10" t="s">
        <v>696</v>
      </c>
      <c r="H2988" s="10" t="str" cm="1">
        <f t="array" aca="1" ref="H2988" ca="1">IF(INDEX(I2988:Z2988,$H$1)=0,"",INDEX(I2988:Z2988,$H$1))</f>
        <v>Plunger Diameter (in.)</v>
      </c>
      <c r="I2988" s="2" t="s">
        <v>422</v>
      </c>
      <c r="J2988" s="2" t="s">
        <v>1125</v>
      </c>
      <c r="K2988" s="27" t="s">
        <v>1884</v>
      </c>
    </row>
    <row r="2989" spans="1:11" x14ac:dyDescent="0.35">
      <c r="A2989" s="10" t="s">
        <v>3128</v>
      </c>
      <c r="B2989" s="255">
        <v>14</v>
      </c>
      <c r="C2989" s="2" t="s">
        <v>395</v>
      </c>
      <c r="D2989" s="10">
        <v>3</v>
      </c>
      <c r="E2989" s="10">
        <v>60</v>
      </c>
      <c r="F2989" s="10" t="s">
        <v>692</v>
      </c>
      <c r="G2989" s="10" t="s">
        <v>696</v>
      </c>
      <c r="H2989" s="10" t="str" cm="1">
        <f t="array" aca="1" ref="H2989" ca="1">IF(INDEX(I2989:Z2989,$H$1)=0,"",INDEX(I2989:Z2989,$H$1))</f>
        <v>Stroke length (in.)</v>
      </c>
      <c r="I2989" s="2" t="s">
        <v>423</v>
      </c>
      <c r="J2989" s="2" t="s">
        <v>1126</v>
      </c>
      <c r="K2989" s="27" t="s">
        <v>1885</v>
      </c>
    </row>
    <row r="2990" spans="1:11" x14ac:dyDescent="0.35">
      <c r="A2990" s="10" t="s">
        <v>3128</v>
      </c>
      <c r="B2990" s="255">
        <v>14</v>
      </c>
      <c r="C2990" s="2" t="s">
        <v>395</v>
      </c>
      <c r="D2990" s="10">
        <v>3</v>
      </c>
      <c r="E2990" s="10">
        <v>60</v>
      </c>
      <c r="F2990" s="10" t="s">
        <v>693</v>
      </c>
      <c r="G2990" s="10" t="s">
        <v>696</v>
      </c>
      <c r="H2990" s="10" t="str" cm="1">
        <f t="array" aca="1" ref="H2990" ca="1">IF(INDEX(I2990:Z2990,$H$1)=0,"",INDEX(I2990:Z2990,$H$1))</f>
        <v>P2 coefficient</v>
      </c>
      <c r="I2990" s="2" t="s">
        <v>1130</v>
      </c>
      <c r="J2990" s="2" t="s">
        <v>1127</v>
      </c>
      <c r="K2990" s="27" t="s">
        <v>1886</v>
      </c>
    </row>
    <row r="2991" spans="1:11" x14ac:dyDescent="0.35">
      <c r="A2991" s="10" t="s">
        <v>3128</v>
      </c>
      <c r="B2991" s="255">
        <v>14</v>
      </c>
      <c r="C2991" s="2" t="s">
        <v>395</v>
      </c>
      <c r="D2991" s="10">
        <v>3</v>
      </c>
      <c r="E2991" s="10">
        <v>60</v>
      </c>
      <c r="F2991" s="10" t="s">
        <v>694</v>
      </c>
      <c r="G2991" s="10" t="s">
        <v>696</v>
      </c>
      <c r="H2991" s="10" t="str" cm="1">
        <f t="array" aca="1" ref="H2991" ca="1">IF(INDEX(I2991:Z2991,$H$1)=0,"",INDEX(I2991:Z2991,$H$1))</f>
        <v>P1 coefficient</v>
      </c>
      <c r="I2991" s="2" t="s">
        <v>1131</v>
      </c>
      <c r="J2991" s="2" t="s">
        <v>1128</v>
      </c>
      <c r="K2991" s="27" t="s">
        <v>1887</v>
      </c>
    </row>
    <row r="2992" spans="1:11" x14ac:dyDescent="0.35">
      <c r="A2992" s="10" t="s">
        <v>3128</v>
      </c>
      <c r="B2992" s="255">
        <v>14</v>
      </c>
      <c r="C2992" s="2" t="s">
        <v>395</v>
      </c>
      <c r="D2992" s="10">
        <v>3</v>
      </c>
      <c r="E2992" s="10">
        <v>60</v>
      </c>
      <c r="F2992" s="10" t="s">
        <v>711</v>
      </c>
      <c r="G2992" s="10" t="s">
        <v>696</v>
      </c>
      <c r="H2992" s="10" t="str" cm="1">
        <f t="array" aca="1" ref="H2992" ca="1">IF(INDEX(I2992:Z2992,$H$1)=0,"",INDEX(I2992:Z2992,$H$1))</f>
        <v>P0 coefficient</v>
      </c>
      <c r="I2992" s="2" t="s">
        <v>1132</v>
      </c>
      <c r="J2992" s="2" t="s">
        <v>1129</v>
      </c>
      <c r="K2992" s="27" t="s">
        <v>1888</v>
      </c>
    </row>
    <row r="2993" spans="1:11" x14ac:dyDescent="0.35">
      <c r="A2993" s="10" t="s">
        <v>3128</v>
      </c>
      <c r="B2993" s="255">
        <v>14</v>
      </c>
      <c r="C2993" s="2" t="s">
        <v>395</v>
      </c>
      <c r="D2993" s="10">
        <v>3</v>
      </c>
      <c r="E2993" s="10">
        <v>121</v>
      </c>
      <c r="F2993" s="10" t="s">
        <v>38</v>
      </c>
      <c r="G2993" s="10" t="s">
        <v>767</v>
      </c>
      <c r="H2993" s="10" t="str" cm="1">
        <f t="array" aca="1" ref="H2993" ca="1">IF(INDEX(I2993:Z2993,$H$1)=0,"",INDEX(I2993:Z2993,$H$1))</f>
        <v>30 psi supply</v>
      </c>
      <c r="I2993" s="2" t="s">
        <v>449</v>
      </c>
      <c r="J2993" s="2" t="s">
        <v>1158</v>
      </c>
      <c r="K2993" s="27" t="s">
        <v>1889</v>
      </c>
    </row>
    <row r="2994" spans="1:11" x14ac:dyDescent="0.35">
      <c r="A2994" s="10" t="s">
        <v>3128</v>
      </c>
      <c r="B2994" s="255">
        <v>14</v>
      </c>
      <c r="C2994" s="2" t="s">
        <v>395</v>
      </c>
      <c r="D2994" s="10">
        <v>3</v>
      </c>
      <c r="E2994" s="10">
        <v>122</v>
      </c>
      <c r="F2994" s="10" t="s">
        <v>38</v>
      </c>
      <c r="G2994" s="10" t="s">
        <v>767</v>
      </c>
      <c r="H2994" s="10" t="str" cm="1">
        <f t="array" aca="1" ref="H2994" ca="1">IF(INDEX(I2994:Z2994,$H$1)=0,"",INDEX(I2994:Z2994,$H$1))</f>
        <v>50 psi supply</v>
      </c>
      <c r="I2994" s="2" t="s">
        <v>450</v>
      </c>
      <c r="J2994" s="2" t="s">
        <v>1159</v>
      </c>
      <c r="K2994" s="27" t="s">
        <v>1890</v>
      </c>
    </row>
    <row r="2995" spans="1:11" x14ac:dyDescent="0.35">
      <c r="A2995" s="10" t="s">
        <v>3128</v>
      </c>
      <c r="B2995" s="255">
        <v>14</v>
      </c>
      <c r="C2995" s="2" t="s">
        <v>395</v>
      </c>
      <c r="D2995" s="10">
        <v>3</v>
      </c>
      <c r="E2995" s="10">
        <v>130</v>
      </c>
      <c r="F2995" s="10" t="s">
        <v>38</v>
      </c>
      <c r="G2995" s="10" t="s">
        <v>767</v>
      </c>
      <c r="H2995" s="10" t="str" cm="1">
        <f t="array" aca="1" ref="H2995" ca="1">IF(INDEX(I2995:Z2995,$H$1)=0,"",INDEX(I2995:Z2995,$H$1))</f>
        <v>Rubber/PFTE fitted</v>
      </c>
      <c r="I2995" s="2" t="s">
        <v>456</v>
      </c>
      <c r="J2995" s="2" t="s">
        <v>1160</v>
      </c>
      <c r="K2995" s="27" t="s">
        <v>1891</v>
      </c>
    </row>
    <row r="2996" spans="1:11" x14ac:dyDescent="0.35">
      <c r="A2996" s="10" t="s">
        <v>3128</v>
      </c>
      <c r="B2996" s="255">
        <v>14</v>
      </c>
      <c r="C2996" s="2" t="s">
        <v>395</v>
      </c>
      <c r="D2996" s="10">
        <v>3</v>
      </c>
      <c r="E2996" s="10">
        <v>141</v>
      </c>
      <c r="F2996" s="10" t="s">
        <v>38</v>
      </c>
      <c r="G2996" s="10" t="s">
        <v>767</v>
      </c>
      <c r="H2996" s="10" t="str" cm="1">
        <f t="array" aca="1" ref="H2996" ca="1">IF(INDEX(I2996:Z2996,$H$1)=0,"",INDEX(I2996:Z2996,$H$1))</f>
        <v>0.02cc odorant/stroke</v>
      </c>
      <c r="I2996" s="2" t="s">
        <v>470</v>
      </c>
      <c r="J2996" s="2" t="s">
        <v>470</v>
      </c>
      <c r="K2996" s="2" t="s">
        <v>1892</v>
      </c>
    </row>
    <row r="2997" spans="1:11" x14ac:dyDescent="0.35">
      <c r="A2997" s="10" t="s">
        <v>3128</v>
      </c>
      <c r="B2997" s="255">
        <v>14</v>
      </c>
      <c r="C2997" s="2" t="s">
        <v>395</v>
      </c>
      <c r="D2997" s="10">
        <v>3</v>
      </c>
      <c r="E2997" s="10">
        <v>142</v>
      </c>
      <c r="F2997" s="10" t="s">
        <v>38</v>
      </c>
      <c r="G2997" s="10" t="s">
        <v>767</v>
      </c>
      <c r="H2997" s="10" t="str" cm="1">
        <f t="array" aca="1" ref="H2997" ca="1">IF(INDEX(I2997:Z2997,$H$1)=0,"",INDEX(I2997:Z2997,$H$1))</f>
        <v>0.04cc odorant/stroke</v>
      </c>
      <c r="I2997" s="2" t="s">
        <v>472</v>
      </c>
      <c r="J2997" s="2" t="s">
        <v>472</v>
      </c>
      <c r="K2997" s="2" t="s">
        <v>1893</v>
      </c>
    </row>
    <row r="2998" spans="1:11" x14ac:dyDescent="0.35">
      <c r="A2998" s="10" t="s">
        <v>3128</v>
      </c>
      <c r="B2998" s="255">
        <v>14</v>
      </c>
      <c r="C2998" s="2" t="s">
        <v>395</v>
      </c>
      <c r="D2998" s="10">
        <v>3</v>
      </c>
      <c r="E2998" s="10">
        <v>143</v>
      </c>
      <c r="F2998" s="10" t="s">
        <v>38</v>
      </c>
      <c r="G2998" s="10" t="s">
        <v>767</v>
      </c>
      <c r="H2998" s="10" t="str" cm="1">
        <f t="array" aca="1" ref="H2998" ca="1">IF(INDEX(I2998:Z2998,$H$1)=0,"",INDEX(I2998:Z2998,$H$1))</f>
        <v>0.06cc odorant/stroke</v>
      </c>
      <c r="I2998" s="2" t="s">
        <v>474</v>
      </c>
      <c r="J2998" s="2" t="s">
        <v>474</v>
      </c>
      <c r="K2998" s="2" t="s">
        <v>1894</v>
      </c>
    </row>
    <row r="2999" spans="1:11" x14ac:dyDescent="0.35">
      <c r="A2999" s="10" t="s">
        <v>3128</v>
      </c>
      <c r="B2999" s="255">
        <v>14</v>
      </c>
      <c r="C2999" s="2" t="s">
        <v>395</v>
      </c>
      <c r="D2999" s="10">
        <v>3</v>
      </c>
      <c r="E2999" s="10">
        <v>144</v>
      </c>
      <c r="F2999" s="10" t="s">
        <v>38</v>
      </c>
      <c r="G2999" s="10" t="s">
        <v>767</v>
      </c>
      <c r="H2999" s="10" t="str" cm="1">
        <f t="array" aca="1" ref="H2999" ca="1">IF(INDEX(I2999:Z2999,$H$1)=0,"",INDEX(I2999:Z2999,$H$1))</f>
        <v>0.08cc odorant/stroke</v>
      </c>
      <c r="I2999" s="2" t="s">
        <v>476</v>
      </c>
      <c r="J2999" s="2" t="s">
        <v>476</v>
      </c>
      <c r="K2999" s="2" t="s">
        <v>1895</v>
      </c>
    </row>
    <row r="3000" spans="1:11" x14ac:dyDescent="0.35">
      <c r="A3000" s="10" t="s">
        <v>3128</v>
      </c>
      <c r="B3000" s="255">
        <v>14</v>
      </c>
      <c r="C3000" s="2" t="s">
        <v>395</v>
      </c>
      <c r="D3000" s="10">
        <v>3</v>
      </c>
      <c r="E3000" s="10">
        <v>145</v>
      </c>
      <c r="F3000" s="10" t="s">
        <v>38</v>
      </c>
      <c r="G3000" s="10" t="s">
        <v>767</v>
      </c>
      <c r="H3000" s="10" t="str" cm="1">
        <f t="array" aca="1" ref="H3000" ca="1">IF(INDEX(I3000:Z3000,$H$1)=0,"",INDEX(I3000:Z3000,$H$1))</f>
        <v>0.10cc odorant/stroke</v>
      </c>
      <c r="I3000" s="2" t="s">
        <v>478</v>
      </c>
      <c r="J3000" s="2" t="s">
        <v>478</v>
      </c>
      <c r="K3000" s="2" t="s">
        <v>1896</v>
      </c>
    </row>
    <row r="3001" spans="1:11" x14ac:dyDescent="0.35">
      <c r="A3001" s="10" t="s">
        <v>3128</v>
      </c>
      <c r="B3001" s="255">
        <v>14</v>
      </c>
      <c r="C3001" s="2" t="s">
        <v>395</v>
      </c>
      <c r="D3001" s="10">
        <v>3</v>
      </c>
      <c r="E3001" s="10">
        <v>146</v>
      </c>
      <c r="F3001" s="10" t="s">
        <v>38</v>
      </c>
      <c r="G3001" s="10" t="s">
        <v>767</v>
      </c>
      <c r="H3001" s="10" t="str" cm="1">
        <f t="array" aca="1" ref="H3001" ca="1">IF(INDEX(I3001:Z3001,$H$1)=0,"",INDEX(I3001:Z3001,$H$1))</f>
        <v>0.02cc odorant/stroke</v>
      </c>
      <c r="I3001" s="2" t="s">
        <v>470</v>
      </c>
      <c r="J3001" s="2" t="s">
        <v>470</v>
      </c>
      <c r="K3001" s="2" t="s">
        <v>1892</v>
      </c>
    </row>
    <row r="3002" spans="1:11" x14ac:dyDescent="0.35">
      <c r="A3002" s="10" t="s">
        <v>3128</v>
      </c>
      <c r="B3002" s="255">
        <v>14</v>
      </c>
      <c r="C3002" s="2" t="s">
        <v>395</v>
      </c>
      <c r="D3002" s="10">
        <v>3</v>
      </c>
      <c r="E3002" s="10">
        <v>147</v>
      </c>
      <c r="F3002" s="10" t="s">
        <v>38</v>
      </c>
      <c r="G3002" s="10" t="s">
        <v>767</v>
      </c>
      <c r="H3002" s="10" t="str" cm="1">
        <f t="array" aca="1" ref="H3002" ca="1">IF(INDEX(I3002:Z3002,$H$1)=0,"",INDEX(I3002:Z3002,$H$1))</f>
        <v>0.04cc odorant/stroke</v>
      </c>
      <c r="I3002" s="2" t="s">
        <v>472</v>
      </c>
      <c r="J3002" s="2" t="s">
        <v>472</v>
      </c>
      <c r="K3002" s="2" t="s">
        <v>1893</v>
      </c>
    </row>
    <row r="3003" spans="1:11" x14ac:dyDescent="0.35">
      <c r="A3003" s="10" t="s">
        <v>3128</v>
      </c>
      <c r="B3003" s="255">
        <v>14</v>
      </c>
      <c r="C3003" s="2" t="s">
        <v>395</v>
      </c>
      <c r="D3003" s="10">
        <v>3</v>
      </c>
      <c r="E3003" s="10">
        <v>148</v>
      </c>
      <c r="F3003" s="10" t="s">
        <v>38</v>
      </c>
      <c r="G3003" s="10" t="s">
        <v>767</v>
      </c>
      <c r="H3003" s="10" t="str" cm="1">
        <f t="array" aca="1" ref="H3003" ca="1">IF(INDEX(I3003:Z3003,$H$1)=0,"",INDEX(I3003:Z3003,$H$1))</f>
        <v>0.06cc odorant/stroke</v>
      </c>
      <c r="I3003" s="2" t="s">
        <v>474</v>
      </c>
      <c r="J3003" s="2" t="s">
        <v>474</v>
      </c>
      <c r="K3003" s="2" t="s">
        <v>1894</v>
      </c>
    </row>
    <row r="3004" spans="1:11" x14ac:dyDescent="0.35">
      <c r="A3004" s="10" t="s">
        <v>3128</v>
      </c>
      <c r="B3004" s="255">
        <v>14</v>
      </c>
      <c r="C3004" s="2" t="s">
        <v>395</v>
      </c>
      <c r="D3004" s="10">
        <v>3</v>
      </c>
      <c r="E3004" s="10">
        <v>149</v>
      </c>
      <c r="F3004" s="10" t="s">
        <v>38</v>
      </c>
      <c r="G3004" s="10" t="s">
        <v>767</v>
      </c>
      <c r="H3004" s="10" t="str" cm="1">
        <f t="array" aca="1" ref="H3004" ca="1">IF(INDEX(I3004:Z3004,$H$1)=0,"",INDEX(I3004:Z3004,$H$1))</f>
        <v>0.08cc odorant/stroke</v>
      </c>
      <c r="I3004" s="2" t="s">
        <v>476</v>
      </c>
      <c r="J3004" s="2" t="s">
        <v>476</v>
      </c>
      <c r="K3004" s="2" t="s">
        <v>1895</v>
      </c>
    </row>
    <row r="3005" spans="1:11" x14ac:dyDescent="0.35">
      <c r="A3005" s="10" t="s">
        <v>3128</v>
      </c>
      <c r="B3005" s="255">
        <v>14</v>
      </c>
      <c r="C3005" s="2" t="s">
        <v>395</v>
      </c>
      <c r="D3005" s="10">
        <v>3</v>
      </c>
      <c r="E3005" s="10">
        <v>150</v>
      </c>
      <c r="F3005" s="10" t="s">
        <v>38</v>
      </c>
      <c r="G3005" s="10" t="s">
        <v>767</v>
      </c>
      <c r="H3005" s="10" t="str" cm="1">
        <f t="array" aca="1" ref="H3005" ca="1">IF(INDEX(I3005:Z3005,$H$1)=0,"",INDEX(I3005:Z3005,$H$1))</f>
        <v>0.10cc odorant/stroke</v>
      </c>
      <c r="I3005" s="2" t="s">
        <v>478</v>
      </c>
      <c r="J3005" s="2" t="s">
        <v>478</v>
      </c>
      <c r="K3005" s="2" t="s">
        <v>1896</v>
      </c>
    </row>
    <row r="3006" spans="1:11" x14ac:dyDescent="0.35">
      <c r="A3006" s="10" t="s">
        <v>1161</v>
      </c>
      <c r="B3006" s="255">
        <v>15</v>
      </c>
      <c r="C3006" s="2" t="s">
        <v>651</v>
      </c>
      <c r="D3006" s="10">
        <v>1</v>
      </c>
      <c r="E3006" s="10">
        <v>1</v>
      </c>
      <c r="F3006" s="10" t="s">
        <v>687</v>
      </c>
      <c r="G3006" s="10" t="s">
        <v>688</v>
      </c>
      <c r="H3006" s="10" t="str" cm="1">
        <f t="array" aca="1" ref="H3006" ca="1">IF(INDEX(I3006:Z3006,$H$1)=0,"",INDEX(I3006:Z3006,$H$1))</f>
        <v>Gaseous Stream Input Composition:</v>
      </c>
      <c r="I3006" s="2" t="s">
        <v>651</v>
      </c>
      <c r="J3006" s="2" t="s">
        <v>1245</v>
      </c>
      <c r="K3006" s="27" t="s">
        <v>1897</v>
      </c>
    </row>
    <row r="3007" spans="1:11" x14ac:dyDescent="0.35">
      <c r="A3007" s="10" t="s">
        <v>1161</v>
      </c>
      <c r="B3007" s="255">
        <v>15</v>
      </c>
      <c r="C3007" s="2" t="s">
        <v>651</v>
      </c>
      <c r="D3007" s="10">
        <v>1</v>
      </c>
      <c r="E3007" s="10">
        <v>3</v>
      </c>
      <c r="F3007" s="10" t="s">
        <v>687</v>
      </c>
      <c r="G3007" s="10" t="s">
        <v>696</v>
      </c>
      <c r="H3007" s="10" t="str" cm="1">
        <f t="array" aca="1" ref="H3007" ca="1">IF(INDEX(I3007:Z3007,$H$1)=0,"",INDEX(I3007:Z3007,$H$1))</f>
        <v>Component</v>
      </c>
      <c r="I3007" s="2" t="s">
        <v>541</v>
      </c>
      <c r="J3007" s="2" t="s">
        <v>1163</v>
      </c>
      <c r="K3007" s="27" t="s">
        <v>1898</v>
      </c>
    </row>
    <row r="3008" spans="1:11" x14ac:dyDescent="0.35">
      <c r="A3008" s="10" t="s">
        <v>1161</v>
      </c>
      <c r="B3008" s="255">
        <v>15</v>
      </c>
      <c r="C3008" s="2" t="s">
        <v>651</v>
      </c>
      <c r="D3008" s="10">
        <v>1</v>
      </c>
      <c r="E3008" s="10">
        <v>3</v>
      </c>
      <c r="F3008" s="10" t="s">
        <v>38</v>
      </c>
      <c r="G3008" s="10" t="s">
        <v>696</v>
      </c>
      <c r="H3008" s="10" t="str" cm="1">
        <f t="array" aca="1" ref="H3008" ca="1">IF(INDEX(I3008:Z3008,$H$1)=0,"",INDEX(I3008:Z3008,$H$1))</f>
        <v xml:space="preserve">Process </v>
      </c>
      <c r="I3008" s="2" t="s">
        <v>636</v>
      </c>
      <c r="J3008" s="2" t="s">
        <v>1164</v>
      </c>
      <c r="K3008" s="27" t="s">
        <v>1899</v>
      </c>
    </row>
    <row r="3009" spans="1:21" x14ac:dyDescent="0.35">
      <c r="A3009" s="10" t="s">
        <v>1161</v>
      </c>
      <c r="B3009" s="255">
        <v>15</v>
      </c>
      <c r="C3009" s="2" t="s">
        <v>651</v>
      </c>
      <c r="D3009" s="10">
        <v>1</v>
      </c>
      <c r="E3009" s="10">
        <v>4</v>
      </c>
      <c r="F3009" s="10" t="s">
        <v>687</v>
      </c>
      <c r="G3009" s="10" t="s">
        <v>696</v>
      </c>
      <c r="H3009" s="10" t="str" cm="1">
        <f t="array" aca="1" ref="H3009" ca="1">IF(INDEX(I3009:Z3009,$H$1)=0,"",INDEX(I3009:Z3009,$H$1))</f>
        <v>Name</v>
      </c>
      <c r="I3009" s="2" t="s">
        <v>56</v>
      </c>
      <c r="J3009" s="10" t="s">
        <v>1034</v>
      </c>
      <c r="K3009" s="27" t="s">
        <v>1767</v>
      </c>
    </row>
    <row r="3010" spans="1:21" x14ac:dyDescent="0.35">
      <c r="A3010" s="10" t="s">
        <v>1161</v>
      </c>
      <c r="B3010" s="255">
        <v>15</v>
      </c>
      <c r="C3010" s="2" t="s">
        <v>651</v>
      </c>
      <c r="D3010" s="10">
        <v>1</v>
      </c>
      <c r="E3010" s="10">
        <v>4</v>
      </c>
      <c r="F3010" s="10" t="s">
        <v>690</v>
      </c>
      <c r="G3010" s="10" t="s">
        <v>696</v>
      </c>
      <c r="H3010" s="10" t="str" cm="1">
        <f t="array" aca="1" ref="H3010" ca="1">IF(INDEX(I3010:Z3010,$H$1)=0,"",INDEX(I3010:Z3010,$H$1))</f>
        <v>Formula</v>
      </c>
      <c r="I3010" s="2" t="s">
        <v>57</v>
      </c>
      <c r="J3010" s="10" t="s">
        <v>1035</v>
      </c>
      <c r="K3010" s="27" t="s">
        <v>1768</v>
      </c>
    </row>
    <row r="3011" spans="1:21" x14ac:dyDescent="0.35">
      <c r="A3011" s="10" t="s">
        <v>1161</v>
      </c>
      <c r="B3011" s="255">
        <v>15</v>
      </c>
      <c r="C3011" s="2" t="s">
        <v>651</v>
      </c>
      <c r="D3011" s="10">
        <v>1</v>
      </c>
      <c r="E3011" s="10">
        <v>4</v>
      </c>
      <c r="F3011" s="10" t="s">
        <v>38</v>
      </c>
      <c r="G3011" s="10" t="s">
        <v>696</v>
      </c>
      <c r="H3011" s="10" t="str" cm="1">
        <f t="array" aca="1" ref="H3011" ca="1">IF(INDEX(I3011:Z3011,$H$1)=0,"",INDEX(I3011:Z3011,$H$1))</f>
        <v>Stream</v>
      </c>
      <c r="I3011" s="2" t="s">
        <v>266</v>
      </c>
      <c r="J3011" s="10" t="s">
        <v>753</v>
      </c>
      <c r="K3011" s="27" t="s">
        <v>1444</v>
      </c>
    </row>
    <row r="3012" spans="1:21" x14ac:dyDescent="0.35">
      <c r="A3012" s="10" t="s">
        <v>1161</v>
      </c>
      <c r="B3012" s="255">
        <v>15</v>
      </c>
      <c r="C3012" s="2" t="s">
        <v>651</v>
      </c>
      <c r="D3012" s="10">
        <v>1</v>
      </c>
      <c r="E3012" s="10">
        <v>5</v>
      </c>
      <c r="F3012" s="10" t="s">
        <v>38</v>
      </c>
      <c r="G3012" s="10" t="s">
        <v>696</v>
      </c>
      <c r="H3012" s="10" t="str" cm="1">
        <f t="array" aca="1" ref="H3012" ca="1">IF(INDEX(I3012:Z3012,$H$1)=0,"",INDEX(I3012:Z3012,$H$1))</f>
        <v>(Mol%)</v>
      </c>
      <c r="I3012" s="2" t="s">
        <v>43</v>
      </c>
      <c r="J3012" s="2" t="s">
        <v>43</v>
      </c>
      <c r="K3012" s="27" t="s">
        <v>1496</v>
      </c>
    </row>
    <row r="3013" spans="1:21" x14ac:dyDescent="0.35">
      <c r="A3013" s="10" t="s">
        <v>1161</v>
      </c>
      <c r="B3013" s="255">
        <v>15</v>
      </c>
      <c r="C3013" s="2" t="s">
        <v>651</v>
      </c>
      <c r="D3013" s="10">
        <v>1</v>
      </c>
      <c r="E3013" s="10">
        <v>21</v>
      </c>
      <c r="F3013" s="10" t="s">
        <v>687</v>
      </c>
      <c r="G3013" s="10" t="s">
        <v>695</v>
      </c>
      <c r="H3013" s="10" t="str" cm="1">
        <f t="array" aca="1" ref="H3013" ca="1">IF(INDEX(I3013:Z3013,$H$1)=0,"",INDEX(I3013:Z3013,$H$1))</f>
        <v>Total</v>
      </c>
      <c r="I3013" s="2" t="s">
        <v>257</v>
      </c>
      <c r="J3013" s="10" t="s">
        <v>804</v>
      </c>
      <c r="K3013" s="27" t="s">
        <v>257</v>
      </c>
    </row>
    <row r="3014" spans="1:21" x14ac:dyDescent="0.35">
      <c r="A3014" s="10" t="s">
        <v>1161</v>
      </c>
      <c r="B3014" s="255">
        <v>15</v>
      </c>
      <c r="C3014" s="2" t="s">
        <v>651</v>
      </c>
      <c r="D3014" s="10">
        <v>1</v>
      </c>
      <c r="E3014" s="10">
        <v>23</v>
      </c>
      <c r="F3014" s="10" t="s">
        <v>687</v>
      </c>
      <c r="G3014" s="10" t="s">
        <v>695</v>
      </c>
      <c r="H3014" s="10" t="str" cm="1">
        <f t="array" aca="1" ref="H3014" ca="1">IF(INDEX(I3014:Z3014,$H$1)=0,"",INDEX(I3014:Z3014,$H$1))</f>
        <v>Calculated Properties of the Specified Gas Stream:</v>
      </c>
      <c r="I3014" s="2" t="s">
        <v>650</v>
      </c>
      <c r="J3014" s="2" t="s">
        <v>1207</v>
      </c>
      <c r="K3014" s="27" t="s">
        <v>1900</v>
      </c>
    </row>
    <row r="3015" spans="1:21" x14ac:dyDescent="0.35">
      <c r="A3015" s="10" t="s">
        <v>1161</v>
      </c>
      <c r="B3015" s="255">
        <v>15</v>
      </c>
      <c r="C3015" s="2" t="s">
        <v>651</v>
      </c>
      <c r="D3015" s="10">
        <v>1</v>
      </c>
      <c r="E3015" s="10">
        <v>25</v>
      </c>
      <c r="F3015" s="10" t="s">
        <v>687</v>
      </c>
      <c r="G3015" s="10" t="s">
        <v>695</v>
      </c>
      <c r="H3015" s="10" t="str" cm="1">
        <f t="array" aca="1" ref="H3015" ca="1">IF(INDEX(I3015:Z3015,$H$1)=0,"",INDEX(I3015:Z3015,$H$1))</f>
        <v>Molecular Weight</v>
      </c>
      <c r="I3015" s="2" t="s">
        <v>58</v>
      </c>
      <c r="J3015" s="2" t="s">
        <v>811</v>
      </c>
      <c r="K3015" s="27" t="s">
        <v>1901</v>
      </c>
    </row>
    <row r="3016" spans="1:21" x14ac:dyDescent="0.35">
      <c r="A3016" s="10" t="s">
        <v>1161</v>
      </c>
      <c r="B3016" s="255">
        <v>15</v>
      </c>
      <c r="C3016" s="2" t="s">
        <v>651</v>
      </c>
      <c r="D3016" s="10">
        <v>1</v>
      </c>
      <c r="E3016" s="10">
        <v>25</v>
      </c>
      <c r="F3016" s="10" t="s">
        <v>38</v>
      </c>
      <c r="G3016" s="10" t="s">
        <v>767</v>
      </c>
      <c r="H3016" s="10" t="str" cm="1">
        <f t="array" aca="1" ref="H3016" ca="1">IF(INDEX(I3016:Z3016,$H$1)=0,"",INDEX(I3016:Z3016,$H$1))</f>
        <v>kg/kmol</v>
      </c>
      <c r="I3016" s="2" t="s">
        <v>1165</v>
      </c>
      <c r="J3016" s="2" t="s">
        <v>1165</v>
      </c>
      <c r="K3016" s="27" t="s">
        <v>1165</v>
      </c>
    </row>
    <row r="3017" spans="1:21" x14ac:dyDescent="0.35">
      <c r="A3017" s="10" t="s">
        <v>1161</v>
      </c>
      <c r="B3017" s="255">
        <v>15</v>
      </c>
      <c r="C3017" s="2" t="s">
        <v>651</v>
      </c>
      <c r="D3017" s="10">
        <v>1</v>
      </c>
      <c r="E3017" s="10">
        <v>26</v>
      </c>
      <c r="F3017" s="10" t="s">
        <v>687</v>
      </c>
      <c r="G3017" s="10" t="s">
        <v>695</v>
      </c>
      <c r="H3017" s="10" t="str" cm="1">
        <f t="array" aca="1" ref="H3017" ca="1">IF(INDEX(I3017:Z3017,$H$1)=0,"",INDEX(I3017:Z3017,$H$1))</f>
        <v>Carbon Content</v>
      </c>
      <c r="I3017" s="2" t="s">
        <v>558</v>
      </c>
      <c r="J3017" s="2" t="s">
        <v>1065</v>
      </c>
      <c r="K3017" s="27" t="s">
        <v>1458</v>
      </c>
    </row>
    <row r="3018" spans="1:21" x14ac:dyDescent="0.35">
      <c r="A3018" s="10" t="s">
        <v>1161</v>
      </c>
      <c r="B3018" s="255">
        <v>15</v>
      </c>
      <c r="C3018" s="2" t="s">
        <v>651</v>
      </c>
      <c r="D3018" s="10">
        <v>1</v>
      </c>
      <c r="E3018" s="10">
        <v>26</v>
      </c>
      <c r="F3018" s="10" t="s">
        <v>38</v>
      </c>
      <c r="G3018" s="10" t="s">
        <v>767</v>
      </c>
      <c r="H3018" s="10" t="str" cm="1">
        <f t="array" aca="1" ref="H3018" ca="1">IF(INDEX(I3018:Z3018,$H$1)=0,"",INDEX(I3018:Z3018,$H$1))</f>
        <v>tonnes/10^3 Nm3</v>
      </c>
      <c r="I3018" s="2" t="s">
        <v>2311</v>
      </c>
      <c r="J3018" s="2" t="s">
        <v>2312</v>
      </c>
      <c r="K3018" s="27" t="s">
        <v>2313</v>
      </c>
    </row>
    <row r="3019" spans="1:21" x14ac:dyDescent="0.35">
      <c r="A3019" s="10" t="s">
        <v>1161</v>
      </c>
      <c r="B3019" s="255">
        <v>15</v>
      </c>
      <c r="C3019" s="2" t="s">
        <v>651</v>
      </c>
      <c r="D3019" s="10">
        <v>1</v>
      </c>
      <c r="E3019" s="10">
        <v>27</v>
      </c>
      <c r="F3019" s="10" t="s">
        <v>687</v>
      </c>
      <c r="G3019" s="10" t="s">
        <v>695</v>
      </c>
      <c r="H3019" s="10" t="str" cm="1">
        <f t="array" aca="1" ref="H3019" ca="1">IF(INDEX(I3019:Z3019,$H$1)=0,"",INDEX(I3019:Z3019,$H$1))</f>
        <v>Lower Heating Value</v>
      </c>
      <c r="I3019" s="2" t="s">
        <v>559</v>
      </c>
      <c r="J3019" s="10" t="s">
        <v>782</v>
      </c>
      <c r="K3019" s="27" t="s">
        <v>1457</v>
      </c>
    </row>
    <row r="3020" spans="1:21" x14ac:dyDescent="0.35">
      <c r="A3020" s="10" t="s">
        <v>1161</v>
      </c>
      <c r="B3020" s="255">
        <v>15</v>
      </c>
      <c r="C3020" s="2" t="s">
        <v>651</v>
      </c>
      <c r="D3020" s="10">
        <v>1</v>
      </c>
      <c r="E3020" s="10">
        <v>27</v>
      </c>
      <c r="F3020" s="10" t="s">
        <v>38</v>
      </c>
      <c r="G3020" s="10" t="s">
        <v>767</v>
      </c>
      <c r="H3020" s="10" t="str" cm="1">
        <f t="array" aca="1" ref="H3020" ca="1">IF(INDEX(I3020:Z3020,$H$1)=0,"",INDEX(I3020:Z3020,$H$1))</f>
        <v>GJ/10^3 Nm3</v>
      </c>
      <c r="I3020" s="2" t="s">
        <v>2314</v>
      </c>
      <c r="J3020" s="2" t="s">
        <v>2314</v>
      </c>
      <c r="K3020" s="27" t="s">
        <v>2314</v>
      </c>
    </row>
    <row r="3021" spans="1:21" x14ac:dyDescent="0.35">
      <c r="A3021" s="10" t="s">
        <v>1161</v>
      </c>
      <c r="B3021" s="255">
        <v>15</v>
      </c>
      <c r="C3021" s="2" t="s">
        <v>651</v>
      </c>
      <c r="D3021" s="10">
        <v>1</v>
      </c>
      <c r="E3021" s="10">
        <v>28</v>
      </c>
      <c r="F3021" s="10" t="s">
        <v>687</v>
      </c>
      <c r="G3021" s="10" t="s">
        <v>695</v>
      </c>
      <c r="H3021" s="10" t="str" cm="1">
        <f t="array" aca="1" ref="H3021" ca="1">IF(INDEX(I3021:Z3021,$H$1)=0,"",INDEX(I3021:Z3021,$H$1))</f>
        <v>Higher Heating Value</v>
      </c>
      <c r="I3021" s="2" t="s">
        <v>595</v>
      </c>
      <c r="J3021" s="2" t="s">
        <v>1249</v>
      </c>
      <c r="K3021" s="27" t="s">
        <v>1765</v>
      </c>
    </row>
    <row r="3022" spans="1:21" x14ac:dyDescent="0.35">
      <c r="A3022" s="10" t="s">
        <v>1161</v>
      </c>
      <c r="B3022" s="255">
        <v>15</v>
      </c>
      <c r="C3022" s="2" t="s">
        <v>651</v>
      </c>
      <c r="D3022" s="10">
        <v>1</v>
      </c>
      <c r="E3022" s="10">
        <v>28</v>
      </c>
      <c r="F3022" s="10" t="s">
        <v>38</v>
      </c>
      <c r="G3022" s="10" t="s">
        <v>767</v>
      </c>
      <c r="H3022" s="10" t="str" cm="1">
        <f t="array" aca="1" ref="H3022" ca="1">IF(INDEX(I3022:Z3022,$H$1)=0,"",INDEX(I3022:Z3022,$H$1))</f>
        <v>GJ/10^3 Nm3</v>
      </c>
      <c r="I3022" s="2" t="s">
        <v>2314</v>
      </c>
      <c r="J3022" s="2" t="s">
        <v>2314</v>
      </c>
      <c r="K3022" s="27" t="s">
        <v>2314</v>
      </c>
    </row>
    <row r="3023" spans="1:21" x14ac:dyDescent="0.35">
      <c r="A3023" s="2" t="s">
        <v>1166</v>
      </c>
      <c r="B3023" s="255">
        <v>16</v>
      </c>
      <c r="C3023" s="2" t="s">
        <v>1166</v>
      </c>
      <c r="D3023" s="10">
        <v>1</v>
      </c>
      <c r="E3023" s="10">
        <v>1</v>
      </c>
      <c r="F3023" s="10" t="s">
        <v>687</v>
      </c>
      <c r="G3023" s="10" t="s">
        <v>688</v>
      </c>
      <c r="H3023" s="10" t="str" cm="1">
        <f t="array" aca="1" ref="H3023" ca="1">IF(INDEX(I3023:Z3023,$H$1)=0,"",INDEX(I3023:Z3023,$H$1))</f>
        <v>Compressibility factors for "Rich Processed Natural Gas" at various temperatures and pressures1.</v>
      </c>
      <c r="I3023" s="2" t="s">
        <v>1167</v>
      </c>
      <c r="J3023" s="17" t="s">
        <v>1377</v>
      </c>
      <c r="K3023" s="27" t="s">
        <v>1902</v>
      </c>
      <c r="L3023" s="9"/>
      <c r="M3023" s="9"/>
      <c r="N3023" s="9"/>
      <c r="O3023" s="9"/>
      <c r="P3023" s="9"/>
      <c r="Q3023" s="9"/>
      <c r="R3023" s="9"/>
      <c r="S3023" s="9"/>
      <c r="T3023" s="9"/>
      <c r="U3023" s="9"/>
    </row>
    <row r="3024" spans="1:21" x14ac:dyDescent="0.35">
      <c r="A3024" s="2" t="s">
        <v>1166</v>
      </c>
      <c r="B3024" s="255">
        <v>16</v>
      </c>
      <c r="C3024" s="2" t="s">
        <v>1166</v>
      </c>
      <c r="D3024" s="10">
        <v>1</v>
      </c>
      <c r="E3024" s="10">
        <v>2</v>
      </c>
      <c r="F3024" s="10" t="s">
        <v>687</v>
      </c>
      <c r="G3024" s="10" t="s">
        <v>696</v>
      </c>
      <c r="H3024" s="10" t="str" cm="1">
        <f t="array" aca="1" ref="H3024" ca="1">IF(INDEX(I3024:Z3024,$H$1)=0,"",INDEX(I3024:Z3024,$H$1))</f>
        <v>Absolute</v>
      </c>
      <c r="I3024" s="2" t="s">
        <v>396</v>
      </c>
      <c r="J3024" s="2" t="s">
        <v>1175</v>
      </c>
      <c r="K3024" s="28" t="s">
        <v>1903</v>
      </c>
    </row>
    <row r="3025" spans="1:11" x14ac:dyDescent="0.35">
      <c r="A3025" s="2" t="s">
        <v>1166</v>
      </c>
      <c r="B3025" s="255">
        <v>16</v>
      </c>
      <c r="C3025" s="2" t="s">
        <v>1166</v>
      </c>
      <c r="D3025" s="10">
        <v>1</v>
      </c>
      <c r="E3025" s="10">
        <v>2</v>
      </c>
      <c r="F3025" s="10" t="s">
        <v>690</v>
      </c>
      <c r="G3025" s="10" t="s">
        <v>696</v>
      </c>
      <c r="H3025" s="10" t="str" cm="1">
        <f t="array" aca="1" ref="H3025" ca="1">IF(INDEX(I3025:Z3025,$H$1)=0,"",INDEX(I3025:Z3025,$H$1))</f>
        <v>0 °C</v>
      </c>
      <c r="I3025" s="2" t="s">
        <v>1168</v>
      </c>
      <c r="J3025" s="2" t="s">
        <v>1168</v>
      </c>
      <c r="K3025" s="2" t="s">
        <v>1168</v>
      </c>
    </row>
    <row r="3026" spans="1:11" x14ac:dyDescent="0.35">
      <c r="A3026" s="2" t="s">
        <v>1166</v>
      </c>
      <c r="B3026" s="255">
        <v>16</v>
      </c>
      <c r="C3026" s="2" t="s">
        <v>1166</v>
      </c>
      <c r="D3026" s="10">
        <v>1</v>
      </c>
      <c r="E3026" s="10">
        <v>2</v>
      </c>
      <c r="F3026" s="10" t="s">
        <v>38</v>
      </c>
      <c r="G3026" s="10" t="s">
        <v>696</v>
      </c>
      <c r="H3026" s="10" t="str" cm="1">
        <f t="array" aca="1" ref="H3026" ca="1">IF(INDEX(I3026:Z3026,$H$1)=0,"",INDEX(I3026:Z3026,$H$1))</f>
        <v>5 °C</v>
      </c>
      <c r="I3026" s="2" t="s">
        <v>1169</v>
      </c>
      <c r="J3026" s="2" t="s">
        <v>1169</v>
      </c>
      <c r="K3026" s="2" t="s">
        <v>1169</v>
      </c>
    </row>
    <row r="3027" spans="1:11" x14ac:dyDescent="0.35">
      <c r="A3027" s="2" t="s">
        <v>1166</v>
      </c>
      <c r="B3027" s="255">
        <v>16</v>
      </c>
      <c r="C3027" s="2" t="s">
        <v>1166</v>
      </c>
      <c r="D3027" s="10">
        <v>1</v>
      </c>
      <c r="E3027" s="10">
        <v>2</v>
      </c>
      <c r="F3027" s="10" t="s">
        <v>692</v>
      </c>
      <c r="G3027" s="10" t="s">
        <v>696</v>
      </c>
      <c r="H3027" s="10" t="str" cm="1">
        <f t="array" aca="1" ref="H3027" ca="1">IF(INDEX(I3027:Z3027,$H$1)=0,"",INDEX(I3027:Z3027,$H$1))</f>
        <v>10 °C</v>
      </c>
      <c r="I3027" s="2" t="s">
        <v>1170</v>
      </c>
      <c r="J3027" s="2" t="s">
        <v>1170</v>
      </c>
      <c r="K3027" s="2" t="s">
        <v>1170</v>
      </c>
    </row>
    <row r="3028" spans="1:11" x14ac:dyDescent="0.35">
      <c r="A3028" s="2" t="s">
        <v>1166</v>
      </c>
      <c r="B3028" s="255">
        <v>16</v>
      </c>
      <c r="C3028" s="2" t="s">
        <v>1166</v>
      </c>
      <c r="D3028" s="10">
        <v>1</v>
      </c>
      <c r="E3028" s="10">
        <v>2</v>
      </c>
      <c r="F3028" s="10" t="s">
        <v>693</v>
      </c>
      <c r="G3028" s="10" t="s">
        <v>696</v>
      </c>
      <c r="H3028" s="10" t="str" cm="1">
        <f t="array" aca="1" ref="H3028" ca="1">IF(INDEX(I3028:Z3028,$H$1)=0,"",INDEX(I3028:Z3028,$H$1))</f>
        <v>15 °C</v>
      </c>
      <c r="I3028" s="2" t="s">
        <v>1171</v>
      </c>
      <c r="J3028" s="2" t="s">
        <v>1171</v>
      </c>
      <c r="K3028" s="2" t="s">
        <v>1171</v>
      </c>
    </row>
    <row r="3029" spans="1:11" x14ac:dyDescent="0.35">
      <c r="A3029" s="2" t="s">
        <v>1166</v>
      </c>
      <c r="B3029" s="255">
        <v>16</v>
      </c>
      <c r="C3029" s="2" t="s">
        <v>1166</v>
      </c>
      <c r="D3029" s="10">
        <v>1</v>
      </c>
      <c r="E3029" s="10">
        <v>3</v>
      </c>
      <c r="F3029" s="10" t="s">
        <v>687</v>
      </c>
      <c r="G3029" s="10" t="s">
        <v>696</v>
      </c>
      <c r="H3029" s="10" t="str" cm="1">
        <f t="array" aca="1" ref="H3029" ca="1">IF(INDEX(I3029:Z3029,$H$1)=0,"",INDEX(I3029:Z3029,$H$1))</f>
        <v>Pressure</v>
      </c>
      <c r="I3029" s="2" t="s">
        <v>397</v>
      </c>
      <c r="J3029" s="2" t="s">
        <v>1176</v>
      </c>
      <c r="K3029" s="28" t="s">
        <v>1904</v>
      </c>
    </row>
    <row r="3030" spans="1:11" x14ac:dyDescent="0.35">
      <c r="A3030" s="2" t="s">
        <v>1166</v>
      </c>
      <c r="B3030" s="255">
        <v>16</v>
      </c>
      <c r="C3030" s="2" t="s">
        <v>1166</v>
      </c>
      <c r="D3030" s="10">
        <v>1</v>
      </c>
      <c r="E3030" s="10">
        <v>3</v>
      </c>
      <c r="F3030" s="10" t="s">
        <v>690</v>
      </c>
      <c r="G3030" s="10" t="s">
        <v>696</v>
      </c>
      <c r="H3030" s="10" t="str" cm="1">
        <f t="array" aca="1" ref="H3030" ca="1">IF(INDEX(I3030:Z3030,$H$1)=0,"",INDEX(I3030:Z3030,$H$1))</f>
        <v>(dimensionless)</v>
      </c>
      <c r="I3030" s="2" t="s">
        <v>398</v>
      </c>
      <c r="J3030" s="2" t="s">
        <v>1177</v>
      </c>
      <c r="K3030" s="27" t="s">
        <v>1905</v>
      </c>
    </row>
    <row r="3031" spans="1:11" x14ac:dyDescent="0.35">
      <c r="A3031" s="2" t="s">
        <v>1166</v>
      </c>
      <c r="B3031" s="255">
        <v>16</v>
      </c>
      <c r="C3031" s="2" t="s">
        <v>1166</v>
      </c>
      <c r="D3031" s="10">
        <v>1</v>
      </c>
      <c r="E3031" s="10">
        <v>3</v>
      </c>
      <c r="F3031" s="10" t="s">
        <v>38</v>
      </c>
      <c r="G3031" s="10" t="s">
        <v>696</v>
      </c>
      <c r="H3031" s="10" t="str" cm="1">
        <f t="array" aca="1" ref="H3031" ca="1">IF(INDEX(I3031:Z3031,$H$1)=0,"",INDEX(I3031:Z3031,$H$1))</f>
        <v>(dimensionless)</v>
      </c>
      <c r="I3031" s="2" t="s">
        <v>398</v>
      </c>
      <c r="J3031" s="2" t="s">
        <v>1177</v>
      </c>
      <c r="K3031" s="27" t="s">
        <v>1905</v>
      </c>
    </row>
    <row r="3032" spans="1:11" x14ac:dyDescent="0.35">
      <c r="A3032" s="2" t="s">
        <v>1166</v>
      </c>
      <c r="B3032" s="255">
        <v>16</v>
      </c>
      <c r="C3032" s="2" t="s">
        <v>1166</v>
      </c>
      <c r="D3032" s="10">
        <v>1</v>
      </c>
      <c r="E3032" s="10">
        <v>3</v>
      </c>
      <c r="F3032" s="10" t="s">
        <v>692</v>
      </c>
      <c r="G3032" s="10" t="s">
        <v>696</v>
      </c>
      <c r="H3032" s="10" t="str" cm="1">
        <f t="array" aca="1" ref="H3032" ca="1">IF(INDEX(I3032:Z3032,$H$1)=0,"",INDEX(I3032:Z3032,$H$1))</f>
        <v>(dimensionless)</v>
      </c>
      <c r="I3032" s="2" t="s">
        <v>398</v>
      </c>
      <c r="J3032" s="2" t="s">
        <v>1177</v>
      </c>
      <c r="K3032" s="27" t="s">
        <v>1905</v>
      </c>
    </row>
    <row r="3033" spans="1:11" x14ac:dyDescent="0.35">
      <c r="A3033" s="2" t="s">
        <v>1166</v>
      </c>
      <c r="B3033" s="255">
        <v>16</v>
      </c>
      <c r="C3033" s="2" t="s">
        <v>1166</v>
      </c>
      <c r="D3033" s="10">
        <v>1</v>
      </c>
      <c r="E3033" s="10">
        <v>3</v>
      </c>
      <c r="F3033" s="10" t="s">
        <v>693</v>
      </c>
      <c r="G3033" s="10" t="s">
        <v>696</v>
      </c>
      <c r="H3033" s="10" t="str" cm="1">
        <f t="array" aca="1" ref="H3033" ca="1">IF(INDEX(I3033:Z3033,$H$1)=0,"",INDEX(I3033:Z3033,$H$1))</f>
        <v>(dimensionless)</v>
      </c>
      <c r="I3033" s="2" t="s">
        <v>398</v>
      </c>
      <c r="J3033" s="2" t="s">
        <v>1177</v>
      </c>
      <c r="K3033" s="27" t="s">
        <v>1905</v>
      </c>
    </row>
    <row r="3034" spans="1:11" x14ac:dyDescent="0.35">
      <c r="A3034" s="2" t="s">
        <v>1166</v>
      </c>
      <c r="B3034" s="255">
        <v>16</v>
      </c>
      <c r="C3034" s="2" t="s">
        <v>1166</v>
      </c>
      <c r="D3034" s="10">
        <v>1</v>
      </c>
      <c r="E3034" s="10">
        <v>4</v>
      </c>
      <c r="F3034" s="2" t="s">
        <v>687</v>
      </c>
      <c r="G3034" s="10" t="s">
        <v>696</v>
      </c>
      <c r="H3034" s="10" t="str" cm="1">
        <f t="array" aca="1" ref="H3034" ca="1">IF(INDEX(I3034:Z3034,$H$1)=0,"",INDEX(I3034:Z3034,$H$1))</f>
        <v>kPa</v>
      </c>
      <c r="I3034" s="2" t="s">
        <v>64</v>
      </c>
      <c r="J3034" s="2" t="s">
        <v>64</v>
      </c>
      <c r="K3034" s="27" t="s">
        <v>64</v>
      </c>
    </row>
    <row r="3035" spans="1:11" x14ac:dyDescent="0.35">
      <c r="A3035" s="2" t="s">
        <v>1166</v>
      </c>
      <c r="B3035" s="255">
        <v>16</v>
      </c>
      <c r="C3035" s="2" t="s">
        <v>1166</v>
      </c>
      <c r="D3035" s="10">
        <v>1</v>
      </c>
      <c r="E3035" s="10">
        <v>26</v>
      </c>
      <c r="F3035" s="2" t="s">
        <v>690</v>
      </c>
      <c r="G3035" s="10" t="s">
        <v>767</v>
      </c>
      <c r="H3035" s="10" t="str" cm="1">
        <f t="array" aca="1" ref="H3035" ca="1">IF(INDEX(I3035:Z3035,$H$1)=0,"",INDEX(I3035:Z3035,$H$1))</f>
        <v>Values calculated using the Peng and Robinson equation of state (1976) for the following gas mixture (mol percent): 88.41% C1, 7.45% C2, 1.91% C3, 0.17% iC4, 0.24% nC4, 0.06% iC5, 0.04% nC5, 0.10% nC6+, 0.72% N2 and 0.90% CO2.</v>
      </c>
      <c r="I3035" s="2" t="s">
        <v>412</v>
      </c>
      <c r="J3035" s="2" t="s">
        <v>1178</v>
      </c>
      <c r="K3035" s="27" t="s">
        <v>1906</v>
      </c>
    </row>
    <row r="3036" spans="1:11" x14ac:dyDescent="0.35">
      <c r="A3036" s="2" t="s">
        <v>1166</v>
      </c>
      <c r="B3036" s="255">
        <v>16</v>
      </c>
      <c r="C3036" s="2" t="s">
        <v>1166</v>
      </c>
      <c r="D3036" s="10">
        <v>2</v>
      </c>
      <c r="E3036" s="10">
        <v>28</v>
      </c>
      <c r="F3036" s="10" t="s">
        <v>687</v>
      </c>
      <c r="G3036" s="10" t="s">
        <v>688</v>
      </c>
      <c r="H3036" s="10" t="str" cm="1">
        <f t="array" aca="1" ref="H3036" ca="1">IF(INDEX(I3036:Z3036,$H$1)=0,"",INDEX(I3036:Z3036,$H$1))</f>
        <v>Compressibility factors for "Typical Processed Natural Gas Mixture 1" at various temperatures and pressures1.</v>
      </c>
      <c r="I3036" s="2" t="s">
        <v>1172</v>
      </c>
      <c r="J3036" s="2" t="s">
        <v>1179</v>
      </c>
      <c r="K3036" s="27" t="s">
        <v>1907</v>
      </c>
    </row>
    <row r="3037" spans="1:11" x14ac:dyDescent="0.35">
      <c r="A3037" s="2" t="s">
        <v>1166</v>
      </c>
      <c r="B3037" s="255">
        <v>16</v>
      </c>
      <c r="C3037" s="2" t="s">
        <v>1166</v>
      </c>
      <c r="D3037" s="10">
        <v>2</v>
      </c>
      <c r="E3037" s="10">
        <v>29</v>
      </c>
      <c r="F3037" s="10" t="s">
        <v>687</v>
      </c>
      <c r="G3037" s="10" t="s">
        <v>696</v>
      </c>
      <c r="H3037" s="10" t="str" cm="1">
        <f t="array" aca="1" ref="H3037" ca="1">IF(INDEX(I3037:Z3037,$H$1)=0,"",INDEX(I3037:Z3037,$H$1))</f>
        <v>Absolute</v>
      </c>
      <c r="I3037" s="2" t="s">
        <v>396</v>
      </c>
      <c r="J3037" s="2" t="s">
        <v>1175</v>
      </c>
      <c r="K3037" s="27" t="s">
        <v>1908</v>
      </c>
    </row>
    <row r="3038" spans="1:11" x14ac:dyDescent="0.35">
      <c r="A3038" s="2" t="s">
        <v>1166</v>
      </c>
      <c r="B3038" s="255">
        <v>16</v>
      </c>
      <c r="C3038" s="2" t="s">
        <v>1166</v>
      </c>
      <c r="D3038" s="10">
        <v>2</v>
      </c>
      <c r="E3038" s="10">
        <v>29</v>
      </c>
      <c r="F3038" s="10" t="s">
        <v>690</v>
      </c>
      <c r="G3038" s="10" t="s">
        <v>696</v>
      </c>
      <c r="H3038" s="10" t="str" cm="1">
        <f t="array" aca="1" ref="H3038" ca="1">IF(INDEX(I3038:Z3038,$H$1)=0,"",INDEX(I3038:Z3038,$H$1))</f>
        <v>0 °C</v>
      </c>
      <c r="I3038" s="2" t="s">
        <v>1168</v>
      </c>
      <c r="J3038" s="2" t="s">
        <v>1168</v>
      </c>
      <c r="K3038" s="2" t="s">
        <v>1168</v>
      </c>
    </row>
    <row r="3039" spans="1:11" x14ac:dyDescent="0.35">
      <c r="A3039" s="2" t="s">
        <v>1166</v>
      </c>
      <c r="B3039" s="255">
        <v>16</v>
      </c>
      <c r="C3039" s="2" t="s">
        <v>1166</v>
      </c>
      <c r="D3039" s="10">
        <v>2</v>
      </c>
      <c r="E3039" s="10">
        <v>29</v>
      </c>
      <c r="F3039" s="10" t="s">
        <v>38</v>
      </c>
      <c r="G3039" s="10" t="s">
        <v>696</v>
      </c>
      <c r="H3039" s="10" t="str" cm="1">
        <f t="array" aca="1" ref="H3039" ca="1">IF(INDEX(I3039:Z3039,$H$1)=0,"",INDEX(I3039:Z3039,$H$1))</f>
        <v>5 °C</v>
      </c>
      <c r="I3039" s="2" t="s">
        <v>1169</v>
      </c>
      <c r="J3039" s="2" t="s">
        <v>1169</v>
      </c>
      <c r="K3039" s="2" t="s">
        <v>1169</v>
      </c>
    </row>
    <row r="3040" spans="1:11" x14ac:dyDescent="0.35">
      <c r="A3040" s="2" t="s">
        <v>1166</v>
      </c>
      <c r="B3040" s="255">
        <v>16</v>
      </c>
      <c r="C3040" s="2" t="s">
        <v>1166</v>
      </c>
      <c r="D3040" s="10">
        <v>2</v>
      </c>
      <c r="E3040" s="10">
        <v>29</v>
      </c>
      <c r="F3040" s="10" t="s">
        <v>692</v>
      </c>
      <c r="G3040" s="10" t="s">
        <v>696</v>
      </c>
      <c r="H3040" s="10" t="str" cm="1">
        <f t="array" aca="1" ref="H3040" ca="1">IF(INDEX(I3040:Z3040,$H$1)=0,"",INDEX(I3040:Z3040,$H$1))</f>
        <v>10 °C</v>
      </c>
      <c r="I3040" s="2" t="s">
        <v>1170</v>
      </c>
      <c r="J3040" s="2" t="s">
        <v>1170</v>
      </c>
      <c r="K3040" s="2" t="s">
        <v>1170</v>
      </c>
    </row>
    <row r="3041" spans="1:11" x14ac:dyDescent="0.35">
      <c r="A3041" s="2" t="s">
        <v>1166</v>
      </c>
      <c r="B3041" s="255">
        <v>16</v>
      </c>
      <c r="C3041" s="2" t="s">
        <v>1166</v>
      </c>
      <c r="D3041" s="10">
        <v>2</v>
      </c>
      <c r="E3041" s="10">
        <v>29</v>
      </c>
      <c r="F3041" s="10" t="s">
        <v>693</v>
      </c>
      <c r="G3041" s="10" t="s">
        <v>696</v>
      </c>
      <c r="H3041" s="10" t="str" cm="1">
        <f t="array" aca="1" ref="H3041" ca="1">IF(INDEX(I3041:Z3041,$H$1)=0,"",INDEX(I3041:Z3041,$H$1))</f>
        <v>15 °C</v>
      </c>
      <c r="I3041" s="2" t="s">
        <v>1171</v>
      </c>
      <c r="J3041" s="2" t="s">
        <v>1171</v>
      </c>
      <c r="K3041" s="2" t="s">
        <v>1171</v>
      </c>
    </row>
    <row r="3042" spans="1:11" x14ac:dyDescent="0.35">
      <c r="A3042" s="2" t="s">
        <v>1166</v>
      </c>
      <c r="B3042" s="255">
        <v>16</v>
      </c>
      <c r="C3042" s="2" t="s">
        <v>1166</v>
      </c>
      <c r="D3042" s="10">
        <v>2</v>
      </c>
      <c r="E3042" s="10">
        <v>30</v>
      </c>
      <c r="F3042" s="10" t="s">
        <v>687</v>
      </c>
      <c r="G3042" s="10" t="s">
        <v>696</v>
      </c>
      <c r="H3042" s="10" t="str" cm="1">
        <f t="array" aca="1" ref="H3042" ca="1">IF(INDEX(I3042:Z3042,$H$1)=0,"",INDEX(I3042:Z3042,$H$1))</f>
        <v>Pressure</v>
      </c>
      <c r="I3042" s="2" t="s">
        <v>397</v>
      </c>
      <c r="J3042" s="2" t="s">
        <v>1176</v>
      </c>
      <c r="K3042" s="27" t="s">
        <v>1903</v>
      </c>
    </row>
    <row r="3043" spans="1:11" x14ac:dyDescent="0.35">
      <c r="A3043" s="2" t="s">
        <v>1166</v>
      </c>
      <c r="B3043" s="255">
        <v>16</v>
      </c>
      <c r="C3043" s="2" t="s">
        <v>1166</v>
      </c>
      <c r="D3043" s="10">
        <v>2</v>
      </c>
      <c r="E3043" s="10">
        <v>30</v>
      </c>
      <c r="F3043" s="10" t="s">
        <v>690</v>
      </c>
      <c r="G3043" s="10" t="s">
        <v>696</v>
      </c>
      <c r="H3043" s="10" t="str" cm="1">
        <f t="array" aca="1" ref="H3043" ca="1">IF(INDEX(I3043:Z3043,$H$1)=0,"",INDEX(I3043:Z3043,$H$1))</f>
        <v>(dimensionless)</v>
      </c>
      <c r="I3043" s="2" t="s">
        <v>398</v>
      </c>
      <c r="J3043" s="2" t="s">
        <v>1177</v>
      </c>
      <c r="K3043" s="27" t="s">
        <v>1905</v>
      </c>
    </row>
    <row r="3044" spans="1:11" x14ac:dyDescent="0.35">
      <c r="A3044" s="2" t="s">
        <v>1166</v>
      </c>
      <c r="B3044" s="255">
        <v>16</v>
      </c>
      <c r="C3044" s="2" t="s">
        <v>1166</v>
      </c>
      <c r="D3044" s="10">
        <v>2</v>
      </c>
      <c r="E3044" s="10">
        <v>30</v>
      </c>
      <c r="F3044" s="10" t="s">
        <v>38</v>
      </c>
      <c r="G3044" s="10" t="s">
        <v>696</v>
      </c>
      <c r="H3044" s="10" t="str" cm="1">
        <f t="array" aca="1" ref="H3044" ca="1">IF(INDEX(I3044:Z3044,$H$1)=0,"",INDEX(I3044:Z3044,$H$1))</f>
        <v>(dimensionless)</v>
      </c>
      <c r="I3044" s="2" t="s">
        <v>398</v>
      </c>
      <c r="J3044" s="2" t="s">
        <v>1177</v>
      </c>
      <c r="K3044" s="27" t="s">
        <v>1905</v>
      </c>
    </row>
    <row r="3045" spans="1:11" x14ac:dyDescent="0.35">
      <c r="A3045" s="2" t="s">
        <v>1166</v>
      </c>
      <c r="B3045" s="255">
        <v>16</v>
      </c>
      <c r="C3045" s="2" t="s">
        <v>1166</v>
      </c>
      <c r="D3045" s="10">
        <v>2</v>
      </c>
      <c r="E3045" s="10">
        <v>30</v>
      </c>
      <c r="F3045" s="10" t="s">
        <v>692</v>
      </c>
      <c r="G3045" s="10" t="s">
        <v>696</v>
      </c>
      <c r="H3045" s="10" t="str" cm="1">
        <f t="array" aca="1" ref="H3045" ca="1">IF(INDEX(I3045:Z3045,$H$1)=0,"",INDEX(I3045:Z3045,$H$1))</f>
        <v>(dimensionless)</v>
      </c>
      <c r="I3045" s="2" t="s">
        <v>398</v>
      </c>
      <c r="J3045" s="2" t="s">
        <v>1177</v>
      </c>
      <c r="K3045" s="27" t="s">
        <v>1905</v>
      </c>
    </row>
    <row r="3046" spans="1:11" x14ac:dyDescent="0.35">
      <c r="A3046" s="2" t="s">
        <v>1166</v>
      </c>
      <c r="B3046" s="255">
        <v>16</v>
      </c>
      <c r="C3046" s="2" t="s">
        <v>1166</v>
      </c>
      <c r="D3046" s="10">
        <v>2</v>
      </c>
      <c r="E3046" s="10">
        <v>30</v>
      </c>
      <c r="F3046" s="10" t="s">
        <v>693</v>
      </c>
      <c r="G3046" s="10" t="s">
        <v>696</v>
      </c>
      <c r="H3046" s="10" t="str" cm="1">
        <f t="array" aca="1" ref="H3046" ca="1">IF(INDEX(I3046:Z3046,$H$1)=0,"",INDEX(I3046:Z3046,$H$1))</f>
        <v>(dimensionless)</v>
      </c>
      <c r="I3046" s="2" t="s">
        <v>398</v>
      </c>
      <c r="J3046" s="2" t="s">
        <v>1177</v>
      </c>
      <c r="K3046" s="27" t="s">
        <v>1905</v>
      </c>
    </row>
    <row r="3047" spans="1:11" x14ac:dyDescent="0.35">
      <c r="A3047" s="2" t="s">
        <v>1166</v>
      </c>
      <c r="B3047" s="255">
        <v>16</v>
      </c>
      <c r="C3047" s="2" t="s">
        <v>1166</v>
      </c>
      <c r="D3047" s="10">
        <v>2</v>
      </c>
      <c r="E3047" s="10">
        <v>31</v>
      </c>
      <c r="F3047" s="10" t="s">
        <v>687</v>
      </c>
      <c r="G3047" s="10" t="s">
        <v>696</v>
      </c>
      <c r="H3047" s="10" t="str" cm="1">
        <f t="array" aca="1" ref="H3047" ca="1">IF(INDEX(I3047:Z3047,$H$1)=0,"",INDEX(I3047:Z3047,$H$1))</f>
        <v>kPa</v>
      </c>
      <c r="I3047" s="2" t="s">
        <v>64</v>
      </c>
      <c r="J3047" s="2" t="s">
        <v>64</v>
      </c>
      <c r="K3047" s="27" t="s">
        <v>64</v>
      </c>
    </row>
    <row r="3048" spans="1:11" x14ac:dyDescent="0.35">
      <c r="A3048" s="2" t="s">
        <v>1166</v>
      </c>
      <c r="B3048" s="255">
        <v>16</v>
      </c>
      <c r="C3048" s="2" t="s">
        <v>1166</v>
      </c>
      <c r="D3048" s="10">
        <v>2</v>
      </c>
      <c r="E3048" s="10">
        <v>53</v>
      </c>
      <c r="F3048" s="10" t="s">
        <v>690</v>
      </c>
      <c r="G3048" s="10" t="s">
        <v>767</v>
      </c>
      <c r="H3048" s="10" t="str" cm="1">
        <f t="array" aca="1" ref="H3048" ca="1">IF(INDEX(I3048:Z3048,$H$1)=0,"",INDEX(I3048:Z3048,$H$1))</f>
        <v>Values calculated using the Peng and Robinson equation of state (1976) for the following gas mixture (mol percent): 92.8693% C1, 4.0556% C2, 1.1112% C3, 0.1601% iC4, 0.2180% nC4, 0.0496% iC5, 0.0389% nC5, 0.0225% nC6+, 0.8291% N2 and 0.6334% CO2.</v>
      </c>
      <c r="I3048" s="2" t="s">
        <v>411</v>
      </c>
      <c r="J3048" s="2" t="s">
        <v>1180</v>
      </c>
      <c r="K3048" s="27" t="s">
        <v>1909</v>
      </c>
    </row>
    <row r="3049" spans="1:11" x14ac:dyDescent="0.35">
      <c r="A3049" s="2" t="s">
        <v>1166</v>
      </c>
      <c r="B3049" s="255">
        <v>16</v>
      </c>
      <c r="C3049" s="2" t="s">
        <v>1166</v>
      </c>
      <c r="D3049" s="10">
        <v>3</v>
      </c>
      <c r="E3049" s="10">
        <v>57</v>
      </c>
      <c r="F3049" s="10" t="s">
        <v>687</v>
      </c>
      <c r="G3049" s="10" t="s">
        <v>688</v>
      </c>
      <c r="H3049" s="10" t="str" cm="1">
        <f t="array" aca="1" ref="H3049" ca="1">IF(INDEX(I3049:Z3049,$H$1)=0,"",INDEX(I3049:Z3049,$H$1))</f>
        <v>Compressibility factors for "Typical Processed Natural Gas Mixture 2" at various temperatures and pressures1.</v>
      </c>
      <c r="I3049" s="2" t="s">
        <v>1173</v>
      </c>
      <c r="J3049" s="2" t="s">
        <v>1181</v>
      </c>
      <c r="K3049" s="27" t="s">
        <v>1910</v>
      </c>
    </row>
    <row r="3050" spans="1:11" x14ac:dyDescent="0.35">
      <c r="A3050" s="2" t="s">
        <v>1166</v>
      </c>
      <c r="B3050" s="255">
        <v>16</v>
      </c>
      <c r="C3050" s="2" t="s">
        <v>1166</v>
      </c>
      <c r="D3050" s="10">
        <v>3</v>
      </c>
      <c r="E3050" s="10">
        <v>58</v>
      </c>
      <c r="F3050" s="10" t="s">
        <v>687</v>
      </c>
      <c r="G3050" s="10" t="s">
        <v>696</v>
      </c>
      <c r="H3050" s="10" t="str" cm="1">
        <f t="array" aca="1" ref="H3050" ca="1">IF(INDEX(I3050:Z3050,$H$1)=0,"",INDEX(I3050:Z3050,$H$1))</f>
        <v>Absolute</v>
      </c>
      <c r="I3050" s="2" t="s">
        <v>396</v>
      </c>
      <c r="J3050" s="2" t="s">
        <v>1175</v>
      </c>
      <c r="K3050" s="27" t="s">
        <v>1908</v>
      </c>
    </row>
    <row r="3051" spans="1:11" x14ac:dyDescent="0.35">
      <c r="A3051" s="2" t="s">
        <v>1166</v>
      </c>
      <c r="B3051" s="255">
        <v>16</v>
      </c>
      <c r="C3051" s="2" t="s">
        <v>1166</v>
      </c>
      <c r="D3051" s="10">
        <v>3</v>
      </c>
      <c r="E3051" s="10">
        <v>58</v>
      </c>
      <c r="F3051" s="10" t="s">
        <v>690</v>
      </c>
      <c r="G3051" s="10" t="s">
        <v>696</v>
      </c>
      <c r="H3051" s="10" t="str" cm="1">
        <f t="array" aca="1" ref="H3051" ca="1">IF(INDEX(I3051:Z3051,$H$1)=0,"",INDEX(I3051:Z3051,$H$1))</f>
        <v>0 °C</v>
      </c>
      <c r="I3051" s="2" t="s">
        <v>1168</v>
      </c>
      <c r="J3051" s="2" t="s">
        <v>1168</v>
      </c>
      <c r="K3051" s="2" t="s">
        <v>1168</v>
      </c>
    </row>
    <row r="3052" spans="1:11" x14ac:dyDescent="0.35">
      <c r="A3052" s="2" t="s">
        <v>1166</v>
      </c>
      <c r="B3052" s="255">
        <v>16</v>
      </c>
      <c r="C3052" s="2" t="s">
        <v>1166</v>
      </c>
      <c r="D3052" s="10">
        <v>3</v>
      </c>
      <c r="E3052" s="10">
        <v>58</v>
      </c>
      <c r="F3052" s="10" t="s">
        <v>38</v>
      </c>
      <c r="G3052" s="10" t="s">
        <v>696</v>
      </c>
      <c r="H3052" s="10" t="str" cm="1">
        <f t="array" aca="1" ref="H3052" ca="1">IF(INDEX(I3052:Z3052,$H$1)=0,"",INDEX(I3052:Z3052,$H$1))</f>
        <v>5 °C</v>
      </c>
      <c r="I3052" s="2" t="s">
        <v>1169</v>
      </c>
      <c r="J3052" s="2" t="s">
        <v>1169</v>
      </c>
      <c r="K3052" s="2" t="s">
        <v>1169</v>
      </c>
    </row>
    <row r="3053" spans="1:11" x14ac:dyDescent="0.35">
      <c r="A3053" s="2" t="s">
        <v>1166</v>
      </c>
      <c r="B3053" s="255">
        <v>16</v>
      </c>
      <c r="C3053" s="2" t="s">
        <v>1166</v>
      </c>
      <c r="D3053" s="10">
        <v>3</v>
      </c>
      <c r="E3053" s="10">
        <v>58</v>
      </c>
      <c r="F3053" s="10" t="s">
        <v>692</v>
      </c>
      <c r="G3053" s="10" t="s">
        <v>696</v>
      </c>
      <c r="H3053" s="10" t="str" cm="1">
        <f t="array" aca="1" ref="H3053" ca="1">IF(INDEX(I3053:Z3053,$H$1)=0,"",INDEX(I3053:Z3053,$H$1))</f>
        <v>10 °C</v>
      </c>
      <c r="I3053" s="2" t="s">
        <v>1170</v>
      </c>
      <c r="J3053" s="2" t="s">
        <v>1170</v>
      </c>
      <c r="K3053" s="2" t="s">
        <v>1170</v>
      </c>
    </row>
    <row r="3054" spans="1:11" x14ac:dyDescent="0.35">
      <c r="A3054" s="2" t="s">
        <v>1166</v>
      </c>
      <c r="B3054" s="255">
        <v>16</v>
      </c>
      <c r="C3054" s="2" t="s">
        <v>1166</v>
      </c>
      <c r="D3054" s="10">
        <v>3</v>
      </c>
      <c r="E3054" s="10">
        <v>58</v>
      </c>
      <c r="F3054" s="10" t="s">
        <v>693</v>
      </c>
      <c r="G3054" s="10" t="s">
        <v>696</v>
      </c>
      <c r="H3054" s="10" t="str" cm="1">
        <f t="array" aca="1" ref="H3054" ca="1">IF(INDEX(I3054:Z3054,$H$1)=0,"",INDEX(I3054:Z3054,$H$1))</f>
        <v>15 °C</v>
      </c>
      <c r="I3054" s="2" t="s">
        <v>1171</v>
      </c>
      <c r="J3054" s="2" t="s">
        <v>1171</v>
      </c>
      <c r="K3054" s="2" t="s">
        <v>1171</v>
      </c>
    </row>
    <row r="3055" spans="1:11" x14ac:dyDescent="0.35">
      <c r="A3055" s="2" t="s">
        <v>1166</v>
      </c>
      <c r="B3055" s="255">
        <v>16</v>
      </c>
      <c r="C3055" s="2" t="s">
        <v>1166</v>
      </c>
      <c r="D3055" s="10">
        <v>3</v>
      </c>
      <c r="E3055" s="10">
        <v>59</v>
      </c>
      <c r="F3055" s="10" t="s">
        <v>687</v>
      </c>
      <c r="G3055" s="10" t="s">
        <v>696</v>
      </c>
      <c r="H3055" s="10" t="str" cm="1">
        <f t="array" aca="1" ref="H3055" ca="1">IF(INDEX(I3055:Z3055,$H$1)=0,"",INDEX(I3055:Z3055,$H$1))</f>
        <v>Pressure</v>
      </c>
      <c r="I3055" s="2" t="s">
        <v>397</v>
      </c>
      <c r="J3055" s="2" t="s">
        <v>1176</v>
      </c>
      <c r="K3055" s="27" t="s">
        <v>1903</v>
      </c>
    </row>
    <row r="3056" spans="1:11" x14ac:dyDescent="0.35">
      <c r="A3056" s="2" t="s">
        <v>1166</v>
      </c>
      <c r="B3056" s="255">
        <v>16</v>
      </c>
      <c r="C3056" s="2" t="s">
        <v>1166</v>
      </c>
      <c r="D3056" s="10">
        <v>3</v>
      </c>
      <c r="E3056" s="10">
        <v>59</v>
      </c>
      <c r="F3056" s="10" t="s">
        <v>690</v>
      </c>
      <c r="G3056" s="10" t="s">
        <v>696</v>
      </c>
      <c r="H3056" s="10" t="str" cm="1">
        <f t="array" aca="1" ref="H3056" ca="1">IF(INDEX(I3056:Z3056,$H$1)=0,"",INDEX(I3056:Z3056,$H$1))</f>
        <v>(dimensionless)</v>
      </c>
      <c r="I3056" s="2" t="s">
        <v>398</v>
      </c>
      <c r="J3056" s="2" t="s">
        <v>1177</v>
      </c>
      <c r="K3056" s="27" t="s">
        <v>1905</v>
      </c>
    </row>
    <row r="3057" spans="1:11" x14ac:dyDescent="0.35">
      <c r="A3057" s="2" t="s">
        <v>1166</v>
      </c>
      <c r="B3057" s="255">
        <v>16</v>
      </c>
      <c r="C3057" s="2" t="s">
        <v>1166</v>
      </c>
      <c r="D3057" s="10">
        <v>3</v>
      </c>
      <c r="E3057" s="10">
        <v>59</v>
      </c>
      <c r="F3057" s="10" t="s">
        <v>38</v>
      </c>
      <c r="G3057" s="10" t="s">
        <v>696</v>
      </c>
      <c r="H3057" s="10" t="str" cm="1">
        <f t="array" aca="1" ref="H3057" ca="1">IF(INDEX(I3057:Z3057,$H$1)=0,"",INDEX(I3057:Z3057,$H$1))</f>
        <v>(dimensionless)</v>
      </c>
      <c r="I3057" s="2" t="s">
        <v>398</v>
      </c>
      <c r="J3057" s="2" t="s">
        <v>1177</v>
      </c>
      <c r="K3057" s="27" t="s">
        <v>1905</v>
      </c>
    </row>
    <row r="3058" spans="1:11" x14ac:dyDescent="0.35">
      <c r="A3058" s="2" t="s">
        <v>1166</v>
      </c>
      <c r="B3058" s="255">
        <v>16</v>
      </c>
      <c r="C3058" s="2" t="s">
        <v>1166</v>
      </c>
      <c r="D3058" s="10">
        <v>3</v>
      </c>
      <c r="E3058" s="10">
        <v>59</v>
      </c>
      <c r="F3058" s="10" t="s">
        <v>692</v>
      </c>
      <c r="G3058" s="10" t="s">
        <v>696</v>
      </c>
      <c r="H3058" s="10" t="str" cm="1">
        <f t="array" aca="1" ref="H3058" ca="1">IF(INDEX(I3058:Z3058,$H$1)=0,"",INDEX(I3058:Z3058,$H$1))</f>
        <v>(dimensionless)</v>
      </c>
      <c r="I3058" s="2" t="s">
        <v>398</v>
      </c>
      <c r="J3058" s="2" t="s">
        <v>1177</v>
      </c>
      <c r="K3058" s="27" t="s">
        <v>1905</v>
      </c>
    </row>
    <row r="3059" spans="1:11" x14ac:dyDescent="0.35">
      <c r="A3059" s="2" t="s">
        <v>1166</v>
      </c>
      <c r="B3059" s="255">
        <v>16</v>
      </c>
      <c r="C3059" s="2" t="s">
        <v>1166</v>
      </c>
      <c r="D3059" s="10">
        <v>3</v>
      </c>
      <c r="E3059" s="10">
        <v>59</v>
      </c>
      <c r="F3059" s="10" t="s">
        <v>693</v>
      </c>
      <c r="G3059" s="10" t="s">
        <v>696</v>
      </c>
      <c r="H3059" s="10" t="str" cm="1">
        <f t="array" aca="1" ref="H3059" ca="1">IF(INDEX(I3059:Z3059,$H$1)=0,"",INDEX(I3059:Z3059,$H$1))</f>
        <v>(dimensionless)</v>
      </c>
      <c r="I3059" s="2" t="s">
        <v>398</v>
      </c>
      <c r="J3059" s="2" t="s">
        <v>1177</v>
      </c>
      <c r="K3059" s="27" t="s">
        <v>1905</v>
      </c>
    </row>
    <row r="3060" spans="1:11" x14ac:dyDescent="0.35">
      <c r="A3060" s="2" t="s">
        <v>1166</v>
      </c>
      <c r="B3060" s="255">
        <v>16</v>
      </c>
      <c r="C3060" s="2" t="s">
        <v>1166</v>
      </c>
      <c r="D3060" s="10">
        <v>3</v>
      </c>
      <c r="E3060" s="10">
        <v>60</v>
      </c>
      <c r="F3060" s="10" t="s">
        <v>687</v>
      </c>
      <c r="G3060" s="10" t="s">
        <v>696</v>
      </c>
      <c r="H3060" s="10" t="str" cm="1">
        <f t="array" aca="1" ref="H3060" ca="1">IF(INDEX(I3060:Z3060,$H$1)=0,"",INDEX(I3060:Z3060,$H$1))</f>
        <v>kPa</v>
      </c>
      <c r="I3060" s="2" t="s">
        <v>64</v>
      </c>
      <c r="J3060" s="2" t="s">
        <v>64</v>
      </c>
      <c r="K3060" s="27" t="s">
        <v>64</v>
      </c>
    </row>
    <row r="3061" spans="1:11" x14ac:dyDescent="0.35">
      <c r="A3061" s="2" t="s">
        <v>1166</v>
      </c>
      <c r="B3061" s="255">
        <v>16</v>
      </c>
      <c r="C3061" s="2" t="s">
        <v>1166</v>
      </c>
      <c r="D3061" s="10">
        <v>3</v>
      </c>
      <c r="E3061" s="10">
        <v>82</v>
      </c>
      <c r="F3061" s="10" t="s">
        <v>690</v>
      </c>
      <c r="G3061" s="10" t="s">
        <v>767</v>
      </c>
      <c r="H3061" s="10" t="str" cm="1">
        <f t="array" aca="1" ref="H3061" ca="1">IF(INDEX(I3061:Z3061,$H$1)=0,"",INDEX(I3061:Z3061,$H$1))</f>
        <v>Values calculated using the Peng and Robinson equation of state (1976) for the following gas mixture (mol percent): 95.213% C1, 2.4306% C2, 0.1374% C3, 0.0043% iC4, 0.0043% nC4, 0.0013% iC5, 0.0010% nC5, 0.0012% nC6+, 1.6519% N2 and 0.5552% CO2.</v>
      </c>
      <c r="I3061" s="2" t="s">
        <v>1174</v>
      </c>
      <c r="J3061" s="2" t="s">
        <v>1182</v>
      </c>
      <c r="K3061" s="27" t="s">
        <v>1911</v>
      </c>
    </row>
    <row r="3062" spans="1:11" x14ac:dyDescent="0.35">
      <c r="A3062" s="2" t="s">
        <v>3118</v>
      </c>
      <c r="B3062" s="255">
        <v>17</v>
      </c>
      <c r="C3062" s="2" t="s">
        <v>3118</v>
      </c>
      <c r="D3062" s="10">
        <v>1</v>
      </c>
      <c r="E3062" s="10">
        <v>3</v>
      </c>
      <c r="F3062" s="10" t="s">
        <v>690</v>
      </c>
      <c r="G3062" s="10" t="s">
        <v>688</v>
      </c>
      <c r="H3062" s="10" t="str" cm="1">
        <f t="array" aca="1" ref="H3062" ca="1">IF(INDEX(I3062:Z3062,$H$1)=0,"",INDEX(I3062:Z3062,$H$1))</f>
        <v>"FACILITY-LEVEL FUEL USE" SETUP</v>
      </c>
      <c r="I3062" s="2" t="s">
        <v>2805</v>
      </c>
      <c r="J3062" s="2" t="s">
        <v>2805</v>
      </c>
      <c r="K3062" s="2" t="s">
        <v>2805</v>
      </c>
    </row>
    <row r="3063" spans="1:11" x14ac:dyDescent="0.35">
      <c r="A3063" s="2" t="s">
        <v>3118</v>
      </c>
      <c r="B3063" s="255">
        <v>17</v>
      </c>
      <c r="C3063" s="2" t="s">
        <v>3118</v>
      </c>
      <c r="D3063" s="10">
        <v>1</v>
      </c>
      <c r="E3063" s="10">
        <v>15</v>
      </c>
      <c r="F3063" s="10" t="s">
        <v>692</v>
      </c>
      <c r="G3063" s="10" t="s">
        <v>696</v>
      </c>
      <c r="H3063" s="10" t="str" cm="1">
        <f t="array" aca="1" ref="H3063" ca="1">IF(INDEX(I3063:Z3063,$H$1)=0,"",INDEX(I3063:Z3063,$H$1))</f>
        <v>Fuel Type</v>
      </c>
      <c r="I3063" s="2" t="s">
        <v>554</v>
      </c>
      <c r="J3063" s="2" t="s">
        <v>554</v>
      </c>
      <c r="K3063" s="2" t="s">
        <v>554</v>
      </c>
    </row>
    <row r="3064" spans="1:11" x14ac:dyDescent="0.35">
      <c r="A3064" s="2" t="s">
        <v>3118</v>
      </c>
      <c r="B3064" s="255">
        <v>17</v>
      </c>
      <c r="C3064" s="2" t="s">
        <v>3118</v>
      </c>
      <c r="D3064" s="10">
        <v>1</v>
      </c>
      <c r="E3064" s="10">
        <v>15</v>
      </c>
      <c r="F3064" s="10" t="s">
        <v>692</v>
      </c>
      <c r="G3064" s="10" t="s">
        <v>696</v>
      </c>
      <c r="H3064" s="10" t="str" cm="1">
        <f t="array" aca="1" ref="H3064" ca="1">IF(INDEX(I3064:Z3064,$H$1)=0,"",INDEX(I3064:Z3064,$H$1))</f>
        <v>Category</v>
      </c>
      <c r="I3064" s="2" t="s">
        <v>2769</v>
      </c>
      <c r="J3064" s="2" t="s">
        <v>2769</v>
      </c>
      <c r="K3064" s="2" t="s">
        <v>2769</v>
      </c>
    </row>
    <row r="3065" spans="1:11" x14ac:dyDescent="0.35">
      <c r="A3065" s="2" t="s">
        <v>3118</v>
      </c>
      <c r="B3065" s="255">
        <v>17</v>
      </c>
      <c r="C3065" s="2" t="s">
        <v>3118</v>
      </c>
      <c r="D3065" s="10">
        <v>1</v>
      </c>
      <c r="E3065" s="10">
        <v>15</v>
      </c>
      <c r="F3065" s="10" t="s">
        <v>692</v>
      </c>
      <c r="G3065" s="10" t="s">
        <v>696</v>
      </c>
      <c r="H3065" s="10" t="str" cm="1">
        <f t="array" aca="1" ref="H3065" ca="1">IF(INDEX(I3065:Z3065,$H$1)=0,"",INDEX(I3065:Z3065,$H$1))</f>
        <v>Subcategory</v>
      </c>
      <c r="I3065" s="2" t="s">
        <v>46</v>
      </c>
      <c r="J3065" s="2" t="s">
        <v>46</v>
      </c>
      <c r="K3065" s="2" t="s">
        <v>46</v>
      </c>
    </row>
    <row r="3066" spans="1:11" x14ac:dyDescent="0.35">
      <c r="A3066" s="2" t="s">
        <v>3118</v>
      </c>
      <c r="B3066" s="255">
        <v>17</v>
      </c>
      <c r="C3066" s="2" t="s">
        <v>3118</v>
      </c>
      <c r="D3066" s="10">
        <v>1</v>
      </c>
      <c r="E3066" s="10">
        <v>15</v>
      </c>
      <c r="F3066" s="10" t="s">
        <v>692</v>
      </c>
      <c r="G3066" s="10" t="s">
        <v>696</v>
      </c>
      <c r="H3066" s="10" t="str" cm="1">
        <f t="array" aca="1" ref="H3066" ca="1">IF(INDEX(I3066:Z3066,$H$1)=0,"",INDEX(I3066:Z3066,$H$1))</f>
        <v>Combustion Source Type</v>
      </c>
      <c r="I3066" s="2" t="s">
        <v>2793</v>
      </c>
      <c r="J3066" s="2" t="s">
        <v>2793</v>
      </c>
      <c r="K3066" s="2" t="s">
        <v>2793</v>
      </c>
    </row>
    <row r="3067" spans="1:11" x14ac:dyDescent="0.35">
      <c r="A3067" s="2" t="s">
        <v>3118</v>
      </c>
      <c r="B3067" s="255">
        <v>17</v>
      </c>
      <c r="C3067" s="2" t="s">
        <v>3118</v>
      </c>
      <c r="D3067" s="10">
        <v>1</v>
      </c>
      <c r="E3067" s="10">
        <v>15</v>
      </c>
      <c r="F3067" s="10" t="s">
        <v>692</v>
      </c>
      <c r="G3067" s="10" t="s">
        <v>696</v>
      </c>
      <c r="H3067" s="10" t="str" cm="1">
        <f t="array" aca="1" ref="H3067" ca="1">IF(INDEX(I3067:Z3067,$H$1)=0,"",INDEX(I3067:Z3067,$H$1))</f>
        <v>Fuel Consumption</v>
      </c>
      <c r="I3067" s="2" t="s">
        <v>3271</v>
      </c>
      <c r="J3067" s="2" t="s">
        <v>3271</v>
      </c>
      <c r="K3067" s="2" t="s">
        <v>3271</v>
      </c>
    </row>
    <row r="3068" spans="1:11" x14ac:dyDescent="0.35">
      <c r="A3068" s="2" t="s">
        <v>3118</v>
      </c>
      <c r="B3068" s="255">
        <v>17</v>
      </c>
      <c r="C3068" s="2" t="s">
        <v>3118</v>
      </c>
      <c r="D3068" s="10">
        <v>1</v>
      </c>
      <c r="E3068" s="10">
        <v>15</v>
      </c>
      <c r="F3068" s="10" t="s">
        <v>692</v>
      </c>
      <c r="G3068" s="10" t="s">
        <v>696</v>
      </c>
      <c r="H3068" s="10" t="str" cm="1">
        <f t="array" aca="1" ref="H3068" ca="1">IF(INDEX(I3068:Z3068,$H$1)=0,"",INDEX(I3068:Z3068,$H$1))</f>
        <v>Measured or Reported</v>
      </c>
      <c r="I3068" s="2" t="s">
        <v>2795</v>
      </c>
      <c r="J3068" s="2" t="s">
        <v>2795</v>
      </c>
      <c r="K3068" s="2" t="s">
        <v>2795</v>
      </c>
    </row>
    <row r="3069" spans="1:11" ht="29" x14ac:dyDescent="0.35">
      <c r="A3069" s="2" t="s">
        <v>3118</v>
      </c>
      <c r="B3069" s="255">
        <v>17</v>
      </c>
      <c r="C3069" s="2" t="s">
        <v>3118</v>
      </c>
      <c r="D3069" s="10">
        <v>1</v>
      </c>
      <c r="E3069" s="10">
        <v>15</v>
      </c>
      <c r="F3069" s="10" t="s">
        <v>692</v>
      </c>
      <c r="G3069" s="10" t="s">
        <v>696</v>
      </c>
      <c r="H3069" s="10" t="str" cm="1">
        <f t="array" aca="1" ref="H3069" ca="1">IF(INDEX(I3069:Z3069,$H$1)=0,"",INDEX(I3069:Z3069,$H$1))</f>
        <v>Corrected 
Estimates</v>
      </c>
      <c r="I3069" s="16" t="s">
        <v>3065</v>
      </c>
      <c r="J3069" s="16" t="s">
        <v>3065</v>
      </c>
      <c r="K3069" s="16" t="s">
        <v>3065</v>
      </c>
    </row>
    <row r="3070" spans="1:11" x14ac:dyDescent="0.35">
      <c r="A3070" s="2" t="s">
        <v>3118</v>
      </c>
      <c r="B3070" s="255">
        <v>17</v>
      </c>
      <c r="C3070" s="2" t="s">
        <v>3118</v>
      </c>
      <c r="D3070" s="10">
        <v>1</v>
      </c>
      <c r="E3070" s="10">
        <v>15</v>
      </c>
      <c r="F3070" s="10" t="s">
        <v>692</v>
      </c>
      <c r="G3070" s="10" t="s">
        <v>696</v>
      </c>
      <c r="H3070" s="10" t="str" cm="1">
        <f t="array" aca="1" ref="H3070" ca="1">IF(INDEX(I3070:Z3070,$H$1)=0,"",INDEX(I3070:Z3070,$H$1))</f>
        <v>Value Used</v>
      </c>
      <c r="I3070" s="2" t="s">
        <v>2799</v>
      </c>
      <c r="J3070" s="2" t="s">
        <v>2799</v>
      </c>
      <c r="K3070" s="2" t="s">
        <v>2799</v>
      </c>
    </row>
    <row r="3071" spans="1:11" x14ac:dyDescent="0.35">
      <c r="A3071" s="2" t="s">
        <v>3118</v>
      </c>
      <c r="B3071" s="255">
        <v>17</v>
      </c>
      <c r="C3071" s="2" t="s">
        <v>3118</v>
      </c>
      <c r="D3071" s="10">
        <v>1</v>
      </c>
      <c r="E3071" s="10">
        <v>15</v>
      </c>
      <c r="F3071" s="10" t="s">
        <v>692</v>
      </c>
      <c r="G3071" s="10" t="s">
        <v>696</v>
      </c>
      <c r="H3071" s="10" t="str" cm="1">
        <f t="array" aca="1" ref="H3071" ca="1">IF(INDEX(I3071:Z3071,$H$1)=0,"",INDEX(I3071:Z3071,$H$1))</f>
        <v>Units of Measure</v>
      </c>
      <c r="I3071" s="2" t="s">
        <v>331</v>
      </c>
      <c r="J3071" s="2" t="s">
        <v>331</v>
      </c>
      <c r="K3071" s="2" t="s">
        <v>331</v>
      </c>
    </row>
    <row r="3072" spans="1:11" x14ac:dyDescent="0.35">
      <c r="A3072" s="2" t="s">
        <v>3118</v>
      </c>
      <c r="B3072" s="255">
        <v>17</v>
      </c>
      <c r="C3072" s="2" t="s">
        <v>3118</v>
      </c>
      <c r="D3072" s="10">
        <v>1</v>
      </c>
      <c r="E3072" s="10">
        <v>15</v>
      </c>
      <c r="F3072" s="10" t="s">
        <v>692</v>
      </c>
      <c r="G3072" s="10" t="s">
        <v>696</v>
      </c>
      <c r="H3072" s="10" t="str" cm="1">
        <f t="array" aca="1" ref="H3072" ca="1">IF(INDEX(I3072:Z3072,$H$1)=0,"",INDEX(I3072:Z3072,$H$1))</f>
        <v>Error Message</v>
      </c>
      <c r="I3072" s="2" t="s">
        <v>653</v>
      </c>
      <c r="J3072" s="2" t="s">
        <v>653</v>
      </c>
      <c r="K3072" s="2" t="s">
        <v>653</v>
      </c>
    </row>
    <row r="3073" spans="1:11" x14ac:dyDescent="0.35">
      <c r="A3073" s="2" t="s">
        <v>3118</v>
      </c>
      <c r="B3073" s="255">
        <v>17</v>
      </c>
      <c r="C3073" s="2" t="s">
        <v>3118</v>
      </c>
      <c r="D3073" s="10">
        <v>1</v>
      </c>
      <c r="E3073" s="10">
        <v>15</v>
      </c>
      <c r="F3073" s="10" t="s">
        <v>692</v>
      </c>
      <c r="G3073" s="10" t="s">
        <v>696</v>
      </c>
      <c r="H3073" s="10" t="str" cm="1">
        <f t="array" aca="1" ref="H3073" ca="1">IF(INDEX(I3073:Z3073,$H$1)=0,"",INDEX(I3073:Z3073,$H$1))</f>
        <v>Solid Fuels</v>
      </c>
      <c r="I3073" s="2" t="s">
        <v>605</v>
      </c>
      <c r="J3073" s="2" t="s">
        <v>1348</v>
      </c>
      <c r="K3073" s="27" t="s">
        <v>2771</v>
      </c>
    </row>
    <row r="3074" spans="1:11" x14ac:dyDescent="0.35">
      <c r="A3074" s="2" t="s">
        <v>3118</v>
      </c>
      <c r="B3074" s="255">
        <v>17</v>
      </c>
      <c r="C3074" s="2" t="s">
        <v>3118</v>
      </c>
      <c r="D3074" s="10">
        <v>1</v>
      </c>
      <c r="E3074" s="10">
        <v>15</v>
      </c>
      <c r="F3074" s="10" t="s">
        <v>692</v>
      </c>
      <c r="G3074" s="10" t="s">
        <v>696</v>
      </c>
      <c r="H3074" s="10" t="str" cm="1">
        <f t="array" aca="1" ref="H3074" ca="1">IF(INDEX(I3074:Z3074,$H$1)=0,"",INDEX(I3074:Z3074,$H$1))</f>
        <v>Liquid Fuels</v>
      </c>
      <c r="I3074" s="10" t="s">
        <v>606</v>
      </c>
      <c r="J3074" s="2" t="s">
        <v>1347</v>
      </c>
      <c r="K3074" s="2" t="s">
        <v>1847</v>
      </c>
    </row>
    <row r="3075" spans="1:11" x14ac:dyDescent="0.35">
      <c r="A3075" s="2" t="s">
        <v>3118</v>
      </c>
      <c r="B3075" s="255">
        <v>17</v>
      </c>
      <c r="C3075" s="2" t="s">
        <v>3118</v>
      </c>
      <c r="D3075" s="10">
        <v>1</v>
      </c>
      <c r="E3075" s="10">
        <v>15</v>
      </c>
      <c r="F3075" s="10" t="s">
        <v>692</v>
      </c>
      <c r="G3075" s="10" t="s">
        <v>696</v>
      </c>
      <c r="H3075" s="10" t="str" cm="1">
        <f t="array" aca="1" ref="H3075" ca="1">IF(INDEX(I3075:Z3075,$H$1)=0,"",INDEX(I3075:Z3075,$H$1))</f>
        <v>Gaseous Fuels</v>
      </c>
      <c r="I3075" s="2" t="s">
        <v>607</v>
      </c>
      <c r="J3075" s="2" t="s">
        <v>760</v>
      </c>
      <c r="K3075" s="27" t="s">
        <v>2772</v>
      </c>
    </row>
    <row r="3076" spans="1:11" x14ac:dyDescent="0.35">
      <c r="A3076" s="2" t="s">
        <v>3118</v>
      </c>
      <c r="B3076" s="255">
        <v>17</v>
      </c>
      <c r="C3076" s="2" t="s">
        <v>3118</v>
      </c>
      <c r="D3076" s="10">
        <v>1</v>
      </c>
      <c r="E3076" s="10">
        <v>15</v>
      </c>
      <c r="F3076" s="10" t="s">
        <v>692</v>
      </c>
      <c r="G3076" s="10" t="s">
        <v>696</v>
      </c>
      <c r="H3076" s="10" t="str" cm="1">
        <f t="array" aca="1" ref="H3076" ca="1">IF(INDEX(I3076:Z3076,$H$1)=0,"",INDEX(I3076:Z3076,$H$1))</f>
        <v>Anthracite</v>
      </c>
      <c r="I3076" s="1" t="s">
        <v>563</v>
      </c>
      <c r="J3076" s="1" t="s">
        <v>563</v>
      </c>
      <c r="K3076" s="1" t="s">
        <v>563</v>
      </c>
    </row>
    <row r="3077" spans="1:11" x14ac:dyDescent="0.35">
      <c r="A3077" s="2" t="s">
        <v>3118</v>
      </c>
      <c r="B3077" s="255">
        <v>17</v>
      </c>
      <c r="C3077" s="2" t="s">
        <v>3118</v>
      </c>
      <c r="D3077" s="10">
        <v>1</v>
      </c>
      <c r="E3077" s="10">
        <v>15</v>
      </c>
      <c r="F3077" s="10" t="s">
        <v>692</v>
      </c>
      <c r="G3077" s="10" t="s">
        <v>696</v>
      </c>
      <c r="H3077" s="10" t="str" cm="1">
        <f t="array" aca="1" ref="H3077" ca="1">IF(INDEX(I3077:Z3077,$H$1)=0,"",INDEX(I3077:Z3077,$H$1))</f>
        <v>Bituminous</v>
      </c>
      <c r="I3077" s="1" t="s">
        <v>1116</v>
      </c>
      <c r="J3077" s="1" t="s">
        <v>1116</v>
      </c>
      <c r="K3077" s="1" t="s">
        <v>1116</v>
      </c>
    </row>
    <row r="3078" spans="1:11" x14ac:dyDescent="0.35">
      <c r="A3078" s="2" t="s">
        <v>3118</v>
      </c>
      <c r="B3078" s="255">
        <v>17</v>
      </c>
      <c r="C3078" s="2" t="s">
        <v>3118</v>
      </c>
      <c r="D3078" s="10">
        <v>1</v>
      </c>
      <c r="E3078" s="10">
        <v>15</v>
      </c>
      <c r="F3078" s="10" t="s">
        <v>692</v>
      </c>
      <c r="G3078" s="10" t="s">
        <v>696</v>
      </c>
      <c r="H3078" s="10" t="str" cm="1">
        <f t="array" aca="1" ref="H3078" ca="1">IF(INDEX(I3078:Z3078,$H$1)=0,"",INDEX(I3078:Z3078,$H$1))</f>
        <v>Lignite</v>
      </c>
      <c r="I3078" s="1" t="s">
        <v>565</v>
      </c>
      <c r="J3078" s="1" t="s">
        <v>565</v>
      </c>
      <c r="K3078" s="1" t="s">
        <v>565</v>
      </c>
    </row>
    <row r="3079" spans="1:11" x14ac:dyDescent="0.35">
      <c r="A3079" s="2" t="s">
        <v>3118</v>
      </c>
      <c r="B3079" s="255">
        <v>17</v>
      </c>
      <c r="C3079" s="2" t="s">
        <v>3118</v>
      </c>
      <c r="D3079" s="10">
        <v>1</v>
      </c>
      <c r="E3079" s="10">
        <v>15</v>
      </c>
      <c r="F3079" s="10" t="s">
        <v>692</v>
      </c>
      <c r="G3079" s="10" t="s">
        <v>696</v>
      </c>
      <c r="H3079" s="10" t="str" cm="1">
        <f t="array" aca="1" ref="H3079" ca="1">IF(INDEX(I3079:Z3079,$H$1)=0,"",INDEX(I3079:Z3079,$H$1))</f>
        <v>Cleaned Coal</v>
      </c>
      <c r="I3079" s="1" t="s">
        <v>566</v>
      </c>
      <c r="J3079" s="1" t="s">
        <v>566</v>
      </c>
      <c r="K3079" s="1" t="s">
        <v>566</v>
      </c>
    </row>
    <row r="3080" spans="1:11" x14ac:dyDescent="0.35">
      <c r="A3080" s="2" t="s">
        <v>3118</v>
      </c>
      <c r="B3080" s="255">
        <v>17</v>
      </c>
      <c r="C3080" s="2" t="s">
        <v>3118</v>
      </c>
      <c r="D3080" s="10">
        <v>1</v>
      </c>
      <c r="E3080" s="10">
        <v>15</v>
      </c>
      <c r="F3080" s="10" t="s">
        <v>692</v>
      </c>
      <c r="G3080" s="10" t="s">
        <v>696</v>
      </c>
      <c r="H3080" s="10" t="str" cm="1">
        <f t="array" aca="1" ref="H3080" ca="1">IF(INDEX(I3080:Z3080,$H$1)=0,"",INDEX(I3080:Z3080,$H$1))</f>
        <v>Other Washed Coal</v>
      </c>
      <c r="I3080" s="1" t="s">
        <v>567</v>
      </c>
      <c r="J3080" s="1" t="s">
        <v>567</v>
      </c>
      <c r="K3080" s="1" t="s">
        <v>567</v>
      </c>
    </row>
    <row r="3081" spans="1:11" x14ac:dyDescent="0.35">
      <c r="A3081" s="2" t="s">
        <v>3118</v>
      </c>
      <c r="B3081" s="255">
        <v>17</v>
      </c>
      <c r="C3081" s="2" t="s">
        <v>3118</v>
      </c>
      <c r="D3081" s="10">
        <v>1</v>
      </c>
      <c r="E3081" s="10">
        <v>15</v>
      </c>
      <c r="F3081" s="10" t="s">
        <v>692</v>
      </c>
      <c r="G3081" s="10" t="s">
        <v>696</v>
      </c>
      <c r="H3081" s="10" t="str" cm="1">
        <f t="array" aca="1" ref="H3081" ca="1">IF(INDEX(I3081:Z3081,$H$1)=0,"",INDEX(I3081:Z3081,$H$1))</f>
        <v>Briquette Coal</v>
      </c>
      <c r="I3081" s="1" t="s">
        <v>1323</v>
      </c>
      <c r="J3081" s="1" t="s">
        <v>1323</v>
      </c>
      <c r="K3081" s="1" t="s">
        <v>1323</v>
      </c>
    </row>
    <row r="3082" spans="1:11" x14ac:dyDescent="0.35">
      <c r="A3082" s="2" t="s">
        <v>3118</v>
      </c>
      <c r="B3082" s="255">
        <v>17</v>
      </c>
      <c r="C3082" s="2" t="s">
        <v>3118</v>
      </c>
      <c r="D3082" s="10">
        <v>1</v>
      </c>
      <c r="E3082" s="10">
        <v>15</v>
      </c>
      <c r="F3082" s="10" t="s">
        <v>692</v>
      </c>
      <c r="G3082" s="10" t="s">
        <v>696</v>
      </c>
      <c r="H3082" s="10" t="str" cm="1">
        <f t="array" aca="1" ref="H3082" ca="1">IF(INDEX(I3082:Z3082,$H$1)=0,"",INDEX(I3082:Z3082,$H$1))</f>
        <v>Coke</v>
      </c>
      <c r="I3082" s="1" t="s">
        <v>568</v>
      </c>
      <c r="J3082" s="1" t="s">
        <v>568</v>
      </c>
      <c r="K3082" s="1" t="s">
        <v>568</v>
      </c>
    </row>
    <row r="3083" spans="1:11" x14ac:dyDescent="0.35">
      <c r="A3083" s="2" t="s">
        <v>3118</v>
      </c>
      <c r="B3083" s="255">
        <v>17</v>
      </c>
      <c r="C3083" s="2" t="s">
        <v>3118</v>
      </c>
      <c r="D3083" s="10">
        <v>1</v>
      </c>
      <c r="E3083" s="10">
        <v>15</v>
      </c>
      <c r="F3083" s="10" t="s">
        <v>692</v>
      </c>
      <c r="G3083" s="10" t="s">
        <v>696</v>
      </c>
      <c r="H3083" s="10" t="str" cm="1">
        <f t="array" aca="1" ref="H3083" ca="1">IF(INDEX(I3083:Z3083,$H$1)=0,"",INDEX(I3083:Z3083,$H$1))</f>
        <v>Petroleum Coke</v>
      </c>
      <c r="I3083" s="1" t="s">
        <v>576</v>
      </c>
      <c r="J3083" s="1" t="s">
        <v>576</v>
      </c>
      <c r="K3083" s="1" t="s">
        <v>576</v>
      </c>
    </row>
    <row r="3084" spans="1:11" x14ac:dyDescent="0.35">
      <c r="A3084" s="2" t="s">
        <v>3118</v>
      </c>
      <c r="B3084" s="255">
        <v>17</v>
      </c>
      <c r="C3084" s="2" t="s">
        <v>3118</v>
      </c>
      <c r="D3084" s="10">
        <v>1</v>
      </c>
      <c r="E3084" s="10">
        <v>15</v>
      </c>
      <c r="F3084" s="10" t="s">
        <v>692</v>
      </c>
      <c r="G3084" s="10" t="s">
        <v>696</v>
      </c>
      <c r="H3084" s="10" t="str" cm="1">
        <f t="array" aca="1" ref="H3084" ca="1">IF(INDEX(I3084:Z3084,$H$1)=0,"",INDEX(I3084:Z3084,$H$1))</f>
        <v>Crude Oil</v>
      </c>
      <c r="I3084" s="1" t="s">
        <v>52</v>
      </c>
      <c r="J3084" s="1" t="s">
        <v>52</v>
      </c>
      <c r="K3084" s="1" t="s">
        <v>52</v>
      </c>
    </row>
    <row r="3085" spans="1:11" x14ac:dyDescent="0.35">
      <c r="A3085" s="2" t="s">
        <v>3118</v>
      </c>
      <c r="B3085" s="255">
        <v>17</v>
      </c>
      <c r="C3085" s="2" t="s">
        <v>3118</v>
      </c>
      <c r="D3085" s="10">
        <v>1</v>
      </c>
      <c r="E3085" s="10">
        <v>15</v>
      </c>
      <c r="F3085" s="10" t="s">
        <v>692</v>
      </c>
      <c r="G3085" s="10" t="s">
        <v>696</v>
      </c>
      <c r="H3085" s="10" t="str" cm="1">
        <f t="array" aca="1" ref="H3085" ca="1">IF(INDEX(I3085:Z3085,$H$1)=0,"",INDEX(I3085:Z3085,$H$1))</f>
        <v>Fuel Oil</v>
      </c>
      <c r="I3085" s="1" t="s">
        <v>570</v>
      </c>
      <c r="J3085" s="1" t="s">
        <v>570</v>
      </c>
      <c r="K3085" s="1" t="s">
        <v>570</v>
      </c>
    </row>
    <row r="3086" spans="1:11" x14ac:dyDescent="0.35">
      <c r="A3086" s="2" t="s">
        <v>3118</v>
      </c>
      <c r="B3086" s="255">
        <v>17</v>
      </c>
      <c r="C3086" s="2" t="s">
        <v>3118</v>
      </c>
      <c r="D3086" s="10">
        <v>1</v>
      </c>
      <c r="E3086" s="10">
        <v>15</v>
      </c>
      <c r="F3086" s="10" t="s">
        <v>692</v>
      </c>
      <c r="G3086" s="10" t="s">
        <v>696</v>
      </c>
      <c r="H3086" s="10" t="str" cm="1">
        <f t="array" aca="1" ref="H3086" ca="1">IF(INDEX(I3086:Z3086,$H$1)=0,"",INDEX(I3086:Z3086,$H$1))</f>
        <v>Gasoline</v>
      </c>
      <c r="I3086" s="1" t="s">
        <v>571</v>
      </c>
      <c r="J3086" s="1" t="s">
        <v>571</v>
      </c>
      <c r="K3086" s="1" t="s">
        <v>571</v>
      </c>
    </row>
    <row r="3087" spans="1:11" x14ac:dyDescent="0.35">
      <c r="A3087" s="2" t="s">
        <v>3118</v>
      </c>
      <c r="B3087" s="255">
        <v>17</v>
      </c>
      <c r="C3087" s="2" t="s">
        <v>3118</v>
      </c>
      <c r="D3087" s="10">
        <v>1</v>
      </c>
      <c r="E3087" s="10">
        <v>15</v>
      </c>
      <c r="F3087" s="10" t="s">
        <v>692</v>
      </c>
      <c r="G3087" s="10" t="s">
        <v>696</v>
      </c>
      <c r="H3087" s="10" t="str" cm="1">
        <f t="array" aca="1" ref="H3087" ca="1">IF(INDEX(I3087:Z3087,$H$1)=0,"",INDEX(I3087:Z3087,$H$1))</f>
        <v>Diesel</v>
      </c>
      <c r="I3087" s="1" t="s">
        <v>572</v>
      </c>
      <c r="J3087" s="1" t="s">
        <v>572</v>
      </c>
      <c r="K3087" s="1" t="s">
        <v>572</v>
      </c>
    </row>
    <row r="3088" spans="1:11" x14ac:dyDescent="0.35">
      <c r="A3088" s="2" t="s">
        <v>3118</v>
      </c>
      <c r="B3088" s="255">
        <v>17</v>
      </c>
      <c r="C3088" s="2" t="s">
        <v>3118</v>
      </c>
      <c r="D3088" s="10">
        <v>1</v>
      </c>
      <c r="E3088" s="10">
        <v>15</v>
      </c>
      <c r="F3088" s="10" t="s">
        <v>692</v>
      </c>
      <c r="G3088" s="10" t="s">
        <v>696</v>
      </c>
      <c r="H3088" s="10" t="str" cm="1">
        <f t="array" aca="1" ref="H3088" ca="1">IF(INDEX(I3088:Z3088,$H$1)=0,"",INDEX(I3088:Z3088,$H$1))</f>
        <v>Naphtha</v>
      </c>
      <c r="I3088" s="1" t="s">
        <v>575</v>
      </c>
      <c r="J3088" s="1" t="s">
        <v>575</v>
      </c>
      <c r="K3088" s="1" t="s">
        <v>575</v>
      </c>
    </row>
    <row r="3089" spans="1:15" x14ac:dyDescent="0.35">
      <c r="A3089" s="2" t="s">
        <v>3118</v>
      </c>
      <c r="B3089" s="255">
        <v>17</v>
      </c>
      <c r="C3089" s="2" t="s">
        <v>3118</v>
      </c>
      <c r="D3089" s="10">
        <v>1</v>
      </c>
      <c r="E3089" s="10">
        <v>15</v>
      </c>
      <c r="F3089" s="10" t="s">
        <v>692</v>
      </c>
      <c r="G3089" s="10" t="s">
        <v>696</v>
      </c>
      <c r="H3089" s="10" t="str" cm="1">
        <f t="array" aca="1" ref="H3089" ca="1">IF(INDEX(I3089:Z3089,$H$1)=0,"",INDEX(I3089:Z3089,$H$1))</f>
        <v>Aviation Kerosene</v>
      </c>
      <c r="I3089" s="1" t="s">
        <v>573</v>
      </c>
      <c r="J3089" s="1" t="s">
        <v>573</v>
      </c>
      <c r="K3089" s="1" t="s">
        <v>573</v>
      </c>
    </row>
    <row r="3090" spans="1:15" x14ac:dyDescent="0.35">
      <c r="A3090" s="2" t="s">
        <v>3118</v>
      </c>
      <c r="B3090" s="255">
        <v>17</v>
      </c>
      <c r="C3090" s="2" t="s">
        <v>3118</v>
      </c>
      <c r="D3090" s="10">
        <v>1</v>
      </c>
      <c r="E3090" s="10">
        <v>15</v>
      </c>
      <c r="F3090" s="10" t="s">
        <v>692</v>
      </c>
      <c r="G3090" s="10" t="s">
        <v>696</v>
      </c>
      <c r="H3090" s="10" t="str" cm="1">
        <f t="array" aca="1" ref="H3090" ca="1">IF(INDEX(I3090:Z3090,$H$1)=0,"",INDEX(I3090:Z3090,$H$1))</f>
        <v>Common Kerosene</v>
      </c>
      <c r="I3090" s="1" t="s">
        <v>574</v>
      </c>
      <c r="J3090" s="1" t="s">
        <v>574</v>
      </c>
      <c r="K3090" s="1" t="s">
        <v>574</v>
      </c>
    </row>
    <row r="3091" spans="1:15" x14ac:dyDescent="0.35">
      <c r="A3091" s="2" t="s">
        <v>3118</v>
      </c>
      <c r="B3091" s="255">
        <v>17</v>
      </c>
      <c r="C3091" s="2" t="s">
        <v>3118</v>
      </c>
      <c r="D3091" s="10">
        <v>1</v>
      </c>
      <c r="E3091" s="10">
        <v>15</v>
      </c>
      <c r="F3091" s="10" t="s">
        <v>692</v>
      </c>
      <c r="G3091" s="10" t="s">
        <v>696</v>
      </c>
      <c r="H3091" s="10" t="str" cm="1">
        <f t="array" aca="1" ref="H3091" ca="1">IF(INDEX(I3091:Z3091,$H$1)=0,"",INDEX(I3091:Z3091,$H$1))</f>
        <v>Liquefied Petroleum Gas</v>
      </c>
      <c r="I3091" s="1" t="s">
        <v>1117</v>
      </c>
      <c r="J3091" s="1" t="s">
        <v>1117</v>
      </c>
      <c r="K3091" s="1" t="s">
        <v>1117</v>
      </c>
    </row>
    <row r="3092" spans="1:15" x14ac:dyDescent="0.35">
      <c r="A3092" s="2" t="s">
        <v>3118</v>
      </c>
      <c r="B3092" s="255">
        <v>17</v>
      </c>
      <c r="C3092" s="2" t="s">
        <v>3118</v>
      </c>
      <c r="D3092" s="10">
        <v>1</v>
      </c>
      <c r="E3092" s="10">
        <v>15</v>
      </c>
      <c r="F3092" s="10" t="s">
        <v>692</v>
      </c>
      <c r="G3092" s="10" t="s">
        <v>696</v>
      </c>
      <c r="H3092" s="10" t="str" cm="1">
        <f t="array" aca="1" ref="H3092" ca="1">IF(INDEX(I3092:Z3092,$H$1)=0,"",INDEX(I3092:Z3092,$H$1))</f>
        <v>Liquefied Natural Gas</v>
      </c>
      <c r="I3092" s="1" t="s">
        <v>599</v>
      </c>
      <c r="J3092" s="1" t="s">
        <v>599</v>
      </c>
      <c r="K3092" s="1" t="s">
        <v>599</v>
      </c>
    </row>
    <row r="3093" spans="1:15" x14ac:dyDescent="0.35">
      <c r="A3093" s="2" t="s">
        <v>3118</v>
      </c>
      <c r="B3093" s="255">
        <v>17</v>
      </c>
      <c r="C3093" s="2" t="s">
        <v>3118</v>
      </c>
      <c r="D3093" s="10">
        <v>1</v>
      </c>
      <c r="E3093" s="10">
        <v>15</v>
      </c>
      <c r="F3093" s="10" t="s">
        <v>692</v>
      </c>
      <c r="G3093" s="10" t="s">
        <v>696</v>
      </c>
      <c r="H3093" s="10" t="str" cm="1">
        <f t="array" aca="1" ref="H3093" ca="1">IF(INDEX(I3093:Z3093,$H$1)=0,"",INDEX(I3093:Z3093,$H$1))</f>
        <v>All</v>
      </c>
      <c r="I3093" s="2" t="s">
        <v>49</v>
      </c>
      <c r="J3093" s="2" t="s">
        <v>49</v>
      </c>
      <c r="K3093" s="2" t="s">
        <v>49</v>
      </c>
    </row>
    <row r="3094" spans="1:15" x14ac:dyDescent="0.35">
      <c r="A3094" s="2" t="s">
        <v>3118</v>
      </c>
      <c r="B3094" s="255">
        <v>17</v>
      </c>
      <c r="C3094" s="2" t="s">
        <v>3118</v>
      </c>
      <c r="D3094" s="10">
        <v>1</v>
      </c>
      <c r="E3094" s="10">
        <v>15</v>
      </c>
      <c r="F3094" s="10" t="s">
        <v>692</v>
      </c>
      <c r="G3094" s="10" t="s">
        <v>696</v>
      </c>
      <c r="H3094" s="10" t="str" cm="1">
        <f t="array" aca="1" ref="H3094" ca="1">IF(INDEX(I3094:Z3094,$H$1)=0,"",INDEX(I3094:Z3094,$H$1))</f>
        <v>Total Facility</v>
      </c>
      <c r="I3094" s="2" t="s">
        <v>2796</v>
      </c>
      <c r="J3094" s="2" t="s">
        <v>2796</v>
      </c>
      <c r="K3094" s="2" t="s">
        <v>2796</v>
      </c>
    </row>
    <row r="3095" spans="1:15" x14ac:dyDescent="0.35">
      <c r="A3095" s="2" t="s">
        <v>3118</v>
      </c>
      <c r="B3095" s="255">
        <v>17</v>
      </c>
      <c r="C3095" s="2" t="s">
        <v>3118</v>
      </c>
      <c r="D3095" s="10">
        <v>1</v>
      </c>
      <c r="E3095" s="10">
        <v>15</v>
      </c>
      <c r="F3095" s="10" t="s">
        <v>692</v>
      </c>
      <c r="G3095" s="10" t="s">
        <v>696</v>
      </c>
      <c r="H3095" s="10" t="str" cm="1">
        <f t="array" aca="1" ref="H3095" ca="1">IF(INDEX(I3095:Z3095,$H$1)=0,"",INDEX(I3095:Z3095,$H$1))</f>
        <v xml:space="preserve">  -  Turbine</v>
      </c>
      <c r="I3095" s="12" t="s">
        <v>3291</v>
      </c>
      <c r="J3095" s="12" t="s">
        <v>3291</v>
      </c>
      <c r="K3095" s="12" t="s">
        <v>3291</v>
      </c>
    </row>
    <row r="3096" spans="1:15" x14ac:dyDescent="0.35">
      <c r="A3096" s="2" t="s">
        <v>3118</v>
      </c>
      <c r="B3096" s="255">
        <v>17</v>
      </c>
      <c r="C3096" s="2" t="s">
        <v>3118</v>
      </c>
      <c r="D3096" s="10">
        <v>1</v>
      </c>
      <c r="E3096" s="10">
        <v>15</v>
      </c>
      <c r="F3096" s="10" t="s">
        <v>692</v>
      </c>
      <c r="G3096" s="10" t="s">
        <v>696</v>
      </c>
      <c r="H3096" s="10" t="str" cm="1">
        <f t="array" aca="1" ref="H3096" ca="1">IF(INDEX(I3096:Z3096,$H$1)=0,"",INDEX(I3096:Z3096,$H$1))</f>
        <v xml:space="preserve">  -  Gas Engine (2-Stroke Lean-Burn)</v>
      </c>
      <c r="I3096" s="12" t="s">
        <v>3159</v>
      </c>
      <c r="J3096" s="12" t="s">
        <v>3159</v>
      </c>
      <c r="K3096" s="12" t="s">
        <v>3159</v>
      </c>
    </row>
    <row r="3097" spans="1:15" x14ac:dyDescent="0.35">
      <c r="A3097" s="2" t="s">
        <v>3118</v>
      </c>
      <c r="B3097" s="255">
        <v>17</v>
      </c>
      <c r="C3097" s="2" t="s">
        <v>3118</v>
      </c>
      <c r="D3097" s="10">
        <v>1</v>
      </c>
      <c r="E3097" s="10">
        <v>15</v>
      </c>
      <c r="F3097" s="10" t="s">
        <v>692</v>
      </c>
      <c r="G3097" s="10" t="s">
        <v>696</v>
      </c>
      <c r="H3097" s="10" t="str" cm="1">
        <f t="array" aca="1" ref="H3097" ca="1">IF(INDEX(I3097:Z3097,$H$1)=0,"",INDEX(I3097:Z3097,$H$1))</f>
        <v xml:space="preserve">  -  Gas Engine (4-Stroke Lean-Burn)</v>
      </c>
      <c r="I3097" s="12" t="s">
        <v>3160</v>
      </c>
      <c r="J3097" s="12" t="s">
        <v>3160</v>
      </c>
      <c r="K3097" s="12" t="s">
        <v>3160</v>
      </c>
    </row>
    <row r="3098" spans="1:15" x14ac:dyDescent="0.35">
      <c r="A3098" s="2" t="s">
        <v>3118</v>
      </c>
      <c r="B3098" s="255">
        <v>17</v>
      </c>
      <c r="C3098" s="2" t="s">
        <v>3118</v>
      </c>
      <c r="D3098" s="10">
        <v>1</v>
      </c>
      <c r="E3098" s="10">
        <v>15</v>
      </c>
      <c r="F3098" s="10" t="s">
        <v>692</v>
      </c>
      <c r="G3098" s="10" t="s">
        <v>696</v>
      </c>
      <c r="H3098" s="10" t="str" cm="1">
        <f t="array" aca="1" ref="H3098" ca="1">IF(INDEX(I3098:Z3098,$H$1)=0,"",INDEX(I3098:Z3098,$H$1))</f>
        <v xml:space="preserve">  -  Gas Engine (4-Stroke Rich-Burn)</v>
      </c>
      <c r="I3098" s="12" t="s">
        <v>3161</v>
      </c>
      <c r="J3098" s="12" t="s">
        <v>3161</v>
      </c>
      <c r="K3098" s="12" t="s">
        <v>3161</v>
      </c>
    </row>
    <row r="3099" spans="1:15" x14ac:dyDescent="0.35">
      <c r="A3099" s="2" t="s">
        <v>3118</v>
      </c>
      <c r="B3099" s="255">
        <v>17</v>
      </c>
      <c r="C3099" s="2" t="s">
        <v>3118</v>
      </c>
      <c r="D3099" s="10">
        <v>1</v>
      </c>
      <c r="E3099" s="10">
        <v>15</v>
      </c>
      <c r="F3099" s="10" t="s">
        <v>692</v>
      </c>
      <c r="G3099" s="10" t="s">
        <v>696</v>
      </c>
      <c r="H3099" s="10" t="str" cm="1">
        <f t="array" aca="1" ref="H3099" ca="1">IF(INDEX(I3099:Z3099,$H$1)=0,"",INDEX(I3099:Z3099,$H$1))</f>
        <v xml:space="preserve">  -  Heaters &amp; Boilers</v>
      </c>
      <c r="I3099" s="12" t="s">
        <v>3162</v>
      </c>
      <c r="J3099" s="12" t="s">
        <v>3162</v>
      </c>
      <c r="K3099" s="12" t="s">
        <v>3162</v>
      </c>
    </row>
    <row r="3100" spans="1:15" x14ac:dyDescent="0.35">
      <c r="A3100" s="2" t="s">
        <v>3118</v>
      </c>
      <c r="B3100" s="255">
        <v>17</v>
      </c>
      <c r="C3100" s="2" t="s">
        <v>3118</v>
      </c>
      <c r="D3100" s="10">
        <v>1</v>
      </c>
      <c r="E3100" s="10">
        <v>15</v>
      </c>
      <c r="F3100" s="10" t="s">
        <v>692</v>
      </c>
      <c r="G3100" s="10" t="s">
        <v>696</v>
      </c>
      <c r="H3100" s="10" t="str" cm="1">
        <f t="array" aca="1" ref="H3100" ca="1">IF(INDEX(I3100:Z3100,$H$1)=0,"",INDEX(I3100:Z3100,$H$1))</f>
        <v xml:space="preserve">  -  Heaters &amp; Boilers (Low-NOx)</v>
      </c>
      <c r="I3100" s="12" t="s">
        <v>3163</v>
      </c>
      <c r="J3100" s="12" t="s">
        <v>3163</v>
      </c>
      <c r="K3100" s="12" t="s">
        <v>3163</v>
      </c>
    </row>
    <row r="3101" spans="1:15" x14ac:dyDescent="0.35">
      <c r="A3101" s="2" t="s">
        <v>3118</v>
      </c>
      <c r="B3101" s="255">
        <v>17</v>
      </c>
      <c r="C3101" s="2" t="s">
        <v>3118</v>
      </c>
      <c r="D3101" s="10">
        <v>1</v>
      </c>
      <c r="E3101" s="10">
        <v>15</v>
      </c>
      <c r="F3101" s="10" t="s">
        <v>692</v>
      </c>
      <c r="G3101" s="10" t="s">
        <v>696</v>
      </c>
      <c r="H3101" s="10" t="str" cm="1">
        <f t="array" aca="1" ref="H3101" ca="1">IF(INDEX(I3101:Z3101,$H$1)=0,"",INDEX(I3101:Z3101,$H$1))</f>
        <v>Note: the total facility fuel consumption shown above  should match the sum of the listed source contributions below it in Column F but not necessarily in Columns D and E.</v>
      </c>
      <c r="I3101" s="12" t="s">
        <v>3164</v>
      </c>
      <c r="J3101" s="12" t="s">
        <v>3164</v>
      </c>
      <c r="K3101" s="12" t="s">
        <v>3164</v>
      </c>
    </row>
    <row r="3102" spans="1:15" x14ac:dyDescent="0.35">
      <c r="A3102" s="2" t="s">
        <v>3118</v>
      </c>
      <c r="B3102" s="255">
        <v>17</v>
      </c>
      <c r="C3102" s="2" t="s">
        <v>3118</v>
      </c>
      <c r="D3102" s="10">
        <v>1</v>
      </c>
      <c r="E3102" s="10">
        <v>15</v>
      </c>
      <c r="F3102" s="10" t="s">
        <v>692</v>
      </c>
      <c r="G3102" s="10" t="s">
        <v>696</v>
      </c>
      <c r="H3102" s="10" t="str" cm="1">
        <f t="array" aca="1" ref="H3102" ca="1">IF(INDEX(I3102:Z3102,$H$1)=0,"",INDEX(I3102:Z3102,$H$1))</f>
        <v>"FUEL ALLOCATION BY SOURCE TYPE" SETUP</v>
      </c>
      <c r="I3102" s="2" t="s">
        <v>2804</v>
      </c>
      <c r="J3102" s="2" t="s">
        <v>2804</v>
      </c>
      <c r="K3102" s="2" t="s">
        <v>2804</v>
      </c>
    </row>
    <row r="3103" spans="1:15" x14ac:dyDescent="0.35">
      <c r="A3103" s="2" t="s">
        <v>3118</v>
      </c>
      <c r="B3103" s="255">
        <v>17</v>
      </c>
      <c r="C3103" s="2" t="s">
        <v>3118</v>
      </c>
      <c r="D3103" s="10">
        <v>1</v>
      </c>
      <c r="E3103" s="10">
        <v>2</v>
      </c>
      <c r="F3103" s="10" t="s">
        <v>687</v>
      </c>
      <c r="G3103" s="10" t="s">
        <v>688</v>
      </c>
      <c r="H3103" s="10" t="str" cm="1">
        <f t="array" aca="1" ref="H3103" ca="1">IF(INDEX(I3103:Z3103,$H$1)=0,"",INDEX(I3103:Z3103,$H$1))</f>
        <v>Heaters &amp; Boilers</v>
      </c>
      <c r="I3103" s="2" t="s">
        <v>2280</v>
      </c>
      <c r="J3103" s="2" t="s">
        <v>2280</v>
      </c>
      <c r="K3103" s="2" t="s">
        <v>2280</v>
      </c>
      <c r="L3103" s="19"/>
      <c r="M3103" s="19"/>
      <c r="N3103" s="19"/>
      <c r="O3103" s="19"/>
    </row>
    <row r="3104" spans="1:15" ht="15" customHeight="1" x14ac:dyDescent="0.35">
      <c r="A3104" s="2" t="s">
        <v>3118</v>
      </c>
      <c r="B3104" s="255">
        <v>17</v>
      </c>
      <c r="C3104" s="2" t="s">
        <v>3118</v>
      </c>
      <c r="D3104" s="10">
        <v>1</v>
      </c>
      <c r="E3104" s="10">
        <v>4</v>
      </c>
      <c r="F3104" s="10" t="s">
        <v>690</v>
      </c>
      <c r="G3104" s="10" t="s">
        <v>696</v>
      </c>
      <c r="H3104" s="10" t="str" cm="1">
        <f t="array" aca="1" ref="H3104" ca="1">IF(INDEX(I3104:Z3104,$H$1)=0,"",INDEX(I3104:Z3104,$H$1))</f>
        <v>Source Type</v>
      </c>
      <c r="I3104" s="2" t="s">
        <v>2755</v>
      </c>
      <c r="J3104" s="2" t="s">
        <v>2755</v>
      </c>
      <c r="K3104" s="2" t="s">
        <v>2755</v>
      </c>
      <c r="L3104" s="19"/>
      <c r="M3104" s="19"/>
      <c r="N3104" s="19"/>
      <c r="O3104" s="19"/>
    </row>
    <row r="3105" spans="1:15" ht="15" customHeight="1" x14ac:dyDescent="0.35">
      <c r="A3105" s="2" t="s">
        <v>3118</v>
      </c>
      <c r="B3105" s="255">
        <v>17</v>
      </c>
      <c r="C3105" s="2" t="s">
        <v>3118</v>
      </c>
      <c r="D3105" s="10">
        <v>1</v>
      </c>
      <c r="E3105" s="10">
        <v>4</v>
      </c>
      <c r="F3105" s="10" t="s">
        <v>690</v>
      </c>
      <c r="G3105" s="10" t="s">
        <v>696</v>
      </c>
      <c r="H3105" s="10" t="str" cm="1">
        <f t="array" aca="1" ref="H3105" ca="1">IF(INDEX(I3105:Z3105,$H$1)=0,"",INDEX(I3105:Z3105,$H$1))</f>
        <v>Quantity</v>
      </c>
      <c r="I3105" s="2" t="s">
        <v>253</v>
      </c>
      <c r="J3105" s="2" t="s">
        <v>253</v>
      </c>
      <c r="K3105" s="2" t="s">
        <v>253</v>
      </c>
      <c r="L3105" s="19"/>
      <c r="M3105" s="19"/>
      <c r="N3105" s="19"/>
      <c r="O3105" s="19"/>
    </row>
    <row r="3106" spans="1:15" ht="15" customHeight="1" x14ac:dyDescent="0.35">
      <c r="A3106" s="2" t="s">
        <v>3118</v>
      </c>
      <c r="B3106" s="255">
        <v>17</v>
      </c>
      <c r="C3106" s="2" t="s">
        <v>3118</v>
      </c>
      <c r="D3106" s="10">
        <v>1</v>
      </c>
      <c r="E3106" s="10">
        <v>4</v>
      </c>
      <c r="F3106" s="10" t="s">
        <v>38</v>
      </c>
      <c r="G3106" s="10" t="s">
        <v>696</v>
      </c>
      <c r="H3106" s="10" t="str" cm="1">
        <f t="array" aca="1" ref="H3106" ca="1">IF(INDEX(I3106:Z3106,$H$1)=0,"",INDEX(I3106:Z3106,$H$1))</f>
        <v>Description</v>
      </c>
      <c r="I3106" s="2" t="s">
        <v>2507</v>
      </c>
      <c r="J3106" s="2" t="s">
        <v>2507</v>
      </c>
      <c r="K3106" s="2" t="s">
        <v>2507</v>
      </c>
      <c r="L3106" s="19"/>
      <c r="M3106" s="19"/>
      <c r="N3106" s="19"/>
      <c r="O3106" s="19"/>
    </row>
    <row r="3107" spans="1:15" ht="15" customHeight="1" x14ac:dyDescent="0.35">
      <c r="A3107" s="2" t="s">
        <v>3118</v>
      </c>
      <c r="B3107" s="255">
        <v>17</v>
      </c>
      <c r="C3107" s="2" t="s">
        <v>3118</v>
      </c>
      <c r="D3107" s="10">
        <v>1</v>
      </c>
      <c r="E3107" s="10">
        <v>4</v>
      </c>
      <c r="F3107" s="10" t="s">
        <v>692</v>
      </c>
      <c r="G3107" s="10" t="s">
        <v>696</v>
      </c>
      <c r="H3107" s="10" t="str" cm="1">
        <f t="array" aca="1" ref="H3107" ca="1">IF(INDEX(I3107:Z3107,$H$1)=0,"",INDEX(I3107:Z3107,$H$1))</f>
        <v>Fuel Type</v>
      </c>
      <c r="I3107" s="2" t="s">
        <v>554</v>
      </c>
      <c r="J3107" s="2" t="s">
        <v>554</v>
      </c>
      <c r="K3107" s="2" t="s">
        <v>554</v>
      </c>
      <c r="L3107" s="19"/>
      <c r="M3107" s="19"/>
      <c r="N3107" s="19"/>
      <c r="O3107" s="19"/>
    </row>
    <row r="3108" spans="1:15" ht="15" customHeight="1" x14ac:dyDescent="0.35">
      <c r="A3108" s="2" t="s">
        <v>3118</v>
      </c>
      <c r="B3108" s="255">
        <v>17</v>
      </c>
      <c r="C3108" s="2" t="s">
        <v>3118</v>
      </c>
      <c r="D3108" s="10">
        <v>1</v>
      </c>
      <c r="E3108" s="10">
        <v>4</v>
      </c>
      <c r="F3108" s="10" t="s">
        <v>711</v>
      </c>
      <c r="G3108" s="10" t="s">
        <v>696</v>
      </c>
      <c r="H3108" s="10" t="str" cm="1">
        <f t="array" aca="1" ref="H3108" ca="1">IF(INDEX(I3108:Z3108,$H$1)=0,"",INDEX(I3108:Z3108,$H$1))</f>
        <v>Category</v>
      </c>
      <c r="I3108" t="s">
        <v>2769</v>
      </c>
      <c r="J3108" t="s">
        <v>2769</v>
      </c>
      <c r="K3108" t="s">
        <v>2769</v>
      </c>
      <c r="L3108" s="19"/>
      <c r="M3108" s="19"/>
      <c r="N3108" s="19"/>
      <c r="O3108" s="19"/>
    </row>
    <row r="3109" spans="1:15" ht="15" customHeight="1" x14ac:dyDescent="0.35">
      <c r="A3109" s="2" t="s">
        <v>3118</v>
      </c>
      <c r="B3109" s="255">
        <v>17</v>
      </c>
      <c r="C3109" s="2" t="s">
        <v>3118</v>
      </c>
      <c r="D3109" s="10">
        <v>1</v>
      </c>
      <c r="E3109" s="10">
        <v>4</v>
      </c>
      <c r="F3109" s="10" t="s">
        <v>591</v>
      </c>
      <c r="G3109" s="10" t="s">
        <v>696</v>
      </c>
      <c r="H3109" s="10" t="str" cm="1">
        <f t="array" aca="1" ref="H3109" ca="1">IF(INDEX(I3109:Z3109,$H$1)=0,"",INDEX(I3109:Z3109,$H$1))</f>
        <v>Subcategory</v>
      </c>
      <c r="I3109" s="2" t="s">
        <v>46</v>
      </c>
      <c r="J3109" s="2" t="s">
        <v>46</v>
      </c>
      <c r="K3109" s="2" t="s">
        <v>46</v>
      </c>
      <c r="L3109" s="19"/>
      <c r="M3109" s="19"/>
      <c r="N3109" s="19"/>
      <c r="O3109" s="19"/>
    </row>
    <row r="3110" spans="1:15" ht="15" customHeight="1" x14ac:dyDescent="0.35">
      <c r="A3110" s="2" t="s">
        <v>3118</v>
      </c>
      <c r="B3110" s="255">
        <v>17</v>
      </c>
      <c r="C3110" s="2" t="s">
        <v>3118</v>
      </c>
      <c r="D3110" s="10">
        <v>1</v>
      </c>
      <c r="E3110" s="10">
        <v>4</v>
      </c>
      <c r="F3110" s="10" t="s">
        <v>591</v>
      </c>
      <c r="G3110" s="10" t="s">
        <v>696</v>
      </c>
      <c r="H3110" s="10" t="str" cm="1">
        <f t="array" aca="1" ref="H3110" ca="1">IF(INDEX(I3110:Z3110,$H$1)=0,"",INDEX(I3110:Z3110,$H$1))</f>
        <v>Fuel Consumption (Per unit)</v>
      </c>
      <c r="I3110" s="2" t="s">
        <v>2972</v>
      </c>
      <c r="J3110" s="2" t="s">
        <v>2972</v>
      </c>
      <c r="K3110" s="2" t="s">
        <v>2972</v>
      </c>
      <c r="L3110" s="19"/>
      <c r="M3110" s="19"/>
      <c r="N3110" s="19"/>
      <c r="O3110" s="19"/>
    </row>
    <row r="3111" spans="1:15" ht="15" customHeight="1" x14ac:dyDescent="0.35">
      <c r="A3111" s="2" t="s">
        <v>3118</v>
      </c>
      <c r="B3111" s="255">
        <v>17</v>
      </c>
      <c r="C3111" s="2" t="s">
        <v>3118</v>
      </c>
      <c r="D3111" s="10">
        <v>1</v>
      </c>
      <c r="E3111" s="10">
        <v>4</v>
      </c>
      <c r="F3111" s="10" t="s">
        <v>591</v>
      </c>
      <c r="G3111" s="10" t="s">
        <v>696</v>
      </c>
      <c r="H3111" s="10" t="str" cm="1">
        <f t="array" aca="1" ref="H3111" ca="1">IF(INDEX(I3111:Z3111,$H$1)=0,"",INDEX(I3111:Z3111,$H$1))</f>
        <v>Measured or Reported Value</v>
      </c>
      <c r="I3111" s="12" t="s">
        <v>2906</v>
      </c>
      <c r="J3111" s="12" t="s">
        <v>2906</v>
      </c>
      <c r="K3111" s="12" t="s">
        <v>2906</v>
      </c>
      <c r="L3111" s="19"/>
      <c r="M3111" s="19"/>
      <c r="N3111" s="19"/>
      <c r="O3111" s="19"/>
    </row>
    <row r="3112" spans="1:15" ht="15" customHeight="1" x14ac:dyDescent="0.35">
      <c r="A3112" s="2" t="s">
        <v>3118</v>
      </c>
      <c r="B3112" s="255">
        <v>17</v>
      </c>
      <c r="C3112" s="2" t="s">
        <v>3118</v>
      </c>
      <c r="D3112" s="10">
        <v>1</v>
      </c>
      <c r="E3112" s="10">
        <v>4</v>
      </c>
      <c r="F3112" s="10" t="s">
        <v>591</v>
      </c>
      <c r="G3112" s="10" t="s">
        <v>696</v>
      </c>
      <c r="H3112" s="10" t="str" cm="1">
        <f t="array" aca="1" ref="H3112" ca="1">IF(INDEX(I3112:Z3112,$H$1)=0,"",INDEX(I3112:Z3112,$H$1))</f>
        <v>(If Available)</v>
      </c>
      <c r="I3112" s="2" t="s">
        <v>2908</v>
      </c>
      <c r="J3112" s="2" t="s">
        <v>2908</v>
      </c>
      <c r="K3112" s="2" t="s">
        <v>2908</v>
      </c>
      <c r="L3112" s="19"/>
      <c r="M3112" s="19"/>
      <c r="N3112" s="19"/>
      <c r="O3112" s="19"/>
    </row>
    <row r="3113" spans="1:15" ht="15" customHeight="1" x14ac:dyDescent="0.35">
      <c r="A3113" s="2" t="s">
        <v>3118</v>
      </c>
      <c r="B3113" s="255">
        <v>17</v>
      </c>
      <c r="C3113" s="2" t="s">
        <v>3118</v>
      </c>
      <c r="D3113" s="10">
        <v>1</v>
      </c>
      <c r="E3113" s="10">
        <v>4</v>
      </c>
      <c r="F3113" s="10" t="s">
        <v>591</v>
      </c>
      <c r="G3113" s="10" t="s">
        <v>696</v>
      </c>
      <c r="H3113" s="10" t="str" cm="1">
        <f t="array" aca="1" ref="H3113" ca="1">IF(INDEX(I3113:Z3113,$H$1)=0,"",INDEX(I3113:Z3113,$H$1))</f>
        <v>Estimated Value</v>
      </c>
      <c r="I3113" s="12" t="s">
        <v>2907</v>
      </c>
      <c r="J3113" s="12" t="s">
        <v>2907</v>
      </c>
      <c r="K3113" s="12" t="s">
        <v>2907</v>
      </c>
      <c r="L3113" s="19"/>
      <c r="M3113" s="19"/>
      <c r="N3113" s="19"/>
      <c r="O3113" s="19"/>
    </row>
    <row r="3114" spans="1:15" ht="15" customHeight="1" x14ac:dyDescent="0.35">
      <c r="A3114" s="2" t="s">
        <v>3118</v>
      </c>
      <c r="B3114" s="255">
        <v>17</v>
      </c>
      <c r="C3114" s="2" t="s">
        <v>3118</v>
      </c>
      <c r="D3114" s="10">
        <v>1</v>
      </c>
      <c r="E3114" s="10">
        <v>4</v>
      </c>
      <c r="F3114" s="10" t="s">
        <v>591</v>
      </c>
      <c r="G3114" s="10" t="s">
        <v>696</v>
      </c>
      <c r="H3114" s="10" t="str" cm="1">
        <f t="array" aca="1" ref="H3114" ca="1">IF(INDEX(I3114:Z3114,$H$1)=0,"",INDEX(I3114:Z3114,$H$1))</f>
        <v>(If Setup Completed)</v>
      </c>
      <c r="I3114" s="2" t="s">
        <v>2910</v>
      </c>
      <c r="J3114" s="2" t="s">
        <v>2910</v>
      </c>
      <c r="K3114" s="2" t="s">
        <v>2910</v>
      </c>
      <c r="L3114" s="19"/>
      <c r="M3114" s="19"/>
      <c r="N3114" s="19"/>
      <c r="O3114" s="19"/>
    </row>
    <row r="3115" spans="1:15" ht="15" customHeight="1" x14ac:dyDescent="0.35">
      <c r="A3115" s="2" t="s">
        <v>3118</v>
      </c>
      <c r="B3115" s="255">
        <v>17</v>
      </c>
      <c r="C3115" s="2" t="s">
        <v>3118</v>
      </c>
      <c r="D3115" s="10">
        <v>1</v>
      </c>
      <c r="E3115" s="10">
        <v>4</v>
      </c>
      <c r="F3115" s="10" t="s">
        <v>591</v>
      </c>
      <c r="G3115" s="10" t="s">
        <v>696</v>
      </c>
      <c r="H3115" s="10" t="str" cm="1">
        <f t="array" aca="1" ref="H3115" ca="1">IF(INDEX(I3115:Z3115,$H$1)=0,"",INDEX(I3115:Z3115,$H$1))</f>
        <v>Value Used</v>
      </c>
      <c r="I3115" s="12" t="s">
        <v>2799</v>
      </c>
      <c r="J3115" s="12" t="s">
        <v>2799</v>
      </c>
      <c r="K3115" s="12" t="s">
        <v>2799</v>
      </c>
      <c r="L3115" s="19"/>
      <c r="M3115" s="19"/>
      <c r="N3115" s="19"/>
      <c r="O3115" s="19"/>
    </row>
    <row r="3116" spans="1:15" ht="15" customHeight="1" x14ac:dyDescent="0.35">
      <c r="A3116" s="2" t="s">
        <v>3118</v>
      </c>
      <c r="B3116" s="255">
        <v>17</v>
      </c>
      <c r="C3116" s="2" t="s">
        <v>3118</v>
      </c>
      <c r="D3116" s="10">
        <v>1</v>
      </c>
      <c r="E3116" s="10">
        <v>4</v>
      </c>
      <c r="F3116" s="10" t="s">
        <v>712</v>
      </c>
      <c r="G3116" s="10" t="s">
        <v>696</v>
      </c>
      <c r="H3116" s="10" t="str" cm="1">
        <f t="array" aca="1" ref="H3116" ca="1">IF(INDEX(I3116:Z3116,$H$1)=0,"",INDEX(I3116:Z3116,$H$1))</f>
        <v>Units of Measure</v>
      </c>
      <c r="I3116" s="2" t="s">
        <v>331</v>
      </c>
      <c r="J3116" s="2" t="s">
        <v>331</v>
      </c>
      <c r="K3116" s="2" t="s">
        <v>331</v>
      </c>
      <c r="L3116" s="19"/>
      <c r="M3116" s="19"/>
      <c r="N3116" s="19"/>
      <c r="O3116" s="19"/>
    </row>
    <row r="3117" spans="1:15" ht="15" customHeight="1" x14ac:dyDescent="0.35">
      <c r="A3117" s="2" t="s">
        <v>3118</v>
      </c>
      <c r="B3117" s="255">
        <v>17</v>
      </c>
      <c r="C3117" s="2" t="s">
        <v>3118</v>
      </c>
      <c r="D3117" s="10">
        <v>1</v>
      </c>
      <c r="E3117" s="10">
        <v>4</v>
      </c>
      <c r="F3117" s="10" t="s">
        <v>712</v>
      </c>
      <c r="G3117" s="10" t="s">
        <v>696</v>
      </c>
      <c r="H3117" s="10" t="str" cm="1">
        <f t="array" aca="1" ref="H3117" ca="1">IF(INDEX(I3117:Z3117,$H$1)=0,"",INDEX(I3117:Z3117,$H$1))</f>
        <v>Heater or Boiler Operating Hours &amp; Performance</v>
      </c>
      <c r="I3117" s="295" t="s">
        <v>2918</v>
      </c>
      <c r="J3117" s="295" t="s">
        <v>2918</v>
      </c>
      <c r="K3117" s="295" t="s">
        <v>2918</v>
      </c>
      <c r="L3117" s="19"/>
      <c r="M3117" s="19"/>
      <c r="N3117" s="19"/>
      <c r="O3117" s="19"/>
    </row>
    <row r="3118" spans="1:15" ht="15" customHeight="1" x14ac:dyDescent="0.35">
      <c r="A3118" s="2" t="s">
        <v>3118</v>
      </c>
      <c r="B3118" s="255">
        <v>17</v>
      </c>
      <c r="C3118" s="2" t="s">
        <v>3118</v>
      </c>
      <c r="D3118" s="10">
        <v>1</v>
      </c>
      <c r="E3118" s="10">
        <v>4</v>
      </c>
      <c r="F3118" s="10" t="s">
        <v>712</v>
      </c>
      <c r="G3118" s="10" t="s">
        <v>696</v>
      </c>
      <c r="H3118" s="10" t="str" cm="1">
        <f t="array" aca="1" ref="H3118" ca="1">IF(INDEX(I3118:Z3118,$H$1)=0,"",INDEX(I3118:Z3118,$H$1))</f>
        <v>Annual Operating Hours (Optional)</v>
      </c>
      <c r="I3118" s="12" t="s">
        <v>3295</v>
      </c>
      <c r="J3118" s="12" t="s">
        <v>3295</v>
      </c>
      <c r="K3118" s="12" t="s">
        <v>3295</v>
      </c>
      <c r="L3118" s="19"/>
      <c r="M3118" s="19"/>
      <c r="N3118" s="19"/>
      <c r="O3118" s="19"/>
    </row>
    <row r="3119" spans="1:15" ht="15" customHeight="1" x14ac:dyDescent="0.35">
      <c r="A3119" s="2" t="s">
        <v>3118</v>
      </c>
      <c r="B3119" s="255">
        <v>17</v>
      </c>
      <c r="C3119" s="2" t="s">
        <v>3118</v>
      </c>
      <c r="D3119" s="10">
        <v>1</v>
      </c>
      <c r="E3119" s="10">
        <v>4</v>
      </c>
      <c r="F3119" s="10" t="s">
        <v>712</v>
      </c>
      <c r="G3119" s="10" t="s">
        <v>696</v>
      </c>
      <c r="H3119" s="10" t="str" cm="1">
        <f t="array" aca="1" ref="H3119" ca="1">IF(INDEX(I3119:Z3119,$H$1)=0,"",INDEX(I3119:Z3119,$H$1))</f>
        <v>Load Factor (%)</v>
      </c>
      <c r="I3119" s="12" t="s">
        <v>2886</v>
      </c>
      <c r="J3119" s="12" t="s">
        <v>2886</v>
      </c>
      <c r="K3119" s="12" t="s">
        <v>2886</v>
      </c>
      <c r="L3119" s="19"/>
      <c r="M3119" s="19"/>
      <c r="N3119" s="19"/>
      <c r="O3119" s="19"/>
    </row>
    <row r="3120" spans="1:15" ht="15" customHeight="1" x14ac:dyDescent="0.35">
      <c r="A3120" s="2" t="s">
        <v>3118</v>
      </c>
      <c r="B3120" s="255">
        <v>17</v>
      </c>
      <c r="C3120" s="2" t="s">
        <v>3118</v>
      </c>
      <c r="D3120" s="10">
        <v>1</v>
      </c>
      <c r="E3120" s="10">
        <v>4</v>
      </c>
      <c r="F3120" s="10" t="s">
        <v>712</v>
      </c>
      <c r="G3120" s="10" t="s">
        <v>696</v>
      </c>
      <c r="H3120" s="10" t="str" cm="1">
        <f t="array" aca="1" ref="H3120" ca="1">IF(INDEX(I3120:Z3120,$H$1)=0,"",INDEX(I3120:Z3120,$H$1))</f>
        <v>(Optional)</v>
      </c>
      <c r="I3120" s="2" t="s">
        <v>2912</v>
      </c>
      <c r="J3120" s="2" t="s">
        <v>2912</v>
      </c>
      <c r="K3120" s="2" t="s">
        <v>2912</v>
      </c>
      <c r="L3120" s="19"/>
      <c r="M3120" s="19"/>
      <c r="N3120" s="19"/>
      <c r="O3120" s="19"/>
    </row>
    <row r="3121" spans="1:15" ht="15" customHeight="1" x14ac:dyDescent="0.35">
      <c r="A3121" s="2" t="s">
        <v>3118</v>
      </c>
      <c r="B3121" s="255">
        <v>17</v>
      </c>
      <c r="C3121" s="2" t="s">
        <v>3118</v>
      </c>
      <c r="D3121" s="10">
        <v>1</v>
      </c>
      <c r="E3121" s="10">
        <v>4</v>
      </c>
      <c r="F3121" s="10" t="s">
        <v>712</v>
      </c>
      <c r="G3121" s="10" t="s">
        <v>696</v>
      </c>
      <c r="H3121" s="10" t="str" cm="1">
        <f t="array" aca="1" ref="H3121" ca="1">IF(INDEX(I3121:Z3121,$H$1)=0,"",INDEX(I3121:Z3121,$H$1))</f>
        <v>Design Energy Output Rate</v>
      </c>
      <c r="I3121" s="12" t="s">
        <v>2904</v>
      </c>
      <c r="J3121" s="12" t="s">
        <v>2904</v>
      </c>
      <c r="K3121" s="12" t="s">
        <v>2904</v>
      </c>
      <c r="L3121" s="19"/>
      <c r="M3121" s="19"/>
      <c r="N3121" s="19"/>
      <c r="O3121" s="19"/>
    </row>
    <row r="3122" spans="1:15" ht="15" customHeight="1" x14ac:dyDescent="0.35">
      <c r="A3122" s="2" t="s">
        <v>3118</v>
      </c>
      <c r="B3122" s="255">
        <v>17</v>
      </c>
      <c r="C3122" s="2" t="s">
        <v>3118</v>
      </c>
      <c r="D3122" s="10">
        <v>1</v>
      </c>
      <c r="E3122" s="10">
        <v>4</v>
      </c>
      <c r="F3122" s="10" t="s">
        <v>712</v>
      </c>
      <c r="G3122" s="10" t="s">
        <v>696</v>
      </c>
      <c r="H3122" s="10" t="str" cm="1">
        <f t="array" aca="1" ref="H3122" ca="1">IF(INDEX(I3122:Z3122,$H$1)=0,"",INDEX(I3122:Z3122,$H$1))</f>
        <v>Value</v>
      </c>
      <c r="I3122" s="2" t="s">
        <v>6</v>
      </c>
      <c r="J3122" s="2" t="s">
        <v>6</v>
      </c>
      <c r="K3122" s="2" t="s">
        <v>6</v>
      </c>
      <c r="L3122" s="19"/>
      <c r="M3122" s="19"/>
      <c r="N3122" s="19"/>
      <c r="O3122" s="19"/>
    </row>
    <row r="3123" spans="1:15" ht="15" customHeight="1" x14ac:dyDescent="0.35">
      <c r="A3123" s="2" t="s">
        <v>3118</v>
      </c>
      <c r="B3123" s="255">
        <v>17</v>
      </c>
      <c r="C3123" s="2" t="s">
        <v>3118</v>
      </c>
      <c r="D3123" s="10">
        <v>1</v>
      </c>
      <c r="E3123" s="10">
        <v>4</v>
      </c>
      <c r="F3123" s="10" t="s">
        <v>712</v>
      </c>
      <c r="G3123" s="10" t="s">
        <v>696</v>
      </c>
      <c r="H3123" s="10" t="str" cm="1">
        <f t="array" aca="1" ref="H3123" ca="1">IF(INDEX(I3123:Z3123,$H$1)=0,"",INDEX(I3123:Z3123,$H$1))</f>
        <v>Units of Measure</v>
      </c>
      <c r="I3123" s="2" t="s">
        <v>331</v>
      </c>
      <c r="J3123" s="2" t="s">
        <v>331</v>
      </c>
      <c r="K3123" s="2" t="s">
        <v>331</v>
      </c>
      <c r="L3123" s="19"/>
      <c r="M3123" s="19"/>
      <c r="N3123" s="19"/>
      <c r="O3123" s="19"/>
    </row>
    <row r="3124" spans="1:15" ht="15" customHeight="1" x14ac:dyDescent="0.35">
      <c r="A3124" s="2" t="s">
        <v>3118</v>
      </c>
      <c r="B3124" s="255">
        <v>17</v>
      </c>
      <c r="C3124" s="2" t="s">
        <v>3118</v>
      </c>
      <c r="D3124" s="10">
        <v>1</v>
      </c>
      <c r="E3124" s="10">
        <v>4</v>
      </c>
      <c r="F3124" s="10" t="s">
        <v>712</v>
      </c>
      <c r="G3124" s="10" t="s">
        <v>696</v>
      </c>
      <c r="H3124" s="10" t="str" cm="1">
        <f t="array" aca="1" ref="H3124" ca="1">IF(INDEX(I3124:Z3124,$H$1)=0,"",INDEX(I3124:Z3124,$H$1))</f>
        <v>Thermal Efficiency (%)</v>
      </c>
      <c r="I3124" s="12" t="s">
        <v>3109</v>
      </c>
      <c r="J3124" s="12" t="s">
        <v>3109</v>
      </c>
      <c r="K3124" s="12" t="s">
        <v>3109</v>
      </c>
      <c r="L3124" s="19"/>
      <c r="M3124" s="19"/>
      <c r="N3124" s="19"/>
      <c r="O3124" s="19"/>
    </row>
    <row r="3125" spans="1:15" ht="15" customHeight="1" x14ac:dyDescent="0.35">
      <c r="A3125" s="2" t="s">
        <v>3118</v>
      </c>
      <c r="B3125" s="255">
        <v>17</v>
      </c>
      <c r="C3125" s="2" t="s">
        <v>3118</v>
      </c>
      <c r="D3125" s="10">
        <v>1</v>
      </c>
      <c r="E3125" s="10">
        <v>4</v>
      </c>
      <c r="F3125" s="10" t="s">
        <v>712</v>
      </c>
      <c r="G3125" s="10" t="s">
        <v>696</v>
      </c>
      <c r="H3125" s="10" t="str" cm="1">
        <f t="array" aca="1" ref="H3125" ca="1">IF(INDEX(I3125:Z3125,$H$1)=0,"",INDEX(I3125:Z3125,$H$1))</f>
        <v>Value (Optional)</v>
      </c>
      <c r="I3125" s="12" t="s">
        <v>3083</v>
      </c>
      <c r="J3125" s="12" t="s">
        <v>3083</v>
      </c>
      <c r="K3125" s="12" t="s">
        <v>3083</v>
      </c>
      <c r="L3125" s="19"/>
      <c r="M3125" s="19"/>
      <c r="N3125" s="19"/>
      <c r="O3125" s="19"/>
    </row>
    <row r="3126" spans="1:15" x14ac:dyDescent="0.35">
      <c r="A3126" s="2" t="s">
        <v>3118</v>
      </c>
      <c r="B3126" s="255">
        <v>17</v>
      </c>
      <c r="C3126" s="2" t="s">
        <v>3118</v>
      </c>
      <c r="D3126" s="10">
        <v>1</v>
      </c>
      <c r="E3126" s="10">
        <v>4</v>
      </c>
      <c r="F3126" s="10" t="s">
        <v>713</v>
      </c>
      <c r="G3126" s="10" t="s">
        <v>696</v>
      </c>
      <c r="H3126" s="10" t="str" cm="1">
        <f t="array" aca="1" ref="H3126" ca="1">IF(INDEX(I3126:Z3126,$H$1)=0,"",INDEX(I3126:Z3126,$H$1))</f>
        <v>Basis</v>
      </c>
      <c r="I3126" s="2" t="s">
        <v>2759</v>
      </c>
      <c r="J3126" s="2" t="s">
        <v>2759</v>
      </c>
      <c r="K3126" s="2" t="s">
        <v>2759</v>
      </c>
      <c r="L3126" s="19"/>
      <c r="M3126" s="19"/>
      <c r="N3126" s="19"/>
      <c r="O3126" s="19"/>
    </row>
    <row r="3127" spans="1:15" x14ac:dyDescent="0.35">
      <c r="A3127" s="2" t="s">
        <v>3118</v>
      </c>
      <c r="B3127" s="255">
        <v>17</v>
      </c>
      <c r="C3127" s="2" t="s">
        <v>3118</v>
      </c>
      <c r="D3127" s="10">
        <v>1</v>
      </c>
      <c r="E3127" s="10">
        <v>4</v>
      </c>
      <c r="F3127" s="10" t="s">
        <v>773</v>
      </c>
      <c r="G3127" s="10" t="s">
        <v>696</v>
      </c>
      <c r="H3127" s="10" t="str" cm="1">
        <f t="array" aca="1" ref="H3127" ca="1">IF(INDEX(I3127:Z3127,$H$1)=0,"",INDEX(I3127:Z3127,$H$1))</f>
        <v>Error Messages</v>
      </c>
      <c r="I3127" s="2" t="s">
        <v>326</v>
      </c>
      <c r="J3127" s="2" t="s">
        <v>326</v>
      </c>
      <c r="K3127" s="2" t="s">
        <v>326</v>
      </c>
      <c r="L3127" s="19"/>
      <c r="M3127" s="19"/>
      <c r="N3127" s="19"/>
      <c r="O3127" s="19"/>
    </row>
    <row r="3128" spans="1:15" x14ac:dyDescent="0.35">
      <c r="A3128" s="2" t="s">
        <v>3118</v>
      </c>
      <c r="B3128" s="255">
        <v>17</v>
      </c>
      <c r="C3128" s="2" t="s">
        <v>3118</v>
      </c>
      <c r="D3128" s="10">
        <v>2</v>
      </c>
      <c r="E3128" s="10">
        <v>18</v>
      </c>
      <c r="F3128" s="10" t="s">
        <v>687</v>
      </c>
      <c r="G3128" s="10" t="s">
        <v>688</v>
      </c>
      <c r="H3128" s="10" t="str" cm="1">
        <f t="array" aca="1" ref="H3128" ca="1">IF(INDEX(I3128:Z3128,$H$1)=0,"",INDEX(I3128:Z3128,$H$1))</f>
        <v>Compressor Engines</v>
      </c>
      <c r="I3128" s="2" t="s">
        <v>2756</v>
      </c>
      <c r="J3128" s="2" t="s">
        <v>2756</v>
      </c>
      <c r="K3128" s="2" t="s">
        <v>2756</v>
      </c>
      <c r="L3128" s="19"/>
      <c r="M3128" s="19"/>
      <c r="N3128" s="19"/>
      <c r="O3128" s="19"/>
    </row>
    <row r="3129" spans="1:15" x14ac:dyDescent="0.35">
      <c r="A3129" s="2" t="s">
        <v>3118</v>
      </c>
      <c r="B3129" s="255">
        <v>17</v>
      </c>
      <c r="C3129" s="2" t="s">
        <v>3118</v>
      </c>
      <c r="D3129" s="10">
        <v>2</v>
      </c>
      <c r="E3129" s="10">
        <v>18</v>
      </c>
      <c r="F3129" s="10" t="s">
        <v>687</v>
      </c>
      <c r="G3129" s="10" t="s">
        <v>696</v>
      </c>
      <c r="H3129" s="10" t="str" cm="1">
        <f t="array" aca="1" ref="H3129" ca="1">IF(INDEX(I3129:Z3129,$H$1)=0,"",INDEX(I3129:Z3129,$H$1))</f>
        <v>Engine Operating Hours and Performance</v>
      </c>
      <c r="I3129" s="2" t="s">
        <v>2913</v>
      </c>
      <c r="J3129" s="2" t="s">
        <v>2913</v>
      </c>
      <c r="K3129" s="2" t="s">
        <v>2913</v>
      </c>
      <c r="L3129" s="19"/>
      <c r="M3129" s="19"/>
      <c r="N3129" s="19"/>
      <c r="O3129" s="19"/>
    </row>
    <row r="3130" spans="1:15" x14ac:dyDescent="0.35">
      <c r="A3130" s="2" t="s">
        <v>3118</v>
      </c>
      <c r="B3130" s="255">
        <v>17</v>
      </c>
      <c r="C3130" s="2" t="s">
        <v>3118</v>
      </c>
      <c r="D3130" s="10">
        <v>2</v>
      </c>
      <c r="E3130" s="10">
        <v>18</v>
      </c>
      <c r="F3130" s="10" t="s">
        <v>687</v>
      </c>
      <c r="G3130" s="10" t="s">
        <v>696</v>
      </c>
      <c r="H3130" s="10" t="str" cm="1">
        <f t="array" aca="1" ref="H3130" ca="1">IF(INDEX(I3130:Z3130,$H$1)=0,"",INDEX(I3130:Z3130,$H$1))</f>
        <v>Method 1 Input Data (Engine Size &amp; Loading)</v>
      </c>
      <c r="I3130" s="12" t="s">
        <v>2914</v>
      </c>
      <c r="J3130" s="12" t="s">
        <v>2914</v>
      </c>
      <c r="K3130" s="12" t="s">
        <v>2914</v>
      </c>
      <c r="L3130" s="19"/>
      <c r="M3130" s="19"/>
      <c r="N3130" s="19"/>
      <c r="O3130" s="19"/>
    </row>
    <row r="3131" spans="1:15" x14ac:dyDescent="0.35">
      <c r="A3131" s="2" t="s">
        <v>3118</v>
      </c>
      <c r="B3131" s="255">
        <v>17</v>
      </c>
      <c r="C3131" s="2" t="s">
        <v>3118</v>
      </c>
      <c r="D3131" s="10">
        <v>2</v>
      </c>
      <c r="E3131" s="10">
        <v>18</v>
      </c>
      <c r="F3131" s="10" t="s">
        <v>687</v>
      </c>
      <c r="G3131" s="10" t="s">
        <v>696</v>
      </c>
      <c r="H3131" s="10" t="str" cm="1">
        <f t="array" aca="1" ref="H3131" ca="1">IF(INDEX(I3131:Z3131,$H$1)=0,"",INDEX(I3131:Z3131,$H$1))</f>
        <v>Method 2 Input Data (Compression Work Done)</v>
      </c>
      <c r="I3131" s="2" t="s">
        <v>2915</v>
      </c>
      <c r="J3131" s="2" t="s">
        <v>2915</v>
      </c>
      <c r="K3131" s="2" t="s">
        <v>2915</v>
      </c>
      <c r="L3131" s="19"/>
      <c r="M3131" s="19"/>
      <c r="N3131" s="19"/>
      <c r="O3131" s="19"/>
    </row>
    <row r="3132" spans="1:15" x14ac:dyDescent="0.35">
      <c r="A3132" s="2" t="s">
        <v>3118</v>
      </c>
      <c r="B3132" s="255">
        <v>17</v>
      </c>
      <c r="C3132" s="2" t="s">
        <v>3118</v>
      </c>
      <c r="D3132" s="10">
        <v>2</v>
      </c>
      <c r="E3132" s="10">
        <v>18</v>
      </c>
      <c r="F3132" s="10" t="s">
        <v>687</v>
      </c>
      <c r="G3132" s="10" t="s">
        <v>696</v>
      </c>
      <c r="H3132" s="10" t="str" cm="1">
        <f t="array" aca="1" ref="H3132" ca="1">IF(INDEX(I3132:Z3132,$H$1)=0,"",INDEX(I3132:Z3132,$H$1))</f>
        <v>Engine Thermal Efficiency</v>
      </c>
      <c r="I3132" s="2" t="s">
        <v>3272</v>
      </c>
      <c r="J3132" s="2" t="s">
        <v>3272</v>
      </c>
      <c r="K3132" s="2" t="s">
        <v>3272</v>
      </c>
      <c r="L3132" s="19"/>
      <c r="M3132" s="19"/>
      <c r="N3132" s="19"/>
      <c r="O3132" s="19"/>
    </row>
    <row r="3133" spans="1:15" x14ac:dyDescent="0.35">
      <c r="A3133" s="2" t="s">
        <v>3118</v>
      </c>
      <c r="B3133" s="255">
        <v>17</v>
      </c>
      <c r="C3133" s="2" t="s">
        <v>3118</v>
      </c>
      <c r="D3133" s="10">
        <v>2</v>
      </c>
      <c r="E3133" s="10">
        <v>18</v>
      </c>
      <c r="F3133" s="10" t="s">
        <v>687</v>
      </c>
      <c r="G3133" s="10" t="s">
        <v>696</v>
      </c>
      <c r="H3133" s="10" t="str" cm="1">
        <f t="array" aca="1" ref="H3133" ca="1">IF(INDEX(I3133:Z3133,$H$1)=0,"",INDEX(I3133:Z3133,$H$1))</f>
        <v>Value (%)</v>
      </c>
      <c r="I3133" s="12" t="s">
        <v>2800</v>
      </c>
      <c r="J3133" s="12" t="s">
        <v>2800</v>
      </c>
      <c r="K3133" s="12" t="s">
        <v>2800</v>
      </c>
      <c r="L3133" s="19"/>
      <c r="M3133" s="19"/>
      <c r="N3133" s="19"/>
      <c r="O3133" s="19"/>
    </row>
    <row r="3134" spans="1:15" x14ac:dyDescent="0.35">
      <c r="A3134" s="2" t="s">
        <v>3118</v>
      </c>
      <c r="B3134" s="255">
        <v>17</v>
      </c>
      <c r="C3134" s="2" t="s">
        <v>3118</v>
      </c>
      <c r="D3134" s="10">
        <v>2</v>
      </c>
      <c r="E3134" s="10">
        <v>18</v>
      </c>
      <c r="F3134" s="10" t="s">
        <v>687</v>
      </c>
      <c r="G3134" s="10" t="s">
        <v>696</v>
      </c>
      <c r="H3134" s="10" t="str" cm="1">
        <f t="array" aca="1" ref="H3134" ca="1">IF(INDEX(I3134:Z3134,$H$1)=0,"",INDEX(I3134:Z3134,$H$1))</f>
        <v>Basis</v>
      </c>
      <c r="I3134" s="12" t="s">
        <v>2759</v>
      </c>
      <c r="J3134" s="12" t="s">
        <v>2759</v>
      </c>
      <c r="K3134" s="12" t="s">
        <v>2759</v>
      </c>
      <c r="L3134" s="19"/>
      <c r="M3134" s="19"/>
      <c r="N3134" s="19"/>
      <c r="O3134" s="19"/>
    </row>
    <row r="3135" spans="1:15" x14ac:dyDescent="0.35">
      <c r="A3135" s="2" t="s">
        <v>3118</v>
      </c>
      <c r="B3135" s="255">
        <v>17</v>
      </c>
      <c r="C3135" s="2" t="s">
        <v>3118</v>
      </c>
      <c r="D3135" s="10">
        <v>2</v>
      </c>
      <c r="E3135" s="10">
        <v>18</v>
      </c>
      <c r="F3135" s="10" t="s">
        <v>687</v>
      </c>
      <c r="G3135" s="10" t="s">
        <v>696</v>
      </c>
      <c r="H3135" s="10" t="str" cm="1">
        <f t="array" aca="1" ref="H3135" ca="1">IF(INDEX(I3135:Z3135,$H$1)=0,"",INDEX(I3135:Z3135,$H$1))</f>
        <v>(Optional)</v>
      </c>
      <c r="I3135" s="2" t="s">
        <v>2912</v>
      </c>
      <c r="J3135" s="2" t="s">
        <v>2912</v>
      </c>
      <c r="K3135" s="2" t="s">
        <v>2912</v>
      </c>
      <c r="L3135" s="19"/>
      <c r="M3135" s="19"/>
      <c r="N3135" s="19"/>
      <c r="O3135" s="19"/>
    </row>
    <row r="3136" spans="1:15" x14ac:dyDescent="0.35">
      <c r="A3136" s="2" t="s">
        <v>3118</v>
      </c>
      <c r="B3136" s="255">
        <v>17</v>
      </c>
      <c r="C3136" s="2" t="s">
        <v>3118</v>
      </c>
      <c r="D3136" s="10">
        <v>2</v>
      </c>
      <c r="E3136" s="10">
        <v>18</v>
      </c>
      <c r="F3136" s="10" t="s">
        <v>687</v>
      </c>
      <c r="G3136" s="10" t="s">
        <v>696</v>
      </c>
      <c r="H3136" s="10" t="str" cm="1">
        <f t="array" aca="1" ref="H3136" ca="1">IF(INDEX(I3136:Z3136,$H$1)=0,"",INDEX(I3136:Z3136,$H$1))</f>
        <v>Maximum Rated Power Output of Engine</v>
      </c>
      <c r="I3136" s="12" t="s">
        <v>2803</v>
      </c>
      <c r="J3136" s="12" t="s">
        <v>2803</v>
      </c>
      <c r="K3136" s="12" t="s">
        <v>2803</v>
      </c>
      <c r="L3136" s="19"/>
      <c r="M3136" s="19"/>
      <c r="N3136" s="19"/>
      <c r="O3136" s="19"/>
    </row>
    <row r="3137" spans="1:15" x14ac:dyDescent="0.35">
      <c r="A3137" s="2" t="s">
        <v>3118</v>
      </c>
      <c r="B3137" s="255">
        <v>17</v>
      </c>
      <c r="C3137" s="2" t="s">
        <v>3118</v>
      </c>
      <c r="D3137" s="10">
        <v>2</v>
      </c>
      <c r="E3137" s="10">
        <v>18</v>
      </c>
      <c r="F3137" s="10" t="s">
        <v>687</v>
      </c>
      <c r="G3137" s="10" t="s">
        <v>696</v>
      </c>
      <c r="H3137" s="10" t="str" cm="1">
        <f t="array" aca="1" ref="H3137" ca="1">IF(INDEX(I3137:Z3137,$H$1)=0,"",INDEX(I3137:Z3137,$H$1))</f>
        <v>Value</v>
      </c>
      <c r="I3137" s="12" t="s">
        <v>6</v>
      </c>
      <c r="J3137" s="12" t="s">
        <v>6</v>
      </c>
      <c r="K3137" s="12" t="s">
        <v>6</v>
      </c>
      <c r="L3137" s="19"/>
      <c r="M3137" s="19"/>
      <c r="N3137" s="19"/>
      <c r="O3137" s="19"/>
    </row>
    <row r="3138" spans="1:15" x14ac:dyDescent="0.35">
      <c r="A3138" s="2" t="s">
        <v>3118</v>
      </c>
      <c r="B3138" s="255">
        <v>17</v>
      </c>
      <c r="C3138" s="2" t="s">
        <v>3118</v>
      </c>
      <c r="D3138" s="10">
        <v>2</v>
      </c>
      <c r="E3138" s="10">
        <v>18</v>
      </c>
      <c r="F3138" s="10" t="s">
        <v>687</v>
      </c>
      <c r="G3138" s="10" t="s">
        <v>696</v>
      </c>
      <c r="H3138" s="10" t="str" cm="1">
        <f t="array" aca="1" ref="H3138" ca="1">IF(INDEX(I3138:Z3138,$H$1)=0,"",INDEX(I3138:Z3138,$H$1))</f>
        <v>Units of Measure</v>
      </c>
      <c r="I3138" s="12" t="s">
        <v>331</v>
      </c>
      <c r="J3138" s="12" t="s">
        <v>331</v>
      </c>
      <c r="K3138" s="12" t="s">
        <v>331</v>
      </c>
      <c r="L3138" s="19"/>
      <c r="M3138" s="19"/>
      <c r="N3138" s="19"/>
      <c r="O3138" s="19"/>
    </row>
    <row r="3139" spans="1:15" x14ac:dyDescent="0.35">
      <c r="A3139" s="2" t="s">
        <v>3118</v>
      </c>
      <c r="B3139" s="255">
        <v>17</v>
      </c>
      <c r="C3139" s="2" t="s">
        <v>3118</v>
      </c>
      <c r="D3139" s="10">
        <v>2</v>
      </c>
      <c r="E3139" s="10">
        <v>18</v>
      </c>
      <c r="F3139" s="10" t="s">
        <v>687</v>
      </c>
      <c r="G3139" s="10" t="s">
        <v>696</v>
      </c>
      <c r="H3139" s="10" t="str" cm="1">
        <f t="array" aca="1" ref="H3139" ca="1">IF(INDEX(I3139:Z3139,$H$1)=0,"",INDEX(I3139:Z3139,$H$1))</f>
        <v>Gas Throughput</v>
      </c>
      <c r="I3139" s="2" t="s">
        <v>2760</v>
      </c>
      <c r="J3139" s="2" t="s">
        <v>2760</v>
      </c>
      <c r="K3139" s="2" t="s">
        <v>2760</v>
      </c>
      <c r="L3139" s="19"/>
      <c r="M3139" s="19"/>
      <c r="N3139" s="19"/>
      <c r="O3139" s="19"/>
    </row>
    <row r="3140" spans="1:15" x14ac:dyDescent="0.35">
      <c r="A3140" s="2" t="s">
        <v>3118</v>
      </c>
      <c r="B3140" s="255">
        <v>17</v>
      </c>
      <c r="C3140" s="2" t="s">
        <v>3118</v>
      </c>
      <c r="D3140" s="10">
        <v>2</v>
      </c>
      <c r="E3140" s="10">
        <v>18</v>
      </c>
      <c r="F3140" s="10" t="s">
        <v>687</v>
      </c>
      <c r="G3140" s="10" t="s">
        <v>696</v>
      </c>
      <c r="H3140" s="10" t="str" cm="1">
        <f t="array" aca="1" ref="H3140" ca="1">IF(INDEX(I3140:Z3140,$H$1)=0,"",INDEX(I3140:Z3140,$H$1))</f>
        <v>Operating Pressure (Gauge)</v>
      </c>
      <c r="I3140" s="2" t="s">
        <v>3046</v>
      </c>
      <c r="J3140" s="2" t="s">
        <v>3046</v>
      </c>
      <c r="K3140" s="2" t="s">
        <v>3046</v>
      </c>
      <c r="L3140" s="19"/>
      <c r="M3140" s="19"/>
      <c r="N3140" s="19"/>
      <c r="O3140" s="19"/>
    </row>
    <row r="3141" spans="1:15" x14ac:dyDescent="0.35">
      <c r="A3141" s="2" t="s">
        <v>3118</v>
      </c>
      <c r="B3141" s="255">
        <v>17</v>
      </c>
      <c r="C3141" s="2" t="s">
        <v>3118</v>
      </c>
      <c r="D3141" s="10">
        <v>2</v>
      </c>
      <c r="E3141" s="10">
        <v>18</v>
      </c>
      <c r="F3141" s="10" t="s">
        <v>687</v>
      </c>
      <c r="G3141" s="10" t="s">
        <v>696</v>
      </c>
      <c r="H3141" s="10" t="str" cm="1">
        <f t="array" aca="1" ref="H3141" ca="1">IF(INDEX(I3141:Z3141,$H$1)=0,"",INDEX(I3141:Z3141,$H$1))</f>
        <v>Operating Temperature</v>
      </c>
      <c r="I3141" s="2" t="s">
        <v>2789</v>
      </c>
      <c r="J3141" s="2" t="s">
        <v>2789</v>
      </c>
      <c r="K3141" s="2" t="s">
        <v>2789</v>
      </c>
      <c r="L3141" s="19"/>
      <c r="M3141" s="19"/>
      <c r="N3141" s="19"/>
      <c r="O3141" s="19"/>
    </row>
    <row r="3142" spans="1:15" x14ac:dyDescent="0.35">
      <c r="A3142" s="2" t="s">
        <v>3118</v>
      </c>
      <c r="B3142" s="255">
        <v>17</v>
      </c>
      <c r="C3142" s="2" t="s">
        <v>3118</v>
      </c>
      <c r="D3142" s="10">
        <v>2</v>
      </c>
      <c r="E3142" s="10">
        <v>18</v>
      </c>
      <c r="F3142" s="10" t="s">
        <v>687</v>
      </c>
      <c r="G3142" s="10" t="s">
        <v>696</v>
      </c>
      <c r="H3142" s="10" t="str" cm="1">
        <f t="array" aca="1" ref="H3142" ca="1">IF(INDEX(I3142:Z3142,$H$1)=0,"",INDEX(I3142:Z3142,$H$1))</f>
        <v xml:space="preserve">Inlet </v>
      </c>
      <c r="I3142" s="2" t="s">
        <v>2801</v>
      </c>
      <c r="J3142" s="2" t="s">
        <v>2801</v>
      </c>
      <c r="K3142" s="2" t="s">
        <v>2801</v>
      </c>
      <c r="L3142" s="19"/>
      <c r="M3142" s="19"/>
      <c r="N3142" s="19"/>
      <c r="O3142" s="19"/>
    </row>
    <row r="3143" spans="1:15" x14ac:dyDescent="0.35">
      <c r="A3143" s="2" t="s">
        <v>3118</v>
      </c>
      <c r="B3143" s="255">
        <v>17</v>
      </c>
      <c r="C3143" s="2" t="s">
        <v>3118</v>
      </c>
      <c r="D3143" s="10">
        <v>2</v>
      </c>
      <c r="E3143" s="10">
        <v>18</v>
      </c>
      <c r="F3143" s="10" t="s">
        <v>687</v>
      </c>
      <c r="G3143" s="10" t="s">
        <v>696</v>
      </c>
      <c r="H3143" s="10" t="str" cm="1">
        <f t="array" aca="1" ref="H3143" ca="1">IF(INDEX(I3143:Z3143,$H$1)=0,"",INDEX(I3143:Z3143,$H$1))</f>
        <v>Final Outlet</v>
      </c>
      <c r="I3143" s="2" t="s">
        <v>2802</v>
      </c>
      <c r="J3143" s="2" t="s">
        <v>2802</v>
      </c>
      <c r="K3143" s="2" t="s">
        <v>2802</v>
      </c>
      <c r="L3143" s="19"/>
      <c r="M3143" s="19"/>
      <c r="N3143" s="19"/>
      <c r="O3143" s="19"/>
    </row>
    <row r="3144" spans="1:15" x14ac:dyDescent="0.35">
      <c r="A3144" s="2" t="s">
        <v>3118</v>
      </c>
      <c r="B3144" s="255">
        <v>17</v>
      </c>
      <c r="C3144" s="2" t="s">
        <v>3118</v>
      </c>
      <c r="D3144" s="10">
        <v>2</v>
      </c>
      <c r="E3144" s="10">
        <v>18</v>
      </c>
      <c r="F3144" s="10" t="s">
        <v>687</v>
      </c>
      <c r="G3144" s="10" t="s">
        <v>696</v>
      </c>
      <c r="H3144" s="10" t="str" cm="1">
        <f t="array" aca="1" ref="H3144" ca="1">IF(INDEX(I3144:Z3144,$H$1)=0,"",INDEX(I3144:Z3144,$H$1))</f>
        <v>Method 1</v>
      </c>
      <c r="I3144" s="2" t="s">
        <v>2909</v>
      </c>
      <c r="J3144" s="2" t="s">
        <v>2909</v>
      </c>
      <c r="K3144" s="2" t="s">
        <v>2909</v>
      </c>
      <c r="L3144" s="19"/>
      <c r="M3144" s="19"/>
      <c r="N3144" s="19"/>
      <c r="O3144" s="19"/>
    </row>
    <row r="3145" spans="1:15" x14ac:dyDescent="0.35">
      <c r="A3145" s="2" t="s">
        <v>3118</v>
      </c>
      <c r="B3145" s="255">
        <v>17</v>
      </c>
      <c r="C3145" s="2" t="s">
        <v>3118</v>
      </c>
      <c r="D3145" s="10">
        <v>2</v>
      </c>
      <c r="E3145" s="10">
        <v>18</v>
      </c>
      <c r="F3145" s="10" t="s">
        <v>687</v>
      </c>
      <c r="G3145" s="10" t="s">
        <v>696</v>
      </c>
      <c r="H3145" s="10" t="str" cm="1">
        <f t="array" aca="1" ref="H3145" ca="1">IF(INDEX(I3145:Z3145,$H$1)=0,"",INDEX(I3145:Z3145,$H$1))</f>
        <v>Method 2</v>
      </c>
      <c r="I3145" s="2" t="s">
        <v>2911</v>
      </c>
      <c r="J3145" s="2" t="s">
        <v>2911</v>
      </c>
      <c r="K3145" s="2" t="s">
        <v>2911</v>
      </c>
      <c r="L3145" s="19"/>
      <c r="M3145" s="19"/>
      <c r="N3145" s="19"/>
      <c r="O3145" s="19"/>
    </row>
    <row r="3146" spans="1:15" x14ac:dyDescent="0.35">
      <c r="A3146" s="2" t="s">
        <v>3118</v>
      </c>
      <c r="B3146" s="255">
        <v>17</v>
      </c>
      <c r="C3146" s="2" t="s">
        <v>3118</v>
      </c>
      <c r="D3146" s="10">
        <v>2</v>
      </c>
      <c r="E3146" s="10">
        <v>18</v>
      </c>
      <c r="F3146" s="10" t="s">
        <v>687</v>
      </c>
      <c r="G3146" s="10" t="s">
        <v>696</v>
      </c>
      <c r="H3146" s="10" t="str" cm="1">
        <f t="array" aca="1" ref="H3146" ca="1">IF(INDEX(I3146:Z3146,$H$1)=0,"",INDEX(I3146:Z3146,$H$1))</f>
        <v>Method 2 Input Data (Electricity Generated)</v>
      </c>
      <c r="I3146" s="12" t="s">
        <v>2917</v>
      </c>
      <c r="J3146" s="12" t="s">
        <v>2917</v>
      </c>
      <c r="K3146" s="12" t="s">
        <v>2917</v>
      </c>
      <c r="L3146" s="19"/>
      <c r="M3146" s="19"/>
      <c r="N3146" s="19"/>
      <c r="O3146" s="19"/>
    </row>
    <row r="3147" spans="1:15" x14ac:dyDescent="0.35">
      <c r="A3147" s="2" t="s">
        <v>3118</v>
      </c>
      <c r="B3147" s="255">
        <v>17</v>
      </c>
      <c r="C3147" s="2" t="s">
        <v>3118</v>
      </c>
      <c r="D3147" s="10">
        <v>2</v>
      </c>
      <c r="E3147" s="10">
        <v>18</v>
      </c>
      <c r="F3147" s="10" t="s">
        <v>687</v>
      </c>
      <c r="G3147" s="10" t="s">
        <v>696</v>
      </c>
      <c r="H3147" s="10" t="str" cm="1">
        <f t="array" aca="1" ref="H3147" ca="1">IF(INDEX(I3147:Z3147,$H$1)=0,"",INDEX(I3147:Z3147,$H$1))</f>
        <v>Electricity Produced</v>
      </c>
      <c r="I3147" s="2" t="s">
        <v>2916</v>
      </c>
      <c r="J3147" s="2" t="s">
        <v>2916</v>
      </c>
      <c r="K3147" s="2" t="s">
        <v>2916</v>
      </c>
      <c r="L3147" s="19"/>
      <c r="M3147" s="19"/>
      <c r="N3147" s="19"/>
      <c r="O3147" s="19"/>
    </row>
    <row r="3148" spans="1:15" x14ac:dyDescent="0.35">
      <c r="A3148" s="2" t="s">
        <v>3118</v>
      </c>
      <c r="B3148" s="255">
        <v>17</v>
      </c>
      <c r="C3148" s="2" t="s">
        <v>3118</v>
      </c>
      <c r="D3148" s="10">
        <v>3</v>
      </c>
      <c r="E3148" s="10">
        <v>34</v>
      </c>
      <c r="F3148" s="10" t="s">
        <v>687</v>
      </c>
      <c r="G3148" s="10" t="s">
        <v>688</v>
      </c>
      <c r="H3148" s="10" t="str" cm="1">
        <f t="array" aca="1" ref="H3148" ca="1">IF(INDEX(I3148:Z3148,$H$1)=0,"",INDEX(I3148:Z3148,$H$1))</f>
        <v>Generator Engines</v>
      </c>
      <c r="I3148" s="2" t="s">
        <v>2758</v>
      </c>
      <c r="J3148" s="2" t="s">
        <v>2758</v>
      </c>
      <c r="K3148" s="2" t="s">
        <v>2758</v>
      </c>
      <c r="L3148" s="19"/>
      <c r="M3148" s="19"/>
      <c r="N3148" s="19"/>
      <c r="O3148" s="19"/>
    </row>
    <row r="3149" spans="1:15" x14ac:dyDescent="0.35">
      <c r="A3149" s="2" t="s">
        <v>3121</v>
      </c>
      <c r="B3149" s="255">
        <v>18</v>
      </c>
      <c r="C3149" s="2" t="s">
        <v>3121</v>
      </c>
      <c r="D3149" s="10">
        <v>3</v>
      </c>
      <c r="E3149" s="10">
        <v>1</v>
      </c>
      <c r="F3149" s="10" t="s">
        <v>687</v>
      </c>
      <c r="G3149" s="10" t="s">
        <v>688</v>
      </c>
      <c r="H3149" s="10" t="str" cm="1">
        <f t="array" aca="1" ref="H3149" ca="1">IF(INDEX(I3149:Z3149,$H$1)=0,"",INDEX(I3149:Z3149,$H$1))</f>
        <v>"FACILITY-LEVEL FLASH-GAS EMISSIONS" SETUP</v>
      </c>
      <c r="I3149" s="2" t="s">
        <v>2806</v>
      </c>
      <c r="J3149" s="2" t="s">
        <v>2806</v>
      </c>
      <c r="K3149" s="2" t="s">
        <v>2806</v>
      </c>
      <c r="L3149" s="19"/>
      <c r="M3149" s="19"/>
      <c r="N3149" s="19"/>
      <c r="O3149" s="19"/>
    </row>
    <row r="3150" spans="1:15" x14ac:dyDescent="0.35">
      <c r="A3150" s="2" t="s">
        <v>3121</v>
      </c>
      <c r="B3150" s="255">
        <v>18</v>
      </c>
      <c r="C3150" s="2" t="s">
        <v>3121</v>
      </c>
      <c r="D3150" s="10">
        <v>3</v>
      </c>
      <c r="E3150" s="10">
        <v>1</v>
      </c>
      <c r="F3150" s="10" t="s">
        <v>687</v>
      </c>
      <c r="G3150" s="10" t="s">
        <v>696</v>
      </c>
      <c r="H3150" s="10" t="str" cm="1">
        <f t="array" aca="1" ref="H3150" ca="1">IF(INDEX(I3150:Z3150,$H$1)=0,"",INDEX(I3150:Z3150,$H$1))</f>
        <v>Storage System</v>
      </c>
      <c r="I3150" s="2" t="s">
        <v>2808</v>
      </c>
      <c r="J3150" s="2" t="s">
        <v>2808</v>
      </c>
      <c r="K3150" s="2" t="s">
        <v>2808</v>
      </c>
      <c r="L3150" s="19"/>
      <c r="M3150" s="19"/>
      <c r="N3150" s="19"/>
      <c r="O3150" s="19"/>
    </row>
    <row r="3151" spans="1:15" x14ac:dyDescent="0.35">
      <c r="A3151" s="2" t="s">
        <v>3121</v>
      </c>
      <c r="B3151" s="255">
        <v>18</v>
      </c>
      <c r="C3151" s="2" t="s">
        <v>3121</v>
      </c>
      <c r="D3151" s="10">
        <v>3</v>
      </c>
      <c r="E3151" s="10">
        <v>1</v>
      </c>
      <c r="F3151" s="10" t="s">
        <v>687</v>
      </c>
      <c r="G3151" s="10" t="s">
        <v>696</v>
      </c>
      <c r="H3151" s="10" t="str" cm="1">
        <f t="array" aca="1" ref="H3151" ca="1">IF(INDEX(I3151:Z3151,$H$1)=0,"",INDEX(I3151:Z3151,$H$1))</f>
        <v>Flashing Losses</v>
      </c>
      <c r="I3151" s="2" t="s">
        <v>2807</v>
      </c>
      <c r="J3151" s="2" t="s">
        <v>2807</v>
      </c>
      <c r="K3151" s="2" t="s">
        <v>2807</v>
      </c>
      <c r="L3151" s="19"/>
      <c r="M3151" s="19"/>
      <c r="N3151" s="19"/>
      <c r="O3151" s="19"/>
    </row>
    <row r="3152" spans="1:15" x14ac:dyDescent="0.35">
      <c r="A3152" s="2" t="s">
        <v>3121</v>
      </c>
      <c r="B3152" s="255">
        <v>18</v>
      </c>
      <c r="C3152" s="2" t="s">
        <v>3121</v>
      </c>
      <c r="D3152" s="10">
        <v>3</v>
      </c>
      <c r="E3152" s="10">
        <v>1</v>
      </c>
      <c r="F3152" s="10" t="s">
        <v>687</v>
      </c>
      <c r="G3152" s="10" t="s">
        <v>696</v>
      </c>
      <c r="H3152" s="10" t="str" cm="1">
        <f t="array" aca="1" ref="H3152" ca="1">IF(INDEX(I3152:Z3152,$H$1)=0,"",INDEX(I3152:Z3152,$H$1))</f>
        <v>Error Message</v>
      </c>
      <c r="I3152" s="2" t="s">
        <v>653</v>
      </c>
      <c r="J3152" s="2" t="s">
        <v>653</v>
      </c>
      <c r="K3152" s="2" t="s">
        <v>653</v>
      </c>
      <c r="L3152" s="19"/>
      <c r="M3152" s="19"/>
      <c r="N3152" s="19"/>
      <c r="O3152" s="19"/>
    </row>
    <row r="3153" spans="1:15" x14ac:dyDescent="0.35">
      <c r="A3153" s="2" t="s">
        <v>3121</v>
      </c>
      <c r="B3153" s="255">
        <v>18</v>
      </c>
      <c r="C3153" s="2" t="s">
        <v>3121</v>
      </c>
      <c r="D3153" s="10">
        <v>3</v>
      </c>
      <c r="E3153" s="10">
        <v>1</v>
      </c>
      <c r="F3153" s="10" t="s">
        <v>687</v>
      </c>
      <c r="G3153" s="10" t="s">
        <v>696</v>
      </c>
      <c r="H3153" s="10" t="str" cm="1">
        <f t="array" aca="1" ref="H3153" ca="1">IF(INDEX(I3153:Z3153,$H$1)=0,"",INDEX(I3153:Z3153,$H$1))</f>
        <v>Product</v>
      </c>
      <c r="I3153" s="2" t="s">
        <v>2809</v>
      </c>
      <c r="J3153" s="2" t="s">
        <v>2809</v>
      </c>
      <c r="K3153" s="2" t="s">
        <v>2809</v>
      </c>
      <c r="L3153" s="19"/>
      <c r="M3153" s="19"/>
      <c r="N3153" s="19"/>
      <c r="O3153" s="19"/>
    </row>
    <row r="3154" spans="1:15" x14ac:dyDescent="0.35">
      <c r="A3154" s="2" t="s">
        <v>3121</v>
      </c>
      <c r="B3154" s="255">
        <v>18</v>
      </c>
      <c r="C3154" s="2" t="s">
        <v>3121</v>
      </c>
      <c r="D3154" s="10">
        <v>3</v>
      </c>
      <c r="E3154" s="10">
        <v>1</v>
      </c>
      <c r="F3154" s="10" t="s">
        <v>687</v>
      </c>
      <c r="G3154" s="10" t="s">
        <v>696</v>
      </c>
      <c r="H3154" s="10" t="str" cm="1">
        <f t="array" aca="1" ref="H3154" ca="1">IF(INDEX(I3154:Z3154,$H$1)=0,"",INDEX(I3154:Z3154,$H$1))</f>
        <v xml:space="preserve">Receipts </v>
      </c>
      <c r="I3154" s="2" t="s">
        <v>2810</v>
      </c>
      <c r="J3154" s="2" t="s">
        <v>2810</v>
      </c>
      <c r="K3154" s="2" t="s">
        <v>2810</v>
      </c>
      <c r="L3154" s="19"/>
      <c r="M3154" s="19"/>
      <c r="N3154" s="19"/>
      <c r="O3154" s="19"/>
    </row>
    <row r="3155" spans="1:15" x14ac:dyDescent="0.35">
      <c r="A3155" s="2" t="s">
        <v>3121</v>
      </c>
      <c r="B3155" s="255">
        <v>18</v>
      </c>
      <c r="C3155" s="2" t="s">
        <v>3121</v>
      </c>
      <c r="D3155" s="10">
        <v>3</v>
      </c>
      <c r="E3155" s="10">
        <v>1</v>
      </c>
      <c r="F3155" s="10" t="s">
        <v>687</v>
      </c>
      <c r="G3155" s="10" t="s">
        <v>696</v>
      </c>
      <c r="H3155" s="10" t="str" cm="1">
        <f t="array" aca="1" ref="H3155" ca="1">IF(INDEX(I3155:Z3155,$H$1)=0,"",INDEX(I3155:Z3155,$H$1))</f>
        <v>Units of Measure</v>
      </c>
      <c r="I3155" s="2" t="s">
        <v>331</v>
      </c>
      <c r="J3155" s="2" t="s">
        <v>331</v>
      </c>
      <c r="K3155" s="2" t="s">
        <v>331</v>
      </c>
      <c r="L3155" s="19"/>
      <c r="M3155" s="19"/>
      <c r="N3155" s="19"/>
      <c r="O3155" s="19"/>
    </row>
    <row r="3156" spans="1:15" x14ac:dyDescent="0.35">
      <c r="A3156" s="2" t="s">
        <v>3121</v>
      </c>
      <c r="B3156" s="255">
        <v>18</v>
      </c>
      <c r="C3156" s="2" t="s">
        <v>3121</v>
      </c>
      <c r="D3156" s="10">
        <v>3</v>
      </c>
      <c r="E3156" s="10">
        <v>1</v>
      </c>
      <c r="F3156" s="10" t="s">
        <v>687</v>
      </c>
      <c r="G3156" s="10" t="s">
        <v>696</v>
      </c>
      <c r="H3156" s="10" t="str" cm="1">
        <f t="array" aca="1" ref="H3156" ca="1">IF(INDEX(I3156:Z3156,$H$1)=0,"",INDEX(I3156:Z3156,$H$1))</f>
        <v>Measured or Reported</v>
      </c>
      <c r="I3156" s="2" t="s">
        <v>2795</v>
      </c>
      <c r="J3156" s="2" t="s">
        <v>2795</v>
      </c>
      <c r="K3156" s="2" t="s">
        <v>2795</v>
      </c>
      <c r="L3156" s="19"/>
      <c r="M3156" s="19"/>
      <c r="N3156" s="19"/>
      <c r="O3156" s="19"/>
    </row>
    <row r="3157" spans="1:15" x14ac:dyDescent="0.35">
      <c r="A3157" s="2" t="s">
        <v>3121</v>
      </c>
      <c r="B3157" s="255">
        <v>18</v>
      </c>
      <c r="C3157" s="2" t="s">
        <v>3121</v>
      </c>
      <c r="D3157" s="10">
        <v>3</v>
      </c>
      <c r="E3157" s="10">
        <v>1</v>
      </c>
      <c r="F3157" s="10" t="s">
        <v>687</v>
      </c>
      <c r="G3157" s="10" t="s">
        <v>696</v>
      </c>
      <c r="H3157" s="10" t="str" cm="1">
        <f t="array" aca="1" ref="H3157" ca="1">IF(INDEX(I3157:Z3157,$H$1)=0,"",INDEX(I3157:Z3157,$H$1))</f>
        <v>Estimated</v>
      </c>
      <c r="I3157" s="2" t="s">
        <v>269</v>
      </c>
      <c r="J3157" s="2" t="s">
        <v>269</v>
      </c>
      <c r="K3157" s="2" t="s">
        <v>269</v>
      </c>
      <c r="L3157" s="19"/>
      <c r="M3157" s="19"/>
      <c r="N3157" s="19"/>
      <c r="O3157" s="19"/>
    </row>
    <row r="3158" spans="1:15" x14ac:dyDescent="0.35">
      <c r="A3158" s="2" t="s">
        <v>3121</v>
      </c>
      <c r="B3158" s="255">
        <v>18</v>
      </c>
      <c r="C3158" s="2" t="s">
        <v>3121</v>
      </c>
      <c r="D3158" s="10">
        <v>3</v>
      </c>
      <c r="E3158" s="10">
        <v>1</v>
      </c>
      <c r="F3158" s="10" t="s">
        <v>687</v>
      </c>
      <c r="G3158" s="10" t="s">
        <v>696</v>
      </c>
      <c r="H3158" s="10" t="str" cm="1">
        <f t="array" aca="1" ref="H3158" ca="1">IF(INDEX(I3158:Z3158,$H$1)=0,"",INDEX(I3158:Z3158,$H$1))</f>
        <v>Value Used</v>
      </c>
      <c r="I3158" s="2" t="s">
        <v>2799</v>
      </c>
      <c r="J3158" s="2" t="s">
        <v>2799</v>
      </c>
      <c r="K3158" s="2" t="s">
        <v>2799</v>
      </c>
      <c r="L3158" s="19"/>
      <c r="M3158" s="19"/>
      <c r="N3158" s="19"/>
      <c r="O3158" s="19"/>
    </row>
    <row r="3159" spans="1:15" x14ac:dyDescent="0.35">
      <c r="A3159" s="2" t="s">
        <v>3121</v>
      </c>
      <c r="B3159" s="255">
        <v>18</v>
      </c>
      <c r="C3159" s="2" t="s">
        <v>3121</v>
      </c>
      <c r="D3159" s="10">
        <v>3</v>
      </c>
      <c r="E3159" s="10">
        <v>1</v>
      </c>
      <c r="F3159" s="10" t="s">
        <v>687</v>
      </c>
      <c r="G3159" s="10" t="s">
        <v>696</v>
      </c>
      <c r="H3159" s="10" t="str" cm="1">
        <f t="array" aca="1" ref="H3159" ca="1">IF(INDEX(I3159:Z3159,$H$1)=0,"",INDEX(I3159:Z3159,$H$1))</f>
        <v>Units of Measure</v>
      </c>
      <c r="I3159" s="2" t="s">
        <v>331</v>
      </c>
      <c r="J3159" s="2" t="s">
        <v>331</v>
      </c>
      <c r="K3159" s="2" t="s">
        <v>331</v>
      </c>
      <c r="L3159" s="19"/>
      <c r="M3159" s="19"/>
      <c r="N3159" s="19"/>
      <c r="O3159" s="19"/>
    </row>
    <row r="3160" spans="1:15" x14ac:dyDescent="0.35">
      <c r="A3160" s="2" t="s">
        <v>3121</v>
      </c>
      <c r="B3160" s="255">
        <v>18</v>
      </c>
      <c r="C3160" s="2" t="s">
        <v>3121</v>
      </c>
      <c r="D3160" s="10">
        <v>3</v>
      </c>
      <c r="E3160" s="10">
        <v>1</v>
      </c>
      <c r="F3160" s="10" t="s">
        <v>687</v>
      </c>
      <c r="G3160" s="10" t="s">
        <v>696</v>
      </c>
      <c r="H3160" s="10" t="str" cm="1">
        <f t="array" aca="1" ref="H3160" ca="1">IF(INDEX(I3160:Z3160,$H$1)=0,"",INDEX(I3160:Z3160,$H$1))</f>
        <v>Crude Oil</v>
      </c>
      <c r="I3160" s="273" t="s">
        <v>52</v>
      </c>
      <c r="J3160" s="273" t="s">
        <v>52</v>
      </c>
      <c r="K3160" s="273" t="s">
        <v>52</v>
      </c>
      <c r="L3160" s="19"/>
      <c r="M3160" s="19"/>
      <c r="N3160" s="19"/>
      <c r="O3160" s="19"/>
    </row>
    <row r="3161" spans="1:15" x14ac:dyDescent="0.35">
      <c r="A3161" s="2" t="s">
        <v>3121</v>
      </c>
      <c r="B3161" s="255">
        <v>18</v>
      </c>
      <c r="C3161" s="2" t="s">
        <v>3121</v>
      </c>
      <c r="D3161" s="10">
        <v>3</v>
      </c>
      <c r="E3161" s="10">
        <v>1</v>
      </c>
      <c r="F3161" s="10" t="s">
        <v>687</v>
      </c>
      <c r="G3161" s="10" t="s">
        <v>696</v>
      </c>
      <c r="H3161" s="10" t="str" cm="1">
        <f t="array" aca="1" ref="H3161" ca="1">IF(INDEX(I3161:Z3161,$H$1)=0,"",INDEX(I3161:Z3161,$H$1))</f>
        <v>Produced Water</v>
      </c>
      <c r="I3161" s="273" t="s">
        <v>71</v>
      </c>
      <c r="J3161" s="273" t="s">
        <v>71</v>
      </c>
      <c r="K3161" s="273" t="s">
        <v>71</v>
      </c>
      <c r="L3161" s="19"/>
      <c r="M3161" s="19"/>
      <c r="N3161" s="19"/>
      <c r="O3161" s="19"/>
    </row>
    <row r="3162" spans="1:15" x14ac:dyDescent="0.35">
      <c r="A3162" s="2" t="s">
        <v>3121</v>
      </c>
      <c r="B3162" s="255">
        <v>18</v>
      </c>
      <c r="C3162" s="2" t="s">
        <v>3121</v>
      </c>
      <c r="D3162" s="10">
        <v>3</v>
      </c>
      <c r="E3162" s="10">
        <v>1</v>
      </c>
      <c r="F3162" s="10" t="s">
        <v>687</v>
      </c>
      <c r="G3162" s="10" t="s">
        <v>696</v>
      </c>
      <c r="H3162" s="10" t="str" cm="1">
        <f t="array" aca="1" ref="H3162" ca="1">IF(INDEX(I3162:Z3162,$H$1)=0,"",INDEX(I3162:Z3162,$H$1))</f>
        <v>Total</v>
      </c>
      <c r="I3162" s="2" t="s">
        <v>257</v>
      </c>
      <c r="J3162" s="2" t="s">
        <v>257</v>
      </c>
      <c r="K3162" s="2" t="s">
        <v>257</v>
      </c>
      <c r="L3162" s="19"/>
      <c r="M3162" s="19"/>
      <c r="N3162" s="19"/>
      <c r="O3162" s="19"/>
    </row>
    <row r="3163" spans="1:15" x14ac:dyDescent="0.35">
      <c r="A3163" s="2" t="s">
        <v>3121</v>
      </c>
      <c r="B3163" s="255">
        <v>18</v>
      </c>
      <c r="C3163" s="2" t="s">
        <v>3121</v>
      </c>
      <c r="D3163" s="10">
        <v>3</v>
      </c>
      <c r="E3163" s="10">
        <v>1</v>
      </c>
      <c r="F3163" s="10" t="s">
        <v>687</v>
      </c>
      <c r="G3163" s="10" t="s">
        <v>696</v>
      </c>
      <c r="H3163" s="10" t="str" cm="1">
        <f t="array" aca="1" ref="H3163" ca="1">IF(INDEX(I3163:Z3163,$H$1)=0,"",INDEX(I3163:Z3163,$H$1))</f>
        <v>Note: If there is no produced oil, then flashing losses from the produced water are assumed to be negligible.</v>
      </c>
      <c r="I3163" s="2" t="s">
        <v>3273</v>
      </c>
      <c r="J3163" s="2" t="s">
        <v>3273</v>
      </c>
      <c r="K3163" s="2" t="s">
        <v>3273</v>
      </c>
      <c r="L3163" s="19"/>
      <c r="M3163" s="19"/>
      <c r="N3163" s="19"/>
      <c r="O3163" s="19"/>
    </row>
    <row r="3164" spans="1:15" x14ac:dyDescent="0.35">
      <c r="A3164" s="2" t="s">
        <v>3121</v>
      </c>
      <c r="B3164" s="255">
        <v>18</v>
      </c>
      <c r="C3164" s="2" t="s">
        <v>3121</v>
      </c>
      <c r="D3164" s="10">
        <v>3</v>
      </c>
      <c r="E3164" s="10">
        <v>1</v>
      </c>
      <c r="F3164" s="10" t="s">
        <v>687</v>
      </c>
      <c r="G3164" s="10" t="s">
        <v>696</v>
      </c>
      <c r="H3164" s="10" t="str" cm="1">
        <f t="array" aca="1" ref="H3164" ca="1">IF(INDEX(I3164:Z3164,$H$1)=0,"",INDEX(I3164:Z3164,$H$1))</f>
        <v>"OIL STORAGE SYSTEM" SETUP</v>
      </c>
      <c r="I3164" s="2" t="s">
        <v>2815</v>
      </c>
      <c r="J3164" s="2" t="s">
        <v>2815</v>
      </c>
      <c r="K3164" s="2" t="s">
        <v>2815</v>
      </c>
      <c r="L3164" s="19"/>
      <c r="M3164" s="19"/>
      <c r="N3164" s="19"/>
      <c r="O3164" s="19"/>
    </row>
    <row r="3165" spans="1:15" x14ac:dyDescent="0.35">
      <c r="A3165" s="2" t="s">
        <v>3121</v>
      </c>
      <c r="B3165" s="255">
        <v>18</v>
      </c>
      <c r="C3165" s="2" t="s">
        <v>3121</v>
      </c>
      <c r="D3165" s="10">
        <v>3</v>
      </c>
      <c r="E3165" s="10">
        <v>1</v>
      </c>
      <c r="F3165" s="10" t="s">
        <v>687</v>
      </c>
      <c r="G3165" s="10" t="s">
        <v>696</v>
      </c>
      <c r="H3165" s="10" t="str" cm="1">
        <f t="array" aca="1" ref="H3165" ca="1">IF(INDEX(I3165:Z3165,$H$1)=0,"",INDEX(I3165:Z3165,$H$1))</f>
        <v>System Details</v>
      </c>
      <c r="I3165" s="2" t="s">
        <v>2811</v>
      </c>
      <c r="J3165" s="2" t="s">
        <v>2811</v>
      </c>
      <c r="K3165" s="2" t="s">
        <v>2811</v>
      </c>
      <c r="L3165" s="19"/>
      <c r="M3165" s="19"/>
      <c r="N3165" s="19"/>
      <c r="O3165" s="19"/>
    </row>
    <row r="3166" spans="1:15" x14ac:dyDescent="0.35">
      <c r="A3166" s="2" t="s">
        <v>3121</v>
      </c>
      <c r="B3166" s="255">
        <v>18</v>
      </c>
      <c r="C3166" s="2" t="s">
        <v>3121</v>
      </c>
      <c r="D3166" s="10">
        <v>3</v>
      </c>
      <c r="E3166" s="10">
        <v>1</v>
      </c>
      <c r="F3166" s="10" t="s">
        <v>687</v>
      </c>
      <c r="G3166" s="10" t="s">
        <v>696</v>
      </c>
      <c r="H3166" s="10" t="str" cm="1">
        <f t="array" aca="1" ref="H3166" ca="1">IF(INDEX(I3166:Z3166,$H$1)=0,"",INDEX(I3166:Z3166,$H$1))</f>
        <v>Product Details</v>
      </c>
      <c r="I3166" s="2" t="s">
        <v>2812</v>
      </c>
      <c r="J3166" s="2" t="s">
        <v>2812</v>
      </c>
      <c r="K3166" s="2" t="s">
        <v>2812</v>
      </c>
      <c r="L3166" s="19"/>
      <c r="M3166" s="19"/>
      <c r="N3166" s="19"/>
      <c r="O3166" s="19"/>
    </row>
    <row r="3167" spans="1:15" x14ac:dyDescent="0.35">
      <c r="A3167" s="2" t="s">
        <v>3121</v>
      </c>
      <c r="B3167" s="255">
        <v>18</v>
      </c>
      <c r="C3167" s="2" t="s">
        <v>3121</v>
      </c>
      <c r="D3167" s="10">
        <v>3</v>
      </c>
      <c r="E3167" s="10">
        <v>1</v>
      </c>
      <c r="F3167" s="10" t="s">
        <v>687</v>
      </c>
      <c r="G3167" s="10" t="s">
        <v>696</v>
      </c>
      <c r="H3167" s="10" t="str" cm="1">
        <f t="array" aca="1" ref="H3167" ca="1">IF(INDEX(I3167:Z3167,$H$1)=0,"",INDEX(I3167:Z3167,$H$1))</f>
        <v>Estimated Flashing Details</v>
      </c>
      <c r="I3167" s="2" t="s">
        <v>2820</v>
      </c>
      <c r="J3167" s="2" t="s">
        <v>2820</v>
      </c>
      <c r="K3167" s="2" t="s">
        <v>2820</v>
      </c>
      <c r="L3167" s="19"/>
      <c r="M3167" s="19"/>
      <c r="N3167" s="19"/>
      <c r="O3167" s="19"/>
    </row>
    <row r="3168" spans="1:15" x14ac:dyDescent="0.35">
      <c r="A3168" s="2" t="s">
        <v>3121</v>
      </c>
      <c r="B3168" s="255">
        <v>18</v>
      </c>
      <c r="C3168" s="2" t="s">
        <v>3121</v>
      </c>
      <c r="D3168" s="10">
        <v>3</v>
      </c>
      <c r="E3168" s="10">
        <v>1</v>
      </c>
      <c r="F3168" s="10" t="s">
        <v>687</v>
      </c>
      <c r="G3168" s="10" t="s">
        <v>696</v>
      </c>
      <c r="H3168" s="10" t="str" cm="1">
        <f t="array" aca="1" ref="H3168" ca="1">IF(INDEX(I3168:Z3168,$H$1)=0,"",INDEX(I3168:Z3168,$H$1))</f>
        <v>First Upstream Pressure Vessel</v>
      </c>
      <c r="I3168" s="2" t="s">
        <v>2787</v>
      </c>
      <c r="J3168" s="2" t="s">
        <v>2787</v>
      </c>
      <c r="K3168" s="2" t="s">
        <v>2787</v>
      </c>
      <c r="L3168" s="19"/>
      <c r="M3168" s="19"/>
      <c r="N3168" s="19"/>
      <c r="O3168" s="19"/>
    </row>
    <row r="3169" spans="1:15" x14ac:dyDescent="0.35">
      <c r="A3169" s="2" t="s">
        <v>3121</v>
      </c>
      <c r="B3169" s="255">
        <v>18</v>
      </c>
      <c r="C3169" s="2" t="s">
        <v>3121</v>
      </c>
      <c r="D3169" s="10">
        <v>3</v>
      </c>
      <c r="E3169" s="10">
        <v>1</v>
      </c>
      <c r="F3169" s="10" t="s">
        <v>687</v>
      </c>
      <c r="G3169" s="10" t="s">
        <v>696</v>
      </c>
      <c r="H3169" s="10" t="str" cm="1">
        <f t="array" aca="1" ref="H3169" ca="1">IF(INDEX(I3169:Z3169,$H$1)=0,"",INDEX(I3169:Z3169,$H$1))</f>
        <v>Oil Gravity or Density</v>
      </c>
      <c r="I3169" s="2" t="s">
        <v>2790</v>
      </c>
      <c r="J3169" s="2" t="s">
        <v>2790</v>
      </c>
      <c r="K3169" s="2" t="s">
        <v>2790</v>
      </c>
      <c r="L3169" s="19"/>
      <c r="M3169" s="19"/>
      <c r="N3169" s="19"/>
      <c r="O3169" s="19"/>
    </row>
    <row r="3170" spans="1:15" x14ac:dyDescent="0.35">
      <c r="A3170" s="2" t="s">
        <v>3121</v>
      </c>
      <c r="B3170" s="255">
        <v>18</v>
      </c>
      <c r="C3170" s="2" t="s">
        <v>3121</v>
      </c>
      <c r="D3170" s="10">
        <v>3</v>
      </c>
      <c r="E3170" s="10">
        <v>1</v>
      </c>
      <c r="F3170" s="10" t="s">
        <v>687</v>
      </c>
      <c r="G3170" s="10" t="s">
        <v>696</v>
      </c>
      <c r="H3170" s="10" t="str" cm="1">
        <f t="array" aca="1" ref="H3170" ca="1">IF(INDEX(I3170:Z3170,$H$1)=0,"",INDEX(I3170:Z3170,$H$1))</f>
        <v>Flash Gas Factor</v>
      </c>
      <c r="I3170" s="2" t="s">
        <v>2791</v>
      </c>
      <c r="J3170" s="2" t="s">
        <v>2791</v>
      </c>
      <c r="K3170" s="2" t="s">
        <v>2791</v>
      </c>
      <c r="L3170" s="19"/>
      <c r="M3170" s="19"/>
      <c r="N3170" s="19"/>
      <c r="O3170" s="19"/>
    </row>
    <row r="3171" spans="1:15" x14ac:dyDescent="0.35">
      <c r="A3171" s="2" t="s">
        <v>3121</v>
      </c>
      <c r="B3171" s="255">
        <v>18</v>
      </c>
      <c r="C3171" s="2" t="s">
        <v>3121</v>
      </c>
      <c r="D3171" s="10">
        <v>3</v>
      </c>
      <c r="E3171" s="10">
        <v>1</v>
      </c>
      <c r="F3171" s="10" t="s">
        <v>687</v>
      </c>
      <c r="G3171" s="10" t="s">
        <v>696</v>
      </c>
      <c r="H3171" s="10" t="str" cm="1">
        <f t="array" aca="1" ref="H3171" ca="1">IF(INDEX(I3171:Z3171,$H$1)=0,"",INDEX(I3171:Z3171,$H$1))</f>
        <v>Vent Control Device</v>
      </c>
      <c r="I3171" s="2" t="s">
        <v>2814</v>
      </c>
      <c r="J3171" s="2" t="s">
        <v>2814</v>
      </c>
      <c r="K3171" s="2" t="s">
        <v>2814</v>
      </c>
      <c r="L3171" s="19"/>
      <c r="M3171" s="19"/>
      <c r="N3171" s="19"/>
      <c r="O3171" s="19"/>
    </row>
    <row r="3172" spans="1:15" x14ac:dyDescent="0.35">
      <c r="A3172" s="2" t="s">
        <v>3121</v>
      </c>
      <c r="B3172" s="255">
        <v>18</v>
      </c>
      <c r="C3172" s="2" t="s">
        <v>3121</v>
      </c>
      <c r="D3172" s="10">
        <v>3</v>
      </c>
      <c r="E3172" s="10">
        <v>1</v>
      </c>
      <c r="F3172" s="10" t="s">
        <v>687</v>
      </c>
      <c r="G3172" s="10" t="s">
        <v>696</v>
      </c>
      <c r="H3172" s="10" t="str" cm="1">
        <f t="array" aca="1" ref="H3172" ca="1">IF(INDEX(I3172:Z3172,$H$1)=0,"",INDEX(I3172:Z3172,$H$1))</f>
        <v>Theoretical Losses</v>
      </c>
      <c r="I3172" s="2" t="s">
        <v>2813</v>
      </c>
      <c r="J3172" s="2" t="s">
        <v>2813</v>
      </c>
      <c r="K3172" s="2" t="s">
        <v>2813</v>
      </c>
      <c r="L3172" s="19"/>
      <c r="M3172" s="19"/>
      <c r="N3172" s="19"/>
      <c r="O3172" s="19"/>
    </row>
    <row r="3173" spans="1:15" x14ac:dyDescent="0.35">
      <c r="A3173" s="2" t="s">
        <v>3121</v>
      </c>
      <c r="B3173" s="255">
        <v>18</v>
      </c>
      <c r="C3173" s="2" t="s">
        <v>3121</v>
      </c>
      <c r="D3173" s="10">
        <v>3</v>
      </c>
      <c r="E3173" s="10">
        <v>1</v>
      </c>
      <c r="F3173" s="10" t="s">
        <v>687</v>
      </c>
      <c r="G3173" s="10" t="s">
        <v>696</v>
      </c>
      <c r="H3173" s="10" t="str" cm="1">
        <f t="array" aca="1" ref="H3173" ca="1">IF(INDEX(I3173:Z3173,$H$1)=0,"",INDEX(I3173:Z3173,$H$1))</f>
        <v>Type</v>
      </c>
      <c r="I3173" s="2" t="s">
        <v>2</v>
      </c>
      <c r="J3173" s="2" t="s">
        <v>2</v>
      </c>
      <c r="K3173" s="2" t="s">
        <v>2</v>
      </c>
      <c r="L3173" s="19"/>
      <c r="M3173" s="19"/>
      <c r="N3173" s="19"/>
      <c r="O3173" s="19"/>
    </row>
    <row r="3174" spans="1:15" x14ac:dyDescent="0.35">
      <c r="A3174" s="2" t="s">
        <v>3121</v>
      </c>
      <c r="B3174" s="255">
        <v>18</v>
      </c>
      <c r="C3174" s="2" t="s">
        <v>3121</v>
      </c>
      <c r="D3174" s="10">
        <v>3</v>
      </c>
      <c r="E3174" s="10">
        <v>1</v>
      </c>
      <c r="F3174" s="10" t="s">
        <v>687</v>
      </c>
      <c r="G3174" s="10" t="s">
        <v>696</v>
      </c>
      <c r="H3174" s="10" t="str" cm="1">
        <f t="array" aca="1" ref="H3174" ca="1">IF(INDEX(I3174:Z3174,$H$1)=0,"",INDEX(I3174:Z3174,$H$1))</f>
        <v>Operating Pressure</v>
      </c>
      <c r="I3174" s="2" t="s">
        <v>2788</v>
      </c>
      <c r="J3174" s="2" t="s">
        <v>2788</v>
      </c>
      <c r="K3174" s="2" t="s">
        <v>2788</v>
      </c>
      <c r="L3174" s="19"/>
      <c r="M3174" s="19"/>
      <c r="N3174" s="19"/>
      <c r="O3174" s="19"/>
    </row>
    <row r="3175" spans="1:15" x14ac:dyDescent="0.35">
      <c r="A3175" s="2" t="s">
        <v>3121</v>
      </c>
      <c r="B3175" s="255">
        <v>18</v>
      </c>
      <c r="C3175" s="2" t="s">
        <v>3121</v>
      </c>
      <c r="D3175" s="10">
        <v>3</v>
      </c>
      <c r="E3175" s="10">
        <v>1</v>
      </c>
      <c r="F3175" s="10" t="s">
        <v>687</v>
      </c>
      <c r="G3175" s="10" t="s">
        <v>696</v>
      </c>
      <c r="H3175" s="10" t="str" cm="1">
        <f t="array" aca="1" ref="H3175" ca="1">IF(INDEX(I3175:Z3175,$H$1)=0,"",INDEX(I3175:Z3175,$H$1))</f>
        <v>Operating Temperature</v>
      </c>
      <c r="I3175" s="2" t="s">
        <v>2789</v>
      </c>
      <c r="J3175" s="2" t="s">
        <v>2789</v>
      </c>
      <c r="K3175" s="2" t="s">
        <v>2789</v>
      </c>
      <c r="L3175" s="19"/>
      <c r="M3175" s="19"/>
      <c r="N3175" s="19"/>
      <c r="O3175" s="19"/>
    </row>
    <row r="3176" spans="1:15" x14ac:dyDescent="0.35">
      <c r="A3176" s="2" t="s">
        <v>3121</v>
      </c>
      <c r="B3176" s="255">
        <v>18</v>
      </c>
      <c r="C3176" s="2" t="s">
        <v>3121</v>
      </c>
      <c r="D3176" s="10">
        <v>3</v>
      </c>
      <c r="E3176" s="10">
        <v>1</v>
      </c>
      <c r="F3176" s="10" t="s">
        <v>687</v>
      </c>
      <c r="G3176" s="10" t="s">
        <v>696</v>
      </c>
      <c r="H3176" s="10" t="str" cm="1">
        <f t="array" aca="1" ref="H3176" ca="1">IF(INDEX(I3176:Z3176,$H$1)=0,"",INDEX(I3176:Z3176,$H$1))</f>
        <v>Value (Optional)</v>
      </c>
      <c r="I3176" s="2" t="s">
        <v>3083</v>
      </c>
      <c r="J3176" s="2" t="s">
        <v>3083</v>
      </c>
      <c r="K3176" s="2" t="s">
        <v>3083</v>
      </c>
      <c r="L3176" s="19"/>
      <c r="M3176" s="19"/>
      <c r="N3176" s="19"/>
      <c r="O3176" s="19"/>
    </row>
    <row r="3177" spans="1:15" x14ac:dyDescent="0.35">
      <c r="A3177" s="2" t="s">
        <v>3121</v>
      </c>
      <c r="B3177" s="255">
        <v>18</v>
      </c>
      <c r="C3177" s="2" t="s">
        <v>3121</v>
      </c>
      <c r="D3177" s="10">
        <v>3</v>
      </c>
      <c r="E3177" s="10">
        <v>1</v>
      </c>
      <c r="F3177" s="10" t="s">
        <v>687</v>
      </c>
      <c r="G3177" s="10" t="s">
        <v>696</v>
      </c>
      <c r="H3177" s="10" t="str" cm="1">
        <f t="array" aca="1" ref="H3177" ca="1">IF(INDEX(I3177:Z3177,$H$1)=0,"",INDEX(I3177:Z3177,$H$1))</f>
        <v>Value</v>
      </c>
      <c r="I3177" s="2" t="s">
        <v>6</v>
      </c>
      <c r="J3177" s="2" t="s">
        <v>6</v>
      </c>
      <c r="K3177" s="2" t="s">
        <v>6</v>
      </c>
      <c r="L3177" s="19"/>
      <c r="M3177" s="19"/>
      <c r="N3177" s="19"/>
      <c r="O3177" s="19"/>
    </row>
    <row r="3178" spans="1:15" x14ac:dyDescent="0.35">
      <c r="A3178" s="2" t="s">
        <v>3121</v>
      </c>
      <c r="B3178" s="255">
        <v>18</v>
      </c>
      <c r="C3178" s="2" t="s">
        <v>3121</v>
      </c>
      <c r="D3178" s="10">
        <v>3</v>
      </c>
      <c r="E3178" s="10">
        <v>1</v>
      </c>
      <c r="F3178" s="10" t="s">
        <v>687</v>
      </c>
      <c r="G3178" s="10" t="s">
        <v>696</v>
      </c>
      <c r="H3178" s="10" t="str" cm="1">
        <f t="array" aca="1" ref="H3178" ca="1">IF(INDEX(I3178:Z3178,$H$1)=0,"",INDEX(I3178:Z3178,$H$1))</f>
        <v>Units of Measure</v>
      </c>
      <c r="I3178" s="2" t="s">
        <v>331</v>
      </c>
      <c r="J3178" s="2" t="s">
        <v>331</v>
      </c>
      <c r="K3178" s="2" t="s">
        <v>331</v>
      </c>
      <c r="L3178" s="19"/>
      <c r="M3178" s="19"/>
      <c r="N3178" s="19"/>
      <c r="O3178" s="19"/>
    </row>
    <row r="3179" spans="1:15" x14ac:dyDescent="0.35">
      <c r="A3179" s="2" t="s">
        <v>3121</v>
      </c>
      <c r="B3179" s="255">
        <v>18</v>
      </c>
      <c r="C3179" s="2" t="s">
        <v>3121</v>
      </c>
      <c r="D3179" s="10">
        <v>3</v>
      </c>
      <c r="E3179" s="10">
        <v>1</v>
      </c>
      <c r="F3179" s="10" t="s">
        <v>687</v>
      </c>
      <c r="G3179" s="10" t="s">
        <v>696</v>
      </c>
      <c r="H3179" s="10" t="str" cm="1">
        <f t="array" aca="1" ref="H3179" ca="1">IF(INDEX(I3179:Z3179,$H$1)=0,"",INDEX(I3179:Z3179,$H$1))</f>
        <v>"PRODUCED WATER STORAGE SYSTEM" SETUP</v>
      </c>
      <c r="I3179" s="2" t="s">
        <v>2816</v>
      </c>
      <c r="J3179" s="2" t="s">
        <v>2816</v>
      </c>
      <c r="K3179" s="2" t="s">
        <v>2816</v>
      </c>
      <c r="L3179" s="19"/>
      <c r="M3179" s="19"/>
      <c r="N3179" s="19"/>
      <c r="O3179" s="19"/>
    </row>
    <row r="3180" spans="1:15" x14ac:dyDescent="0.35">
      <c r="A3180" s="2" t="s">
        <v>3121</v>
      </c>
      <c r="B3180" s="255">
        <v>18</v>
      </c>
      <c r="C3180" s="2" t="s">
        <v>3121</v>
      </c>
      <c r="D3180" s="10">
        <v>3</v>
      </c>
      <c r="E3180" s="10">
        <v>1</v>
      </c>
      <c r="F3180" s="10" t="s">
        <v>687</v>
      </c>
      <c r="G3180" s="10" t="s">
        <v>696</v>
      </c>
      <c r="H3180" s="10" t="str" cm="1">
        <f t="array" aca="1" ref="H3180" ca="1">IF(INDEX(I3180:Z3180,$H$1)=0,"",INDEX(I3180:Z3180,$H$1))</f>
        <v>Inlet Separator or Free-Water Knock-Out</v>
      </c>
      <c r="I3180" s="2" t="s">
        <v>2819</v>
      </c>
      <c r="J3180" s="2" t="s">
        <v>2819</v>
      </c>
      <c r="K3180" s="2" t="s">
        <v>2819</v>
      </c>
      <c r="L3180" s="19"/>
      <c r="M3180" s="19"/>
      <c r="N3180" s="19"/>
      <c r="O3180" s="19"/>
    </row>
    <row r="3181" spans="1:15" x14ac:dyDescent="0.35">
      <c r="A3181" s="2" t="s">
        <v>3121</v>
      </c>
      <c r="B3181" s="255">
        <v>18</v>
      </c>
      <c r="C3181" s="2" t="s">
        <v>3121</v>
      </c>
      <c r="D3181" s="10">
        <v>3</v>
      </c>
      <c r="E3181" s="10">
        <v>1</v>
      </c>
      <c r="F3181" s="10" t="s">
        <v>687</v>
      </c>
      <c r="G3181" s="10" t="s">
        <v>696</v>
      </c>
      <c r="H3181" s="10" t="str" cm="1">
        <f t="array" aca="1" ref="H3181" ca="1">IF(INDEX(I3181:Z3181,$H$1)=0,"",INDEX(I3181:Z3181,$H$1))</f>
        <v>Entrained Oil</v>
      </c>
      <c r="I3181" s="2" t="s">
        <v>2817</v>
      </c>
      <c r="J3181" s="2" t="s">
        <v>2817</v>
      </c>
      <c r="K3181" s="2" t="s">
        <v>2817</v>
      </c>
      <c r="L3181" s="19"/>
      <c r="M3181" s="19"/>
      <c r="N3181" s="19"/>
      <c r="O3181" s="19"/>
    </row>
    <row r="3182" spans="1:15" x14ac:dyDescent="0.35">
      <c r="A3182" s="2" t="s">
        <v>3121</v>
      </c>
      <c r="B3182" s="255">
        <v>18</v>
      </c>
      <c r="C3182" s="2" t="s">
        <v>3121</v>
      </c>
      <c r="D3182" s="10">
        <v>3</v>
      </c>
      <c r="E3182" s="10">
        <v>1</v>
      </c>
      <c r="F3182" s="10" t="s">
        <v>687</v>
      </c>
      <c r="G3182" s="10" t="s">
        <v>696</v>
      </c>
      <c r="H3182" s="10" t="str" cm="1">
        <f t="array" aca="1" ref="H3182" ca="1">IF(INDEX(I3182:Z3182,$H$1)=0,"",INDEX(I3182:Z3182,$H$1))</f>
        <v>% of Produced Water Volume</v>
      </c>
      <c r="I3182" s="2" t="s">
        <v>2818</v>
      </c>
      <c r="J3182" s="2" t="s">
        <v>2818</v>
      </c>
      <c r="K3182" s="2" t="s">
        <v>2818</v>
      </c>
      <c r="L3182" s="19"/>
      <c r="M3182" s="19"/>
      <c r="N3182" s="19"/>
      <c r="O3182" s="19"/>
    </row>
    <row r="3183" spans="1:15" x14ac:dyDescent="0.35">
      <c r="A3183" s="2" t="s">
        <v>1312</v>
      </c>
      <c r="B3183" s="255">
        <v>19</v>
      </c>
      <c r="C3183" s="2" t="s">
        <v>1312</v>
      </c>
      <c r="D3183" s="10">
        <v>1</v>
      </c>
      <c r="E3183" s="10">
        <f>ROW(A1)</f>
        <v>1</v>
      </c>
      <c r="F3183" s="10" t="s">
        <v>687</v>
      </c>
      <c r="G3183" s="10" t="s">
        <v>767</v>
      </c>
      <c r="H3183" s="10" t="str" cm="1">
        <f t="array" aca="1" ref="H3183" ca="1">IF(INDEX(I3183:Z3183,$H$1)=0,"",INDEX(I3183:Z3183,$H$1))</f>
        <v>Language</v>
      </c>
      <c r="I3183" s="2" t="s">
        <v>1103</v>
      </c>
      <c r="J3183" s="2" t="s">
        <v>1313</v>
      </c>
      <c r="K3183" s="27" t="s">
        <v>1849</v>
      </c>
    </row>
    <row r="3184" spans="1:15" x14ac:dyDescent="0.35">
      <c r="A3184" s="2" t="s">
        <v>1312</v>
      </c>
      <c r="B3184" s="255">
        <v>19</v>
      </c>
      <c r="C3184" s="2" t="s">
        <v>1312</v>
      </c>
      <c r="D3184" s="10">
        <v>1</v>
      </c>
      <c r="E3184" s="10">
        <f>ROW(A3)</f>
        <v>3</v>
      </c>
      <c r="F3184" s="10" t="s">
        <v>687</v>
      </c>
      <c r="G3184" s="10" t="s">
        <v>696</v>
      </c>
      <c r="H3184" s="10" t="str" cm="1">
        <f t="array" aca="1" ref="H3184" ca="1">IF(INDEX(I3184:Z3184,$H$1)=0,"",INDEX(I3184:Z3184,$H$1))</f>
        <v>Worksheet</v>
      </c>
      <c r="I3184" s="2" t="s">
        <v>682</v>
      </c>
      <c r="J3184" s="2" t="s">
        <v>1314</v>
      </c>
      <c r="K3184" s="27" t="s">
        <v>1912</v>
      </c>
    </row>
    <row r="3185" spans="1:36" x14ac:dyDescent="0.35">
      <c r="A3185" s="2" t="s">
        <v>1312</v>
      </c>
      <c r="B3185" s="255">
        <v>19</v>
      </c>
      <c r="C3185" s="2" t="s">
        <v>1312</v>
      </c>
      <c r="D3185" s="10">
        <v>1</v>
      </c>
      <c r="E3185" s="10">
        <f>E3184</f>
        <v>3</v>
      </c>
      <c r="F3185" s="10" t="s">
        <v>690</v>
      </c>
      <c r="G3185" s="10" t="s">
        <v>696</v>
      </c>
      <c r="H3185" s="10" t="str" cm="1">
        <f t="array" aca="1" ref="H3185" ca="1">IF(INDEX(I3185:Z3185,$H$1)=0,"",INDEX(I3185:Z3185,$H$1))</f>
        <v>Worksheet No.</v>
      </c>
      <c r="I3185" s="2" t="s">
        <v>1078</v>
      </c>
      <c r="J3185" s="2" t="s">
        <v>1315</v>
      </c>
      <c r="K3185" s="27" t="s">
        <v>1913</v>
      </c>
    </row>
    <row r="3186" spans="1:36" x14ac:dyDescent="0.35">
      <c r="A3186" s="2" t="s">
        <v>1312</v>
      </c>
      <c r="B3186" s="255">
        <v>19</v>
      </c>
      <c r="C3186" s="2" t="s">
        <v>1312</v>
      </c>
      <c r="D3186" s="10">
        <v>1</v>
      </c>
      <c r="E3186" s="10">
        <f>E3184</f>
        <v>3</v>
      </c>
      <c r="F3186" s="10" t="s">
        <v>38</v>
      </c>
      <c r="G3186" s="10" t="s">
        <v>696</v>
      </c>
      <c r="H3186" s="10" t="str" cm="1">
        <f t="array" aca="1" ref="H3186" ca="1">IF(INDEX(I3186:Z3186,$H$1)=0,"",INDEX(I3186:Z3186,$H$1))</f>
        <v>Table/Block</v>
      </c>
      <c r="I3186" s="2" t="s">
        <v>686</v>
      </c>
      <c r="J3186" s="2" t="s">
        <v>1316</v>
      </c>
      <c r="K3186" s="27" t="s">
        <v>1914</v>
      </c>
    </row>
    <row r="3187" spans="1:36" x14ac:dyDescent="0.35">
      <c r="A3187" s="2" t="s">
        <v>1312</v>
      </c>
      <c r="B3187" s="255">
        <v>19</v>
      </c>
      <c r="C3187" s="2" t="s">
        <v>1312</v>
      </c>
      <c r="D3187" s="10">
        <v>1</v>
      </c>
      <c r="E3187" s="10">
        <f>E3184</f>
        <v>3</v>
      </c>
      <c r="F3187" s="10" t="s">
        <v>692</v>
      </c>
      <c r="G3187" s="10" t="s">
        <v>696</v>
      </c>
      <c r="H3187" s="10" t="str" cm="1">
        <f t="array" aca="1" ref="H3187" ca="1">IF(INDEX(I3187:Z3187,$H$1)=0,"",INDEX(I3187:Z3187,$H$1))</f>
        <v>Table/Block No.</v>
      </c>
      <c r="I3187" s="2" t="s">
        <v>1079</v>
      </c>
      <c r="J3187" s="2" t="s">
        <v>1320</v>
      </c>
      <c r="K3187" s="27" t="s">
        <v>1915</v>
      </c>
    </row>
    <row r="3188" spans="1:36" x14ac:dyDescent="0.35">
      <c r="A3188" s="2" t="s">
        <v>1312</v>
      </c>
      <c r="B3188" s="255">
        <v>19</v>
      </c>
      <c r="C3188" s="2" t="s">
        <v>1312</v>
      </c>
      <c r="D3188" s="10">
        <v>1</v>
      </c>
      <c r="E3188" s="10">
        <f>E3184</f>
        <v>3</v>
      </c>
      <c r="F3188" s="10" t="s">
        <v>693</v>
      </c>
      <c r="G3188" s="10" t="s">
        <v>696</v>
      </c>
      <c r="H3188" s="10" t="str" cm="1">
        <f t="array" aca="1" ref="H3188" ca="1">IF(INDEX(I3188:Z3188,$H$1)=0,"",INDEX(I3188:Z3188,$H$1))</f>
        <v>Row</v>
      </c>
      <c r="I3188" s="2" t="s">
        <v>683</v>
      </c>
      <c r="J3188" s="2" t="s">
        <v>1317</v>
      </c>
      <c r="K3188" s="27" t="s">
        <v>1916</v>
      </c>
    </row>
    <row r="3189" spans="1:36" x14ac:dyDescent="0.35">
      <c r="A3189" s="2" t="s">
        <v>1312</v>
      </c>
      <c r="B3189" s="255">
        <v>19</v>
      </c>
      <c r="C3189" s="2" t="s">
        <v>1312</v>
      </c>
      <c r="D3189" s="10">
        <v>1</v>
      </c>
      <c r="E3189" s="10">
        <f>E3184</f>
        <v>3</v>
      </c>
      <c r="F3189" s="10" t="s">
        <v>694</v>
      </c>
      <c r="G3189" s="10" t="s">
        <v>696</v>
      </c>
      <c r="H3189" s="10" t="str" cm="1">
        <f t="array" aca="1" ref="H3189" ca="1">IF(INDEX(I3189:Z3189,$H$1)=0,"",INDEX(I3189:Z3189,$H$1))</f>
        <v>Column</v>
      </c>
      <c r="I3189" s="2" t="s">
        <v>319</v>
      </c>
      <c r="J3189" s="2" t="s">
        <v>894</v>
      </c>
      <c r="K3189" s="27" t="s">
        <v>1515</v>
      </c>
    </row>
    <row r="3190" spans="1:36" x14ac:dyDescent="0.35">
      <c r="A3190" s="2" t="s">
        <v>1312</v>
      </c>
      <c r="B3190" s="255">
        <v>19</v>
      </c>
      <c r="C3190" s="2" t="s">
        <v>1312</v>
      </c>
      <c r="D3190" s="10">
        <v>1</v>
      </c>
      <c r="E3190" s="10">
        <f>E3184</f>
        <v>3</v>
      </c>
      <c r="F3190" s="10" t="s">
        <v>711</v>
      </c>
      <c r="G3190" s="10" t="s">
        <v>696</v>
      </c>
      <c r="H3190" s="10" t="str" cm="1">
        <f t="array" aca="1" ref="H3190" ca="1">IF(INDEX(I3190:Z3190,$H$1)=0,"",INDEX(I3190:Z3190,$H$1))</f>
        <v>Type</v>
      </c>
      <c r="I3190" s="2" t="s">
        <v>2</v>
      </c>
      <c r="J3190" s="2" t="s">
        <v>724</v>
      </c>
      <c r="K3190" s="27" t="s">
        <v>1415</v>
      </c>
    </row>
    <row r="3191" spans="1:36" x14ac:dyDescent="0.35">
      <c r="A3191" s="2" t="s">
        <v>1312</v>
      </c>
      <c r="B3191" s="255">
        <v>19</v>
      </c>
      <c r="C3191" s="2" t="s">
        <v>1312</v>
      </c>
      <c r="D3191" s="10">
        <v>1</v>
      </c>
      <c r="E3191" s="10">
        <f>E3184</f>
        <v>3</v>
      </c>
      <c r="F3191" s="10" t="s">
        <v>591</v>
      </c>
      <c r="G3191" s="10" t="s">
        <v>696</v>
      </c>
      <c r="H3191" s="10" t="str" cm="1">
        <f t="array" aca="1" ref="H3191" ca="1">IF(INDEX(I3191:Z3191,$H$1)=0,"",INDEX(I3191:Z3191,$H$1))</f>
        <v>Active</v>
      </c>
      <c r="I3191" s="2" t="s">
        <v>684</v>
      </c>
      <c r="J3191" s="2" t="s">
        <v>1318</v>
      </c>
      <c r="K3191" s="27" t="s">
        <v>1917</v>
      </c>
    </row>
    <row r="3192" spans="1:36" x14ac:dyDescent="0.35">
      <c r="A3192" s="2" t="s">
        <v>1312</v>
      </c>
      <c r="B3192" s="255">
        <v>19</v>
      </c>
      <c r="C3192" s="2" t="s">
        <v>1312</v>
      </c>
      <c r="D3192" s="10">
        <v>1</v>
      </c>
      <c r="E3192" s="10">
        <f>E3184</f>
        <v>3</v>
      </c>
      <c r="F3192" s="10" t="s">
        <v>712</v>
      </c>
      <c r="G3192" s="10" t="s">
        <v>696</v>
      </c>
      <c r="H3192" s="10" t="str" cm="1">
        <f t="array" aca="1" ref="H3192" ca="1">IF(INDEX(I3192:Z3192,$H$1)=0,"",INDEX(I3192:Z3192,$H$1))</f>
        <v>English</v>
      </c>
      <c r="I3192" s="2" t="s">
        <v>2245</v>
      </c>
      <c r="J3192" s="2" t="s">
        <v>1319</v>
      </c>
      <c r="K3192" s="27" t="s">
        <v>1918</v>
      </c>
    </row>
    <row r="3193" spans="1:36" x14ac:dyDescent="0.35">
      <c r="A3193" s="2" t="s">
        <v>1312</v>
      </c>
      <c r="B3193" s="255">
        <v>19</v>
      </c>
      <c r="C3193" s="2" t="s">
        <v>1312</v>
      </c>
      <c r="D3193" s="10">
        <v>1</v>
      </c>
      <c r="E3193" s="10">
        <f>E3184</f>
        <v>3</v>
      </c>
      <c r="F3193" s="10" t="s">
        <v>713</v>
      </c>
      <c r="G3193" s="10" t="s">
        <v>696</v>
      </c>
      <c r="H3193" s="10" t="str" cm="1">
        <f t="array" aca="1" ref="H3193" ca="1">IF(INDEX(I3193:Z3193,$H$1)=0,"",INDEX(I3193:Z3193,$H$1))</f>
        <v>Chinese</v>
      </c>
      <c r="I3193" s="2" t="s">
        <v>685</v>
      </c>
      <c r="J3193" s="2" t="s">
        <v>1102</v>
      </c>
      <c r="K3193" s="27" t="s">
        <v>1919</v>
      </c>
    </row>
    <row r="3194" spans="1:36" s="2" customFormat="1" x14ac:dyDescent="0.35">
      <c r="A3194" s="2" t="s">
        <v>1312</v>
      </c>
      <c r="B3194" s="255">
        <v>19</v>
      </c>
      <c r="C3194" s="2" t="s">
        <v>1312</v>
      </c>
      <c r="D3194" s="10">
        <v>1</v>
      </c>
      <c r="E3194" s="10">
        <v>3</v>
      </c>
      <c r="F3194" s="10" t="s">
        <v>772</v>
      </c>
      <c r="G3194" s="10" t="s">
        <v>696</v>
      </c>
      <c r="H3194" s="10" t="str" cm="1">
        <f t="array" aca="1" ref="H3194" ca="1">IF(INDEX(I3194:Z3194,$H$1)=0,"",INDEX(I3194:Z3194,$H$1))</f>
        <v>Spanish (Colombia)</v>
      </c>
      <c r="I3194" s="2" t="s">
        <v>1920</v>
      </c>
      <c r="J3194" s="2" t="s">
        <v>1921</v>
      </c>
      <c r="K3194" s="30" t="s">
        <v>1923</v>
      </c>
      <c r="L3194"/>
      <c r="M3194"/>
      <c r="N3194"/>
      <c r="O3194"/>
      <c r="P3194"/>
      <c r="Q3194"/>
      <c r="R3194"/>
      <c r="S3194"/>
      <c r="T3194"/>
      <c r="U3194"/>
      <c r="V3194"/>
      <c r="W3194"/>
      <c r="X3194"/>
      <c r="Y3194"/>
      <c r="Z3194"/>
      <c r="AA3194"/>
      <c r="AB3194"/>
      <c r="AC3194"/>
      <c r="AD3194"/>
      <c r="AE3194"/>
      <c r="AF3194"/>
      <c r="AG3194"/>
      <c r="AH3194"/>
      <c r="AI3194"/>
      <c r="AJ3194"/>
    </row>
  </sheetData>
  <sheetProtection algorithmName="SHA-512" hashValue="OTGAA0bCxc/trAuUJLzlsY0wUep+V+MhglMfRAxT/9ZkIBvuQ60VgMWy+gKl9qJfM+ta4hJwYxtncAYy6DKlFQ==" saltValue="SqDDaEn8/HSnkf8t4uFYtA==" spinCount="100000" sheet="1" objects="1" scenarios="1"/>
  <sortState xmlns:xlrd2="http://schemas.microsoft.com/office/spreadsheetml/2017/richdata2" ref="E578:J587">
    <sortCondition ref="F578:F587"/>
    <sortCondition ref="E578:E587"/>
  </sortState>
  <phoneticPr fontId="12" type="noConversion"/>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25D56-4C90-401C-9959-C67D776079D2}">
  <sheetPr codeName="Sheet4">
    <tabColor rgb="FF00A9B5"/>
  </sheetPr>
  <dimension ref="A1:N12"/>
  <sheetViews>
    <sheetView showGridLines="0" topLeftCell="A4" workbookViewId="0"/>
  </sheetViews>
  <sheetFormatPr defaultColWidth="9.1796875" defaultRowHeight="14" x14ac:dyDescent="0.3"/>
  <cols>
    <col min="1" max="1" width="16.81640625" style="256" customWidth="1"/>
    <col min="2" max="2" width="21" style="256" customWidth="1"/>
    <col min="3" max="3" width="9.1796875" style="256"/>
    <col min="4" max="4" width="28.1796875" style="256" customWidth="1"/>
    <col min="5" max="5" width="9.1796875" style="256"/>
    <col min="6" max="6" width="9.81640625" style="256" customWidth="1"/>
    <col min="7" max="14" width="10.81640625" style="256" customWidth="1"/>
    <col min="15" max="16384" width="9.1796875" style="256"/>
  </cols>
  <sheetData>
    <row r="1" spans="1:14" ht="18" customHeight="1" thickBot="1" x14ac:dyDescent="0.4">
      <c r="A1" s="559" t="str">
        <f ca="1">'Translation Table'!H57</f>
        <v>Cell Styles</v>
      </c>
      <c r="B1" s="153"/>
      <c r="C1" s="153"/>
      <c r="D1" s="153"/>
      <c r="E1" s="153"/>
      <c r="F1" s="153"/>
      <c r="G1" s="153"/>
      <c r="H1" s="153"/>
      <c r="I1" s="153"/>
      <c r="J1" s="153"/>
      <c r="K1" s="153"/>
      <c r="L1" s="153"/>
      <c r="M1" s="153"/>
      <c r="N1" s="153"/>
    </row>
    <row r="2" spans="1:14" ht="16.5" customHeight="1" x14ac:dyDescent="0.35">
      <c r="A2" s="154" t="str">
        <f ca="1">'Translation Table'!H58</f>
        <v>Warning</v>
      </c>
      <c r="B2" s="153"/>
      <c r="C2" s="153"/>
      <c r="D2" s="153"/>
      <c r="E2" s="153"/>
      <c r="F2" s="153"/>
      <c r="G2" s="153"/>
      <c r="H2" s="153"/>
      <c r="I2" s="153"/>
      <c r="J2" s="153"/>
      <c r="K2" s="153"/>
      <c r="L2" s="153"/>
      <c r="M2" s="153"/>
      <c r="N2" s="153"/>
    </row>
    <row r="3" spans="1:14" ht="14.25" customHeight="1" x14ac:dyDescent="0.35">
      <c r="A3" s="202" t="str">
        <f ca="1">'Translation Table'!H59</f>
        <v>Input Cell</v>
      </c>
      <c r="B3" s="153"/>
      <c r="C3" s="153"/>
      <c r="D3" s="153"/>
      <c r="E3" s="153"/>
      <c r="F3" s="153"/>
      <c r="G3" s="153"/>
      <c r="H3" s="153"/>
      <c r="I3" s="153"/>
      <c r="J3" s="153"/>
      <c r="K3" s="153"/>
      <c r="L3" s="153"/>
      <c r="M3" s="153"/>
      <c r="N3" s="153"/>
    </row>
    <row r="4" spans="1:14" ht="15.5" x14ac:dyDescent="0.35">
      <c r="A4" s="152"/>
      <c r="B4" s="152"/>
    </row>
    <row r="5" spans="1:14" ht="22.5" x14ac:dyDescent="0.45">
      <c r="A5" s="725" t="str">
        <f ca="1">'Translation Table'!H29</f>
        <v>Table of Contents</v>
      </c>
      <c r="B5" s="725"/>
      <c r="C5" s="35"/>
    </row>
    <row r="6" spans="1:14" ht="18.75" customHeight="1" x14ac:dyDescent="0.3">
      <c r="A6" s="720" t="str">
        <f ca="1">'Translation Table'!H30</f>
        <v>Tab Name</v>
      </c>
      <c r="B6" s="720"/>
      <c r="C6" s="720" t="str">
        <f ca="1">'Translation Table'!H31</f>
        <v>Translated Tab Name</v>
      </c>
      <c r="D6" s="720"/>
      <c r="E6" s="720" t="str">
        <f ca="1">'Translation Table'!H32</f>
        <v>Hyperlink</v>
      </c>
      <c r="F6" s="720"/>
      <c r="G6" s="727" t="str">
        <f ca="1">'Translation Table'!H33</f>
        <v>Description</v>
      </c>
      <c r="H6" s="728"/>
      <c r="I6" s="728"/>
      <c r="J6" s="728"/>
      <c r="K6" s="728"/>
      <c r="L6" s="728"/>
      <c r="M6" s="728"/>
      <c r="N6" s="728"/>
    </row>
    <row r="7" spans="1:14" ht="32.25" customHeight="1" x14ac:dyDescent="0.3">
      <c r="A7" s="721" t="s">
        <v>2748</v>
      </c>
      <c r="B7" s="722"/>
      <c r="C7" s="723" t="str">
        <f ca="1">'Translation Table'!H36</f>
        <v>Language &amp; User Guide</v>
      </c>
      <c r="D7" s="724"/>
      <c r="E7" s="733"/>
      <c r="F7" s="734"/>
      <c r="G7" s="726" t="str">
        <f ca="1">'Translation Table'!H42</f>
        <v>This tool currently supports English, Mandarin Chinese, and Spanish. The language of choice may be selected using the selection feature located at the top of the "Language &amp; User Guide" worksheet.</v>
      </c>
      <c r="H7" s="726"/>
      <c r="I7" s="726"/>
      <c r="J7" s="726"/>
      <c r="K7" s="726"/>
      <c r="L7" s="726"/>
      <c r="M7" s="726"/>
      <c r="N7" s="726"/>
    </row>
    <row r="8" spans="1:14" ht="30" customHeight="1" x14ac:dyDescent="0.3">
      <c r="A8" s="721" t="s">
        <v>2575</v>
      </c>
      <c r="B8" s="722"/>
      <c r="C8" s="723" t="str">
        <f ca="1">'Translation Table'!H37</f>
        <v>Results (Graphical) – Facility</v>
      </c>
      <c r="D8" s="724"/>
      <c r="E8" s="731"/>
      <c r="F8" s="732"/>
      <c r="G8" s="726" t="str">
        <f ca="1">'Translation Table'!H43</f>
        <v>This tab displays a graphical summary of the emissions assessment results.</v>
      </c>
      <c r="H8" s="726"/>
      <c r="I8" s="726"/>
      <c r="J8" s="726"/>
      <c r="K8" s="726"/>
      <c r="L8" s="726"/>
      <c r="M8" s="726"/>
      <c r="N8" s="726"/>
    </row>
    <row r="9" spans="1:14" ht="32.15" customHeight="1" x14ac:dyDescent="0.3">
      <c r="A9" s="721" t="s">
        <v>2586</v>
      </c>
      <c r="B9" s="722"/>
      <c r="C9" s="723" t="str">
        <f ca="1">'Translation Table'!H38</f>
        <v>Results (Tabular) - Facility</v>
      </c>
      <c r="D9" s="724"/>
      <c r="E9" s="731"/>
      <c r="F9" s="732"/>
      <c r="G9" s="726" t="str">
        <f ca="1">'Translation Table'!H44</f>
        <v>This tab provides a tabular summary of the emissions assessment results presented by primary source category and type of GHG.</v>
      </c>
      <c r="H9" s="726"/>
      <c r="I9" s="726"/>
      <c r="J9" s="726"/>
      <c r="K9" s="726"/>
      <c r="L9" s="726"/>
      <c r="M9" s="726"/>
      <c r="N9" s="726"/>
    </row>
    <row r="10" spans="1:14" ht="63" customHeight="1" x14ac:dyDescent="0.3">
      <c r="A10" s="721" t="s">
        <v>2750</v>
      </c>
      <c r="B10" s="722"/>
      <c r="C10" s="723" t="str">
        <f ca="1">'Translation Table'!H39</f>
        <v>Setup - Facility Details</v>
      </c>
      <c r="D10" s="724"/>
      <c r="E10" s="729"/>
      <c r="F10" s="730"/>
      <c r="G10" s="726" t="str">
        <f ca="1">'Translation Table'!H45</f>
        <v>The “Setup - Facility Details” worksheet is where the user defines the type of facility for which GHG emissions are to be assessed and provides the basic input information needed to perform the assessment. The necessary input information includes activity data, details on the major process or equipment packaged at the facility, and emissions monitoring results (where available).</v>
      </c>
      <c r="H10" s="726"/>
      <c r="I10" s="726"/>
      <c r="J10" s="726"/>
      <c r="K10" s="726"/>
      <c r="L10" s="726"/>
      <c r="M10" s="726"/>
      <c r="N10" s="726"/>
    </row>
    <row r="11" spans="1:14" ht="315" customHeight="1" x14ac:dyDescent="0.3">
      <c r="A11" s="721" t="s">
        <v>3118</v>
      </c>
      <c r="B11" s="722"/>
      <c r="C11" s="723" t="str">
        <f ca="1">'Translation Table'!H40</f>
        <v>Setup - Fuel Use</v>
      </c>
      <c r="D11" s="724"/>
      <c r="E11" s="731"/>
      <c r="F11" s="732"/>
      <c r="G11" s="726" t="str">
        <f ca="1">'Translation Table'!H46</f>
        <v>This worksheet is where any gaseous, liquid, and solid fuel use at a facility is reported. Typically, a facility's total fuel consumption by fuel type is measured but the  amount consumed by type of stationary combustion source (e.g., turbines, engines, and process heaters and boilers) is not. Determining the disposition of each fuel type by source type is important since the specific emissions of methane (i.e., due to incomplete combustion) and other pollutants is a function of these two parameters. Accordingly, this worksheet allows the user to input information on each combustion source for use in estimating the sitewide disposition of each fuel. One option for estimating this disposition is to provide the rated power output of each source along with its operating time and estimated percent loading (if known). In the case of drivers (i.e., turbines and engines) for natural gas compressors and electric power generators, a second (more refined) option is to provide information  on the amount of useful  process work being performed, which is then used to back calculate source-specific fuel consumption. In either case, the calculations are designed to minimize the amount of input information required from the user with some information being optional. Where both options are applied, only the results of the second option will be used. If there are multiple combustion sources of the same type and size and having similar operating conditions, then only one instance of this source needs to be entered along with the quantity of these units. The aggregate results from all relevant assessed sources and groups of sources are forced to match the reported sitewide fuel consumption for each fuel type. If sitewide fuel consumption is not measured, then the fuel use estimates are used directly. If some of the combustion sources are equipped with fuel use metering and others are not, then any adjustments needed to achieve a correct fuel balance are primarily applied to the estimated values. These determinations are all done programmatically for the user.</v>
      </c>
      <c r="H11" s="726"/>
      <c r="I11" s="726"/>
      <c r="J11" s="726"/>
      <c r="K11" s="726"/>
      <c r="L11" s="726"/>
      <c r="M11" s="726"/>
      <c r="N11" s="726"/>
    </row>
    <row r="12" spans="1:14" ht="130.5" customHeight="1" x14ac:dyDescent="0.3">
      <c r="A12" s="721" t="s">
        <v>3121</v>
      </c>
      <c r="B12" s="722"/>
      <c r="C12" s="723" t="str">
        <f ca="1">'Translation Table'!H41</f>
        <v>Setup - Flashing Losses</v>
      </c>
      <c r="D12" s="724"/>
      <c r="E12" s="731"/>
      <c r="F12" s="732"/>
      <c r="G12" s="726" t="str">
        <f ca="1">'Translation Table'!H47</f>
        <v>This worksheet is where information needed to assess flashing losses from produced oil and water storage tanks at production facilities is entered (where applicable). The minimum required input information is the amount of oil and water produced. If it is known, additional input information includes the temperature and pressure of the relevant upstream pressure vessels (e.g., separators, vapor recovery towers, or treaters) and details of any vapor controls that may be in place (if this information is unavailable then conservative default values are applied). The amount of emissions is estimated using the Valko McCain (2003) correlation. The default input data have been adapted from the API Compendium (2021).</v>
      </c>
      <c r="H12" s="726"/>
      <c r="I12" s="726"/>
      <c r="J12" s="726"/>
      <c r="K12" s="726"/>
      <c r="L12" s="726"/>
      <c r="M12" s="726"/>
      <c r="N12" s="726"/>
    </row>
  </sheetData>
  <sheetProtection algorithmName="SHA-512" hashValue="4AYstAtuEzh79DAlz+2H1Q0Kh/xDffa/36FuvmLUxU74pt3qcomzF4il0EA3be+HtHDbvJHu8IeGgycb3argPg==" saltValue="rpnmcYiwogwKdiYLZHa03g==" spinCount="100000" sheet="1" objects="1" scenarios="1"/>
  <mergeCells count="29">
    <mergeCell ref="A11:B11"/>
    <mergeCell ref="C11:D11"/>
    <mergeCell ref="E11:F11"/>
    <mergeCell ref="G11:N11"/>
    <mergeCell ref="A12:B12"/>
    <mergeCell ref="C12:D12"/>
    <mergeCell ref="E12:F12"/>
    <mergeCell ref="G12:N12"/>
    <mergeCell ref="E10:F10"/>
    <mergeCell ref="E9:F9"/>
    <mergeCell ref="C7:D7"/>
    <mergeCell ref="C9:D9"/>
    <mergeCell ref="E6:F6"/>
    <mergeCell ref="E7:F7"/>
    <mergeCell ref="E8:F8"/>
    <mergeCell ref="C6:D6"/>
    <mergeCell ref="C8:D8"/>
    <mergeCell ref="G10:N10"/>
    <mergeCell ref="G6:N6"/>
    <mergeCell ref="G7:N7"/>
    <mergeCell ref="G8:N8"/>
    <mergeCell ref="G9:N9"/>
    <mergeCell ref="A6:B6"/>
    <mergeCell ref="A9:B9"/>
    <mergeCell ref="C10:D10"/>
    <mergeCell ref="A10:B10"/>
    <mergeCell ref="A5:B5"/>
    <mergeCell ref="A7:B7"/>
    <mergeCell ref="A8:B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B2443-85D7-408B-B1C4-77BF103FB37F}">
  <sheetPr codeName="Sheet5">
    <tabColor rgb="FF00C698"/>
    <pageSetUpPr fitToPage="1"/>
  </sheetPr>
  <dimension ref="A1:AY42"/>
  <sheetViews>
    <sheetView showGridLines="0" topLeftCell="A22" workbookViewId="0">
      <selection sqref="A1:P1"/>
    </sheetView>
  </sheetViews>
  <sheetFormatPr defaultColWidth="9.1796875" defaultRowHeight="14" x14ac:dyDescent="0.3"/>
  <cols>
    <col min="1" max="16" width="8.453125" style="256" customWidth="1"/>
    <col min="17" max="17" width="14.54296875" style="256" customWidth="1"/>
    <col min="18" max="18" width="30.81640625" style="256" customWidth="1"/>
    <col min="19" max="19" width="42.7265625" style="256" customWidth="1"/>
    <col min="20" max="30" width="9.1796875" style="256"/>
    <col min="31" max="35" width="9.1796875" style="65"/>
    <col min="36" max="36" width="8.54296875" style="65" customWidth="1"/>
    <col min="37" max="37" width="8.54296875" style="45" customWidth="1"/>
    <col min="38" max="48" width="9.7265625" style="45" customWidth="1"/>
    <col min="49" max="49" width="9.1796875" style="45"/>
    <col min="50" max="51" width="9.1796875" style="65"/>
    <col min="52" max="16384" width="9.1796875" style="256"/>
  </cols>
  <sheetData>
    <row r="1" spans="1:47" ht="27.75" customHeight="1" x14ac:dyDescent="0.3">
      <c r="A1" s="738" t="str">
        <f ca="1">'Translation Table'!H61</f>
        <v>Emission Results(Facility Level) - Summary by Source Category and Pollutant Type</v>
      </c>
      <c r="B1" s="738"/>
      <c r="C1" s="738"/>
      <c r="D1" s="738"/>
      <c r="E1" s="738"/>
      <c r="F1" s="738"/>
      <c r="G1" s="738"/>
      <c r="H1" s="738"/>
      <c r="I1" s="738"/>
      <c r="J1" s="738"/>
      <c r="K1" s="738"/>
      <c r="L1" s="738"/>
      <c r="M1" s="738"/>
      <c r="N1" s="738"/>
      <c r="O1" s="738"/>
      <c r="P1" s="738"/>
      <c r="Q1" s="153"/>
      <c r="R1" s="182" t="str">
        <f ca="1">'Translation Table'!H86</f>
        <v>Primary Source Category</v>
      </c>
      <c r="S1" s="331" t="str">
        <f ca="1">'Translation Table'!H100</f>
        <v>Emissions Mitigation Technologies</v>
      </c>
      <c r="T1" s="153"/>
    </row>
    <row r="2" spans="1:47" ht="15.75" customHeight="1" x14ac:dyDescent="0.3">
      <c r="A2" s="180"/>
      <c r="B2" s="180"/>
      <c r="C2" s="180"/>
      <c r="D2" s="180"/>
      <c r="E2" s="180"/>
      <c r="F2" s="180"/>
      <c r="G2" s="180"/>
      <c r="H2" s="180"/>
      <c r="I2" s="180"/>
      <c r="J2" s="180"/>
      <c r="K2" s="180"/>
      <c r="L2" s="180"/>
      <c r="M2" s="180"/>
      <c r="N2" s="180"/>
      <c r="O2" s="180"/>
      <c r="P2" s="180"/>
      <c r="Q2" s="153"/>
      <c r="R2" s="328"/>
      <c r="T2" s="153"/>
    </row>
    <row r="3" spans="1:47" ht="16" customHeight="1" x14ac:dyDescent="0.3">
      <c r="A3" s="739" t="str">
        <f ca="1">'Translation Table'!H77</f>
        <v>Company Name:</v>
      </c>
      <c r="B3" s="740" t="str">
        <f>'Translation Table'!I77</f>
        <v>Company Name:</v>
      </c>
      <c r="C3" s="740" t="str">
        <f>'Translation Table'!J77</f>
        <v>公司名称:</v>
      </c>
      <c r="D3" s="740" t="str">
        <f>'Translation Table'!K77</f>
        <v>Nombre de Compañía:</v>
      </c>
      <c r="E3" s="741">
        <f>'Translation Table'!L77</f>
        <v>0</v>
      </c>
      <c r="F3" s="742">
        <f>'Setup - Facility Details'!C4</f>
        <v>0</v>
      </c>
      <c r="G3" s="743">
        <f>'Setup - Facility Details'!H4</f>
        <v>0</v>
      </c>
      <c r="H3" s="743">
        <f>'Setup - Facility Details'!I4</f>
        <v>0</v>
      </c>
      <c r="I3" s="743">
        <f>'Setup - Facility Details'!J4</f>
        <v>0</v>
      </c>
      <c r="J3" s="744">
        <f>'Setup - Facility Details'!K4</f>
        <v>0</v>
      </c>
      <c r="K3" s="180"/>
      <c r="L3" s="180"/>
      <c r="M3" s="180"/>
      <c r="N3" s="180"/>
      <c r="O3" s="180"/>
      <c r="P3" s="180"/>
      <c r="Q3" s="153"/>
      <c r="R3" s="328"/>
      <c r="T3" s="153"/>
    </row>
    <row r="4" spans="1:47" ht="16" customHeight="1" x14ac:dyDescent="0.3">
      <c r="A4" s="739" t="str">
        <f ca="1">'Translation Table'!H78</f>
        <v>Facility Name:</v>
      </c>
      <c r="B4" s="740" t="str">
        <f>'Translation Table'!I78</f>
        <v>Facility Name:</v>
      </c>
      <c r="C4" s="740" t="str">
        <f>'Translation Table'!J78</f>
        <v>设备名称:</v>
      </c>
      <c r="D4" s="740" t="str">
        <f>'Translation Table'!K78</f>
        <v>Nombre de Instalación:</v>
      </c>
      <c r="E4" s="741">
        <f>'Translation Table'!L78</f>
        <v>0</v>
      </c>
      <c r="F4" s="742">
        <f>'Setup - Facility Details'!C5</f>
        <v>0</v>
      </c>
      <c r="G4" s="743">
        <f>'Setup - Facility Details'!H5</f>
        <v>0</v>
      </c>
      <c r="H4" s="743">
        <f>'Setup - Facility Details'!I5</f>
        <v>0</v>
      </c>
      <c r="I4" s="743">
        <f>'Setup - Facility Details'!J5</f>
        <v>0</v>
      </c>
      <c r="J4" s="744">
        <f>'Setup - Facility Details'!K5</f>
        <v>0</v>
      </c>
      <c r="K4" s="180"/>
      <c r="L4" s="180"/>
      <c r="M4" s="180"/>
      <c r="N4" s="180"/>
      <c r="O4" s="180"/>
      <c r="P4" s="180"/>
      <c r="Q4" s="153"/>
      <c r="R4" s="328"/>
      <c r="T4" s="153"/>
    </row>
    <row r="5" spans="1:47" ht="16" customHeight="1" x14ac:dyDescent="0.3">
      <c r="A5" s="739" t="str">
        <f ca="1">'Translation Table'!H159</f>
        <v>Asset ID:</v>
      </c>
      <c r="B5" s="740" t="str">
        <f>'Translation Table'!I159</f>
        <v>Asset ID:</v>
      </c>
      <c r="C5" s="740">
        <f>'Translation Table'!J159</f>
        <v>0</v>
      </c>
      <c r="D5" s="740">
        <f>'Translation Table'!K159</f>
        <v>0</v>
      </c>
      <c r="E5" s="741">
        <f>'Translation Table'!L159</f>
        <v>0</v>
      </c>
      <c r="F5" s="742">
        <f>'Setup - Facility Details'!C6</f>
        <v>0</v>
      </c>
      <c r="G5" s="743">
        <f>'Setup - Facility Details'!H6</f>
        <v>0</v>
      </c>
      <c r="H5" s="743">
        <f>'Setup - Facility Details'!I6</f>
        <v>0</v>
      </c>
      <c r="I5" s="743">
        <f>'Setup - Facility Details'!J6</f>
        <v>0</v>
      </c>
      <c r="J5" s="744">
        <f>'Setup - Facility Details'!K6</f>
        <v>0</v>
      </c>
      <c r="K5" s="180"/>
      <c r="L5" s="180"/>
      <c r="M5" s="180"/>
      <c r="N5" s="180"/>
      <c r="O5" s="180"/>
      <c r="P5" s="180"/>
      <c r="Q5" s="153"/>
      <c r="R5" s="328"/>
      <c r="T5" s="153"/>
    </row>
    <row r="6" spans="1:47" ht="16" customHeight="1" x14ac:dyDescent="0.3">
      <c r="A6" s="739" t="str">
        <f ca="1">'Translation Table'!H160</f>
        <v>Country:</v>
      </c>
      <c r="B6" s="740" t="str">
        <f>'Translation Table'!I160</f>
        <v>Country:</v>
      </c>
      <c r="C6" s="740">
        <f>'Translation Table'!J160</f>
        <v>0</v>
      </c>
      <c r="D6" s="740">
        <f>'Translation Table'!K160</f>
        <v>0</v>
      </c>
      <c r="E6" s="741">
        <f>'Translation Table'!L160</f>
        <v>0</v>
      </c>
      <c r="F6" s="742">
        <f>'Setup - Facility Details'!C7</f>
        <v>0</v>
      </c>
      <c r="G6" s="743">
        <f>'Setup - Facility Details'!H7</f>
        <v>0</v>
      </c>
      <c r="H6" s="743">
        <f>'Setup - Facility Details'!I7</f>
        <v>0</v>
      </c>
      <c r="I6" s="743">
        <f>'Setup - Facility Details'!J7</f>
        <v>0</v>
      </c>
      <c r="J6" s="744">
        <f>'Setup - Facility Details'!K7</f>
        <v>0</v>
      </c>
      <c r="K6" s="180"/>
      <c r="L6" s="180"/>
      <c r="M6" s="180"/>
      <c r="N6" s="180"/>
      <c r="O6" s="180"/>
      <c r="P6" s="180"/>
      <c r="Q6" s="153"/>
      <c r="R6" s="328"/>
      <c r="T6" s="153"/>
    </row>
    <row r="7" spans="1:47" ht="16" customHeight="1" x14ac:dyDescent="0.3">
      <c r="A7" s="739" t="str">
        <f ca="1">'Translation Table'!H161</f>
        <v>Latitude:</v>
      </c>
      <c r="B7" s="740" t="str">
        <f>'Translation Table'!I161</f>
        <v>Latitude:</v>
      </c>
      <c r="C7" s="740">
        <f>'Translation Table'!J161</f>
        <v>0</v>
      </c>
      <c r="D7" s="740">
        <f>'Translation Table'!K161</f>
        <v>0</v>
      </c>
      <c r="E7" s="741">
        <f>'Translation Table'!L161</f>
        <v>0</v>
      </c>
      <c r="F7" s="742">
        <f>'Setup - Facility Details'!C8</f>
        <v>0</v>
      </c>
      <c r="G7" s="743">
        <f>'Setup - Facility Details'!H8</f>
        <v>0</v>
      </c>
      <c r="H7" s="743">
        <f>'Setup - Facility Details'!I8</f>
        <v>0</v>
      </c>
      <c r="I7" s="743">
        <f>'Setup - Facility Details'!J8</f>
        <v>0</v>
      </c>
      <c r="J7" s="744">
        <f>'Setup - Facility Details'!K8</f>
        <v>0</v>
      </c>
      <c r="K7" s="180"/>
      <c r="L7" s="180"/>
      <c r="M7" s="180"/>
      <c r="N7" s="180"/>
      <c r="O7" s="180"/>
      <c r="P7" s="180"/>
      <c r="Q7" s="153"/>
      <c r="R7" s="328"/>
      <c r="T7" s="153"/>
    </row>
    <row r="8" spans="1:47" ht="16" customHeight="1" x14ac:dyDescent="0.3">
      <c r="A8" s="739" t="str">
        <f ca="1">'Translation Table'!H162</f>
        <v>Longitude:</v>
      </c>
      <c r="B8" s="740" t="str">
        <f>'Translation Table'!I162</f>
        <v>Longitude:</v>
      </c>
      <c r="C8" s="740">
        <f>'Translation Table'!J162</f>
        <v>0</v>
      </c>
      <c r="D8" s="740">
        <f>'Translation Table'!K162</f>
        <v>0</v>
      </c>
      <c r="E8" s="741">
        <f>'Translation Table'!L162</f>
        <v>0</v>
      </c>
      <c r="F8" s="742">
        <f>'Setup - Facility Details'!C9</f>
        <v>0</v>
      </c>
      <c r="G8" s="743">
        <f>'Setup - Facility Details'!H9</f>
        <v>0</v>
      </c>
      <c r="H8" s="743">
        <f>'Setup - Facility Details'!I9</f>
        <v>0</v>
      </c>
      <c r="I8" s="743">
        <f>'Setup - Facility Details'!J9</f>
        <v>0</v>
      </c>
      <c r="J8" s="744">
        <f>'Setup - Facility Details'!K9</f>
        <v>0</v>
      </c>
      <c r="K8" s="180"/>
      <c r="L8" s="180"/>
      <c r="M8" s="180"/>
      <c r="N8" s="180"/>
      <c r="O8" s="180"/>
      <c r="P8" s="180"/>
      <c r="Q8" s="153"/>
      <c r="R8" s="328"/>
      <c r="T8" s="153"/>
    </row>
    <row r="9" spans="1:47" ht="16" customHeight="1" x14ac:dyDescent="0.3">
      <c r="A9" s="739" t="str">
        <f ca="1">'Translation Table'!H80</f>
        <v>Reference Year:</v>
      </c>
      <c r="B9" s="740" t="str">
        <f>'Translation Table'!I80</f>
        <v>Reference Year:</v>
      </c>
      <c r="C9" s="740" t="str">
        <f>'Translation Table'!J80</f>
        <v>参考年:</v>
      </c>
      <c r="D9" s="740" t="str">
        <f>'Translation Table'!K80</f>
        <v>Año de Referencia:</v>
      </c>
      <c r="E9" s="741">
        <f>'Translation Table'!L80</f>
        <v>0</v>
      </c>
      <c r="F9" s="742">
        <f>'Setup - Facility Details'!C10</f>
        <v>0</v>
      </c>
      <c r="G9" s="743">
        <f>'Setup - Facility Details'!H10</f>
        <v>0</v>
      </c>
      <c r="H9" s="743">
        <f>'Setup - Facility Details'!I10</f>
        <v>0</v>
      </c>
      <c r="I9" s="743">
        <f>'Setup - Facility Details'!J10</f>
        <v>0</v>
      </c>
      <c r="J9" s="744">
        <f>'Setup - Facility Details'!K10</f>
        <v>0</v>
      </c>
      <c r="K9" s="180"/>
      <c r="L9" s="180"/>
      <c r="M9" s="180"/>
      <c r="N9" s="180"/>
      <c r="O9" s="180"/>
      <c r="P9" s="180"/>
      <c r="Q9" s="153"/>
      <c r="R9" s="328"/>
      <c r="T9" s="153"/>
    </row>
    <row r="10" spans="1:47" ht="16" customHeight="1" x14ac:dyDescent="0.3">
      <c r="A10" s="739" t="str">
        <f ca="1">'Translation Table'!H81</f>
        <v>Industry Segment</v>
      </c>
      <c r="B10" s="740" t="str">
        <f>'Translation Table'!I81</f>
        <v>Industry Segment</v>
      </c>
      <c r="C10" s="740" t="str">
        <f>'Translation Table'!J81</f>
        <v>行业部门:</v>
      </c>
      <c r="D10" s="740" t="str">
        <f>'Translation Table'!K81</f>
        <v>Segmento de la Industria</v>
      </c>
      <c r="E10" s="741">
        <f>'Translation Table'!L81</f>
        <v>0</v>
      </c>
      <c r="F10" s="742" t="str">
        <f ca="1">'Setup - Facility Details'!C11</f>
        <v>Gas Processing</v>
      </c>
      <c r="G10" s="743">
        <f>'Setup - Facility Details'!H11</f>
        <v>0</v>
      </c>
      <c r="H10" s="743">
        <f>'Setup - Facility Details'!I11</f>
        <v>0</v>
      </c>
      <c r="I10" s="743">
        <f>'Setup - Facility Details'!J11</f>
        <v>0</v>
      </c>
      <c r="J10" s="744">
        <f>'Setup - Facility Details'!K11</f>
        <v>0</v>
      </c>
      <c r="K10" s="180"/>
      <c r="L10" s="180"/>
      <c r="M10" s="180"/>
      <c r="N10" s="180"/>
      <c r="O10" s="180"/>
      <c r="P10" s="180"/>
      <c r="Q10" s="153"/>
      <c r="R10" s="328"/>
      <c r="T10" s="153"/>
    </row>
    <row r="11" spans="1:47" ht="16" customHeight="1" x14ac:dyDescent="0.3">
      <c r="A11" s="739" t="str">
        <f ca="1">'Translation Table'!H82</f>
        <v>Facility Type</v>
      </c>
      <c r="B11" s="740" t="str">
        <f>'Translation Table'!I82</f>
        <v>Facility Type</v>
      </c>
      <c r="C11" s="740" t="str">
        <f>'Translation Table'!J82</f>
        <v>设施类型:</v>
      </c>
      <c r="D11" s="740" t="str">
        <f>'Translation Table'!K82</f>
        <v>Tipo de Instalación</v>
      </c>
      <c r="E11" s="741">
        <f>'Translation Table'!L82</f>
        <v>0</v>
      </c>
      <c r="F11" s="742" t="str">
        <f ca="1">'Setup - Facility Details'!C12</f>
        <v>Sweet Gas Plant</v>
      </c>
      <c r="G11" s="743">
        <f>'Setup - Facility Details'!H12</f>
        <v>0</v>
      </c>
      <c r="H11" s="743">
        <f>'Setup - Facility Details'!I12</f>
        <v>0</v>
      </c>
      <c r="I11" s="743">
        <f>'Setup - Facility Details'!J12</f>
        <v>0</v>
      </c>
      <c r="J11" s="744">
        <f>'Setup - Facility Details'!K12</f>
        <v>0</v>
      </c>
      <c r="K11" s="180"/>
      <c r="L11" s="180"/>
      <c r="M11" s="180"/>
      <c r="N11" s="180"/>
      <c r="O11" s="180"/>
      <c r="P11" s="180"/>
      <c r="Q11" s="153"/>
      <c r="R11" s="183" t="str">
        <f ca="1">'Translation Table'!H101</f>
        <v>Fuel Combustion:</v>
      </c>
      <c r="S11" s="332" t="s">
        <v>2711</v>
      </c>
      <c r="T11" s="153"/>
    </row>
    <row r="12" spans="1:47" ht="16.5" customHeight="1" x14ac:dyDescent="0.3">
      <c r="R12" s="184"/>
      <c r="S12" s="333" t="s">
        <v>3206</v>
      </c>
      <c r="AM12" s="45" t="str">
        <f ca="1">'Results (Tabular) - Facility'!C14</f>
        <v>CH4</v>
      </c>
      <c r="AN12" s="45" t="str">
        <f ca="1">'Results (Tabular) - Facility'!D14</f>
        <v>CO2</v>
      </c>
      <c r="AO12" s="45" t="str">
        <f ca="1">'Results (Tabular) - Facility'!E14</f>
        <v>N2O</v>
      </c>
      <c r="AP12" s="45" t="str">
        <f ca="1">'Results (Tabular) - Facility'!F14</f>
        <v>CO2E</v>
      </c>
      <c r="AQ12" s="45" t="str">
        <f ca="1">'Results (Tabular) - Facility'!G14</f>
        <v>NOx</v>
      </c>
      <c r="AR12" s="45" t="str">
        <f ca="1">'Results (Tabular) - Facility'!H14</f>
        <v>CO</v>
      </c>
      <c r="AS12" s="45" t="str">
        <f ca="1">'Results (Tabular) - Facility'!I14</f>
        <v>NMVOC</v>
      </c>
      <c r="AT12" s="45" t="str">
        <f ca="1">'Results (Tabular) - Facility'!J14</f>
        <v>SO2</v>
      </c>
      <c r="AU12" s="334">
        <v>1</v>
      </c>
    </row>
    <row r="13" spans="1:47" ht="27" customHeight="1" x14ac:dyDescent="0.3">
      <c r="A13" s="737" t="str">
        <f ca="1">AM12</f>
        <v>CH4</v>
      </c>
      <c r="B13" s="737"/>
      <c r="C13" s="737" t="str">
        <f ca="1">AN12</f>
        <v>CO2</v>
      </c>
      <c r="D13" s="737"/>
      <c r="E13" s="737" t="str">
        <f ca="1">AO12</f>
        <v>N2O</v>
      </c>
      <c r="F13" s="737"/>
      <c r="G13" s="737" t="str">
        <f ca="1">AP12</f>
        <v>CO2E</v>
      </c>
      <c r="H13" s="737"/>
      <c r="I13" s="737" t="str">
        <f ca="1">AQ12</f>
        <v>NOx</v>
      </c>
      <c r="J13" s="737"/>
      <c r="K13" s="737" t="str">
        <f ca="1">AR12</f>
        <v>CO</v>
      </c>
      <c r="L13" s="737"/>
      <c r="M13" s="737" t="str">
        <f ca="1">AS12</f>
        <v>NMVOC</v>
      </c>
      <c r="N13" s="737"/>
      <c r="O13" s="737" t="str">
        <f ca="1">AT12</f>
        <v>SO2</v>
      </c>
      <c r="P13" s="737"/>
      <c r="R13" s="169" t="str">
        <f ca="1">'Translation Table'!H129</f>
        <v>Acid Gas Removal</v>
      </c>
      <c r="S13" s="171"/>
      <c r="AL13" s="45" t="str">
        <f ca="1">'Results (Tabular) - Facility'!A14</f>
        <v>Primary Source Category</v>
      </c>
      <c r="AM13" s="45" t="str">
        <f ca="1">_xlfn.CONCAT('Translation Table'!H60," - ",'Results (Tabular) - Facility'!C14)</f>
        <v>Total Emissions - CH4</v>
      </c>
      <c r="AN13" s="45" t="str">
        <f ca="1">_xlfn.CONCAT('Translation Table'!H60," - ",'Results (Tabular) - Facility'!D14)</f>
        <v>Total Emissions - CO2</v>
      </c>
      <c r="AO13" s="45" t="str">
        <f ca="1">_xlfn.CONCAT('Translation Table'!H60," - ",'Results (Tabular) - Facility'!E14)</f>
        <v>Total Emissions - N2O</v>
      </c>
      <c r="AP13" s="45" t="str">
        <f ca="1">_xlfn.CONCAT('Translation Table'!H60," - ",'Results (Tabular) - Facility'!F14)</f>
        <v>Total Emissions - CO2E</v>
      </c>
      <c r="AQ13" s="45" t="str">
        <f ca="1">_xlfn.CONCAT('Translation Table'!H60," - ",'Results (Tabular) - Facility'!G14)</f>
        <v>Total Emissions - NOx</v>
      </c>
      <c r="AR13" s="45" t="str">
        <f ca="1">_xlfn.CONCAT('Translation Table'!H60," - ",'Results (Tabular) - Facility'!H14)</f>
        <v>Total Emissions - CO</v>
      </c>
      <c r="AS13" s="45" t="str">
        <f ca="1">_xlfn.CONCAT('Translation Table'!H60," - ",'Results (Tabular) - Facility'!I14)</f>
        <v>Total Emissions - NMVOC</v>
      </c>
      <c r="AT13" s="45" t="str">
        <f ca="1">_xlfn.CONCAT('Translation Table'!H60," - ",'Results (Tabular) - Facility'!J14)</f>
        <v>Total Emissions - SO2</v>
      </c>
      <c r="AU13" s="334" t="str" cm="1">
        <f t="array" aca="1" ref="AU13" ca="1">INDEX($AM$13:$AT$25,1,$AU$12)</f>
        <v>Total Emissions - CH4</v>
      </c>
    </row>
    <row r="14" spans="1:47" ht="25" customHeight="1" x14ac:dyDescent="0.3">
      <c r="A14" s="735">
        <f ca="1">AM26</f>
        <v>0</v>
      </c>
      <c r="B14" s="735"/>
      <c r="C14" s="735">
        <f ca="1">AN26</f>
        <v>0</v>
      </c>
      <c r="D14" s="735"/>
      <c r="E14" s="735">
        <f ca="1">AO26</f>
        <v>0</v>
      </c>
      <c r="F14" s="735"/>
      <c r="G14" s="735">
        <f ca="1">AP26</f>
        <v>0</v>
      </c>
      <c r="H14" s="735"/>
      <c r="I14" s="735">
        <f ca="1">AQ26</f>
        <v>0</v>
      </c>
      <c r="J14" s="735"/>
      <c r="K14" s="735">
        <f ca="1">AR26</f>
        <v>0</v>
      </c>
      <c r="L14" s="735"/>
      <c r="M14" s="735">
        <f ca="1">AS26</f>
        <v>0</v>
      </c>
      <c r="N14" s="735"/>
      <c r="O14" s="735">
        <f ca="1">AT26</f>
        <v>0</v>
      </c>
      <c r="P14" s="735"/>
      <c r="R14" s="170" t="str">
        <f ca="1">'Translation Table'!H130</f>
        <v>Flaring  &amp; Venting (Hydrocarbon Gas)</v>
      </c>
      <c r="S14" s="171"/>
      <c r="AL14" s="45" t="str">
        <f ca="1">SUBSTITUTE('Results (Tabular) - Facility'!A16,":","")</f>
        <v>Fuel Combustion</v>
      </c>
      <c r="AM14" s="335">
        <f ca="1">SUM('Results (Tabular) - Facility'!C17:'Results (Tabular) - Facility'!C22)</f>
        <v>0</v>
      </c>
      <c r="AN14" s="335">
        <f ca="1">SUM('Results (Tabular) - Facility'!D17:'Results (Tabular) - Facility'!D22)</f>
        <v>0</v>
      </c>
      <c r="AO14" s="335">
        <f ca="1">SUM('Results (Tabular) - Facility'!E17:'Results (Tabular) - Facility'!E22)</f>
        <v>0</v>
      </c>
      <c r="AP14" s="335">
        <f ca="1">SUM('Results (Tabular) - Facility'!F17:'Results (Tabular) - Facility'!F22)</f>
        <v>0</v>
      </c>
      <c r="AQ14" s="335">
        <f ca="1">SUM('Results (Tabular) - Facility'!G17:'Results (Tabular) - Facility'!G22)</f>
        <v>0</v>
      </c>
      <c r="AR14" s="335">
        <f ca="1">SUM('Results (Tabular) - Facility'!H17:'Results (Tabular) - Facility'!H22)</f>
        <v>0</v>
      </c>
      <c r="AS14" s="335">
        <f ca="1">SUM('Results (Tabular) - Facility'!I17:'Results (Tabular) - Facility'!I22)</f>
        <v>0</v>
      </c>
      <c r="AT14" s="335">
        <f ca="1">SUM('Results (Tabular) - Facility'!J17:'Results (Tabular) - Facility'!J22)</f>
        <v>0</v>
      </c>
      <c r="AU14" s="336" cm="1">
        <f t="array" aca="1" ref="AU14" ca="1">INDEX($AM$13:$AT$25,2,$AU$12)</f>
        <v>0</v>
      </c>
    </row>
    <row r="15" spans="1:47" ht="16.5" customHeight="1" x14ac:dyDescent="0.3">
      <c r="A15" s="736" t="str">
        <f ca="1">'Translation Table'!H62</f>
        <v>(tonnes)</v>
      </c>
      <c r="B15" s="736"/>
      <c r="C15" s="736" t="str">
        <f ca="1">'Translation Table'!H62</f>
        <v>(tonnes)</v>
      </c>
      <c r="D15" s="736"/>
      <c r="E15" s="736" t="str">
        <f ca="1">'Translation Table'!H62</f>
        <v>(tonnes)</v>
      </c>
      <c r="F15" s="736"/>
      <c r="G15" s="736" t="str">
        <f ca="1">'Translation Table'!H62</f>
        <v>(tonnes)</v>
      </c>
      <c r="H15" s="736"/>
      <c r="I15" s="736" t="str">
        <f ca="1">'Translation Table'!H62</f>
        <v>(tonnes)</v>
      </c>
      <c r="J15" s="736"/>
      <c r="K15" s="736" t="str">
        <f ca="1">'Translation Table'!H62</f>
        <v>(tonnes)</v>
      </c>
      <c r="L15" s="736"/>
      <c r="M15" s="736" t="str">
        <f ca="1">'Translation Table'!H62</f>
        <v>(tonnes)</v>
      </c>
      <c r="N15" s="736"/>
      <c r="O15" s="736" t="str">
        <f ca="1">'Translation Table'!H62</f>
        <v>(tonnes)</v>
      </c>
      <c r="P15" s="736"/>
      <c r="R15" s="181" t="str">
        <f ca="1">'Translation Table'!H131</f>
        <v>Fugitive Equipment Leaks</v>
      </c>
      <c r="S15" s="337" t="s">
        <v>2611</v>
      </c>
      <c r="AL15" s="45" t="str">
        <f ca="1">'Results (Tabular) - Facility'!A23</f>
        <v>Acid Gas Removal</v>
      </c>
      <c r="AM15" s="335">
        <f>'Results (Tabular) - Facility'!C23</f>
        <v>0</v>
      </c>
      <c r="AN15" s="335">
        <f>'Results (Tabular) - Facility'!D23</f>
        <v>0</v>
      </c>
      <c r="AO15" s="335">
        <f>'Results (Tabular) - Facility'!E23</f>
        <v>0</v>
      </c>
      <c r="AP15" s="335">
        <f>'Results (Tabular) - Facility'!F23</f>
        <v>0</v>
      </c>
      <c r="AQ15" s="335">
        <f>'Results (Tabular) - Facility'!G23</f>
        <v>0</v>
      </c>
      <c r="AR15" s="335">
        <f>'Results (Tabular) - Facility'!H23</f>
        <v>0</v>
      </c>
      <c r="AS15" s="335">
        <f>'Results (Tabular) - Facility'!I23</f>
        <v>0</v>
      </c>
      <c r="AT15" s="335">
        <f>'Results (Tabular) - Facility'!J23</f>
        <v>0</v>
      </c>
      <c r="AU15" s="336" cm="1">
        <f t="array" ref="AU15">INDEX($AM$13:$AT$25,3,$AU$12)</f>
        <v>0</v>
      </c>
    </row>
    <row r="16" spans="1:47" x14ac:dyDescent="0.3">
      <c r="R16" s="181"/>
      <c r="S16" s="337" t="s">
        <v>2616</v>
      </c>
      <c r="AL16" s="45" t="str">
        <f ca="1">'Results (Tabular) - Facility'!A24</f>
        <v>Flaring  &amp; Venting (Hydrocarbon Gas)</v>
      </c>
      <c r="AM16" s="335">
        <f>'Results (Tabular) - Facility'!C24</f>
        <v>0</v>
      </c>
      <c r="AN16" s="335">
        <f>'Results (Tabular) - Facility'!D24</f>
        <v>0</v>
      </c>
      <c r="AO16" s="335">
        <f>'Results (Tabular) - Facility'!E24</f>
        <v>0</v>
      </c>
      <c r="AP16" s="335">
        <f>'Results (Tabular) - Facility'!F24</f>
        <v>0</v>
      </c>
      <c r="AQ16" s="335">
        <f>'Results (Tabular) - Facility'!G24</f>
        <v>0</v>
      </c>
      <c r="AR16" s="335">
        <f>'Results (Tabular) - Facility'!H24</f>
        <v>0</v>
      </c>
      <c r="AS16" s="335">
        <f>'Results (Tabular) - Facility'!I24</f>
        <v>0</v>
      </c>
      <c r="AT16" s="335">
        <f>'Results (Tabular) - Facility'!J24</f>
        <v>0</v>
      </c>
      <c r="AU16" s="336" cm="1">
        <f t="array" ref="AU16">INDEX($AM$13:$AT$25,4,$AU$12)</f>
        <v>0</v>
      </c>
    </row>
    <row r="17" spans="18:47" x14ac:dyDescent="0.3">
      <c r="R17" s="181"/>
      <c r="S17" s="337" t="s">
        <v>2608</v>
      </c>
      <c r="AL17" s="45" t="str">
        <f ca="1">'Results (Tabular) - Facility'!A25</f>
        <v>Fugitive Equipment Leaks</v>
      </c>
      <c r="AM17" s="335">
        <f ca="1">'Results (Tabular) - Facility'!C25</f>
        <v>0</v>
      </c>
      <c r="AN17" s="335">
        <f ca="1">'Results (Tabular) - Facility'!D25</f>
        <v>0</v>
      </c>
      <c r="AO17" s="335">
        <f>'Results (Tabular) - Facility'!E25</f>
        <v>0</v>
      </c>
      <c r="AP17" s="335">
        <f ca="1">'Results (Tabular) - Facility'!F25</f>
        <v>0</v>
      </c>
      <c r="AQ17" s="335">
        <f>'Results (Tabular) - Facility'!G25</f>
        <v>0</v>
      </c>
      <c r="AR17" s="335">
        <f>'Results (Tabular) - Facility'!H25</f>
        <v>0</v>
      </c>
      <c r="AS17" s="335">
        <f ca="1">'Results (Tabular) - Facility'!I25</f>
        <v>0</v>
      </c>
      <c r="AT17" s="335">
        <f>'Results (Tabular) - Facility'!J25</f>
        <v>0</v>
      </c>
      <c r="AU17" s="336" cm="1">
        <f t="array" aca="1" ref="AU17" ca="1">INDEX($AM$13:$AT$25,5,$AU$12)</f>
        <v>0</v>
      </c>
    </row>
    <row r="18" spans="18:47" x14ac:dyDescent="0.3">
      <c r="R18" s="181"/>
      <c r="S18" s="337" t="s">
        <v>2629</v>
      </c>
      <c r="AL18" s="45" t="str">
        <f ca="1">'Results (Tabular) - Facility'!A26</f>
        <v>Compressor Seals</v>
      </c>
      <c r="AM18" s="335">
        <f ca="1">'Results (Tabular) - Facility'!C26</f>
        <v>0</v>
      </c>
      <c r="AN18" s="335">
        <f ca="1">'Results (Tabular) - Facility'!D26</f>
        <v>0</v>
      </c>
      <c r="AO18" s="335">
        <f>'Results (Tabular) - Facility'!E26</f>
        <v>0</v>
      </c>
      <c r="AP18" s="335">
        <f ca="1">'Results (Tabular) - Facility'!F26</f>
        <v>0</v>
      </c>
      <c r="AQ18" s="335">
        <f>'Results (Tabular) - Facility'!G26</f>
        <v>0</v>
      </c>
      <c r="AR18" s="335">
        <f>'Results (Tabular) - Facility'!H26</f>
        <v>0</v>
      </c>
      <c r="AS18" s="335">
        <f ca="1">'Results (Tabular) - Facility'!I26</f>
        <v>0</v>
      </c>
      <c r="AT18" s="335">
        <f>'Results (Tabular) - Facility'!J26</f>
        <v>0</v>
      </c>
      <c r="AU18" s="336" cm="1">
        <f t="array" aca="1" ref="AU18" ca="1">INDEX($AM$13:$AT$25,6,$AU$12)</f>
        <v>0</v>
      </c>
    </row>
    <row r="19" spans="18:47" x14ac:dyDescent="0.3">
      <c r="R19" s="558" t="str">
        <f ca="1">'Translation Table'!H132</f>
        <v>Compressor Seals</v>
      </c>
      <c r="AL19" s="45" t="str">
        <f ca="1">_xlfn.CONCAT('Results (Tabular) - Facility'!A27,SUBSTITUTE('Results (Tabular) - Facility'!A28,"- ",""))</f>
        <v>Wells: Casing Vents</v>
      </c>
      <c r="AM19" s="335">
        <f ca="1">'Results (Tabular) - Facility'!C28</f>
        <v>0</v>
      </c>
      <c r="AN19" s="335">
        <f ca="1">'Results (Tabular) - Facility'!D28</f>
        <v>0</v>
      </c>
      <c r="AO19" s="335">
        <f>'Results (Tabular) - Facility'!E28</f>
        <v>0</v>
      </c>
      <c r="AP19" s="335">
        <f ca="1">'Results (Tabular) - Facility'!F28</f>
        <v>0</v>
      </c>
      <c r="AQ19" s="335">
        <f>'Results (Tabular) - Facility'!G28</f>
        <v>0</v>
      </c>
      <c r="AR19" s="335">
        <f>'Results (Tabular) - Facility'!H28</f>
        <v>0</v>
      </c>
      <c r="AS19" s="335">
        <f ca="1">'Results (Tabular) - Facility'!I28</f>
        <v>0</v>
      </c>
      <c r="AT19" s="335">
        <f>'Results (Tabular) - Facility'!J28</f>
        <v>0</v>
      </c>
      <c r="AU19" s="336" cm="1">
        <f t="array" aca="1" ref="AU19" ca="1">INDEX($AM$13:$AT$25,7,$AU$12)</f>
        <v>0</v>
      </c>
    </row>
    <row r="20" spans="18:47" x14ac:dyDescent="0.3">
      <c r="R20" s="173" t="str">
        <f ca="1">AL19</f>
        <v>Wells: Casing Vents</v>
      </c>
      <c r="S20" s="338" t="s">
        <v>2623</v>
      </c>
      <c r="AL20" s="45" t="str">
        <f ca="1">SUBSTITUTE('Results (Tabular) - Facility'!A30,":","")</f>
        <v>Pneumatic Devices</v>
      </c>
      <c r="AM20" s="335">
        <f ca="1">SUM('Results (Tabular) - Facility'!C31:'Results (Tabular) - Facility'!C33)</f>
        <v>0</v>
      </c>
      <c r="AN20" s="335">
        <f ca="1">SUM('Results (Tabular) - Facility'!D31:'Results (Tabular) - Facility'!D33)</f>
        <v>0</v>
      </c>
      <c r="AO20" s="335">
        <f>SUM('Results (Tabular) - Facility'!E31:'Results (Tabular) - Facility'!E33)</f>
        <v>0</v>
      </c>
      <c r="AP20" s="335">
        <f ca="1">SUM('Results (Tabular) - Facility'!F31:'Results (Tabular) - Facility'!F33)</f>
        <v>0</v>
      </c>
      <c r="AQ20" s="335">
        <f>SUM('Results (Tabular) - Facility'!G31:'Results (Tabular) - Facility'!G33)</f>
        <v>0</v>
      </c>
      <c r="AR20" s="335">
        <f>SUM('Results (Tabular) - Facility'!H31:'Results (Tabular) - Facility'!H33)</f>
        <v>0</v>
      </c>
      <c r="AS20" s="335">
        <f ca="1">SUM('Results (Tabular) - Facility'!I31:'Results (Tabular) - Facility'!I33)</f>
        <v>0</v>
      </c>
      <c r="AT20" s="335">
        <f>SUM('Results (Tabular) - Facility'!J31:'Results (Tabular) - Facility'!J33)</f>
        <v>0</v>
      </c>
      <c r="AU20" s="336" cm="1">
        <f t="array" aca="1" ref="AU20" ca="1">INDEX($AM$13:$AT$25,8,$AU$12)</f>
        <v>0</v>
      </c>
    </row>
    <row r="21" spans="18:47" x14ac:dyDescent="0.3">
      <c r="R21" s="179" t="str">
        <f ca="1">'Translation Table'!H136</f>
        <v>Pneumatic Devices:</v>
      </c>
      <c r="S21" s="339" t="s">
        <v>2626</v>
      </c>
      <c r="AL21" s="45" t="str">
        <f ca="1">SUBSTITUTE('Results (Tabular) - Facility'!A34,":","")</f>
        <v>Process Venting</v>
      </c>
      <c r="AM21" s="335">
        <f ca="1">SUM('Results (Tabular) - Facility'!C35:'Results (Tabular) - Facility'!C37)</f>
        <v>0</v>
      </c>
      <c r="AN21" s="335">
        <f ca="1">SUM('Results (Tabular) - Facility'!D35:'Results (Tabular) - Facility'!D37)</f>
        <v>0</v>
      </c>
      <c r="AO21" s="335">
        <f>SUM('Results (Tabular) - Facility'!E35:'Results (Tabular) - Facility'!E37)</f>
        <v>0</v>
      </c>
      <c r="AP21" s="335">
        <f ca="1">SUM('Results (Tabular) - Facility'!F35:'Results (Tabular) - Facility'!F37)</f>
        <v>0</v>
      </c>
      <c r="AQ21" s="335">
        <f>SUM('Results (Tabular) - Facility'!G35:'Results (Tabular) - Facility'!G37)</f>
        <v>0</v>
      </c>
      <c r="AR21" s="335">
        <f>SUM('Results (Tabular) - Facility'!H35:'Results (Tabular) - Facility'!H37)</f>
        <v>0</v>
      </c>
      <c r="AS21" s="335">
        <f ca="1">SUM('Results (Tabular) - Facility'!I35:'Results (Tabular) - Facility'!I37)</f>
        <v>0</v>
      </c>
      <c r="AT21" s="335">
        <f>SUM('Results (Tabular) - Facility'!J35:'Results (Tabular) - Facility'!J37)</f>
        <v>0</v>
      </c>
      <c r="AU21" s="336" cm="1">
        <f t="array" aca="1" ref="AU21" ca="1">INDEX($AM$13:$AT$25,9,$AU$12)</f>
        <v>0</v>
      </c>
    </row>
    <row r="22" spans="18:47" x14ac:dyDescent="0.3">
      <c r="R22" s="179"/>
      <c r="S22" s="339" t="s">
        <v>2627</v>
      </c>
      <c r="AL22" s="45" t="str">
        <f ca="1">SUBSTITUTE('Results (Tabular) - Facility'!A38,":","")</f>
        <v>Inspection &amp; Maintenance Activities</v>
      </c>
      <c r="AM22" s="335">
        <f ca="1">'Results (Tabular) - Facility'!C39</f>
        <v>0</v>
      </c>
      <c r="AN22" s="335">
        <f ca="1">'Results (Tabular) - Facility'!D39</f>
        <v>0</v>
      </c>
      <c r="AO22" s="335">
        <f>'Results (Tabular) - Facility'!E39</f>
        <v>0</v>
      </c>
      <c r="AP22" s="335">
        <f ca="1">'Results (Tabular) - Facility'!F39</f>
        <v>0</v>
      </c>
      <c r="AQ22" s="335">
        <f>'Results (Tabular) - Facility'!G39</f>
        <v>0</v>
      </c>
      <c r="AR22" s="335">
        <f>'Results (Tabular) - Facility'!H39</f>
        <v>0</v>
      </c>
      <c r="AS22" s="335">
        <f ca="1">'Results (Tabular) - Facility'!I39</f>
        <v>0</v>
      </c>
      <c r="AT22" s="335">
        <f>'Results (Tabular) - Facility'!J39</f>
        <v>0</v>
      </c>
      <c r="AU22" s="336" cm="1">
        <f t="array" aca="1" ref="AU22" ca="1">INDEX($AM$13:$AT$25,10,$AU$12)</f>
        <v>0</v>
      </c>
    </row>
    <row r="23" spans="18:47" x14ac:dyDescent="0.3">
      <c r="R23" s="179"/>
      <c r="S23" s="340" t="s">
        <v>2628</v>
      </c>
      <c r="AL23" s="45" t="str">
        <f ca="1">SUBSTITUTE('Results (Tabular) - Facility'!A40,":","")</f>
        <v>Mishaps</v>
      </c>
      <c r="AM23" s="335">
        <f ca="1">'Results (Tabular) - Facility'!C40</f>
        <v>0</v>
      </c>
      <c r="AN23" s="335">
        <f ca="1">'Results (Tabular) - Facility'!D40</f>
        <v>0</v>
      </c>
      <c r="AO23" s="335">
        <f>'Results (Tabular) - Facility'!E40</f>
        <v>0</v>
      </c>
      <c r="AP23" s="335">
        <f ca="1">'Results (Tabular) - Facility'!F40</f>
        <v>0</v>
      </c>
      <c r="AQ23" s="335">
        <f>'Results (Tabular) - Facility'!G40</f>
        <v>0</v>
      </c>
      <c r="AR23" s="335">
        <f>'Results (Tabular) - Facility'!H40</f>
        <v>0</v>
      </c>
      <c r="AS23" s="335">
        <f ca="1">'Results (Tabular) - Facility'!I40</f>
        <v>0</v>
      </c>
      <c r="AT23" s="335">
        <f>'Results (Tabular) - Facility'!J40</f>
        <v>0</v>
      </c>
      <c r="AU23" s="336" cm="1">
        <f t="array" aca="1" ref="AU23" ca="1">INDEX($AM$13:$AT$25,11,$AU$12)</f>
        <v>0</v>
      </c>
    </row>
    <row r="24" spans="18:47" x14ac:dyDescent="0.3">
      <c r="R24" s="179"/>
      <c r="S24" s="340" t="s">
        <v>2609</v>
      </c>
      <c r="AL24" s="45" t="str">
        <f ca="1">SUBSTITUTE('Results (Tabular) - Facility'!A42,":","")</f>
        <v>Indirect Emissions from Power &amp; Heat Purchases</v>
      </c>
      <c r="AM24" s="335">
        <f>'Results (Tabular) - Facility'!C42</f>
        <v>0</v>
      </c>
      <c r="AN24" s="335">
        <f>'Results (Tabular) - Facility'!D42</f>
        <v>0</v>
      </c>
      <c r="AO24" s="335">
        <f>'Results (Tabular) - Facility'!E42</f>
        <v>0</v>
      </c>
      <c r="AP24" s="335">
        <f>'Results (Tabular) - Facility'!F42</f>
        <v>0</v>
      </c>
      <c r="AQ24" s="335">
        <f>'Results (Tabular) - Facility'!G42</f>
        <v>0</v>
      </c>
      <c r="AR24" s="335">
        <f>'Results (Tabular) - Facility'!H42</f>
        <v>0</v>
      </c>
      <c r="AS24" s="335">
        <f>'Results (Tabular) - Facility'!I42</f>
        <v>0</v>
      </c>
      <c r="AT24" s="335">
        <f>'Results (Tabular) - Facility'!J42</f>
        <v>0</v>
      </c>
      <c r="AU24" s="336" cm="1">
        <f t="array" ref="AU24">INDEX($AM$13:$AT$25,12,$AU$12)</f>
        <v>0</v>
      </c>
    </row>
    <row r="25" spans="18:47" x14ac:dyDescent="0.3">
      <c r="R25" s="179"/>
      <c r="S25" s="339" t="s">
        <v>2618</v>
      </c>
      <c r="AL25" s="45" t="str">
        <f ca="1">SUBSTITUTE('Results (Tabular) - Facility'!A43,":","")</f>
        <v>Other Contributions (Measured)</v>
      </c>
      <c r="AM25" s="335">
        <f>'Results (Tabular) - Facility'!C43</f>
        <v>0</v>
      </c>
      <c r="AN25" s="335">
        <f>'Results (Tabular) - Facility'!D43</f>
        <v>0</v>
      </c>
      <c r="AO25" s="335">
        <f>'Results (Tabular) - Facility'!E43</f>
        <v>0</v>
      </c>
      <c r="AP25" s="335">
        <f>'Results (Tabular) - Facility'!F43</f>
        <v>0</v>
      </c>
      <c r="AQ25" s="335">
        <f>'Results (Tabular) - Facility'!G43</f>
        <v>0</v>
      </c>
      <c r="AR25" s="335">
        <f>'Results (Tabular) - Facility'!H43</f>
        <v>0</v>
      </c>
      <c r="AS25" s="335">
        <f>'Results (Tabular) - Facility'!I43</f>
        <v>0</v>
      </c>
      <c r="AT25" s="335">
        <f>'Results (Tabular) - Facility'!J43</f>
        <v>0</v>
      </c>
      <c r="AU25" s="336" cm="1">
        <f t="array" ref="AU25">INDEX($AM$13:$AT$25,13,$AU$12)</f>
        <v>0</v>
      </c>
    </row>
    <row r="26" spans="18:47" x14ac:dyDescent="0.3">
      <c r="R26" s="178" t="str">
        <f ca="1">'Translation Table'!H140</f>
        <v>Process Venting:</v>
      </c>
      <c r="S26" s="341" t="s">
        <v>2612</v>
      </c>
      <c r="AM26" s="335">
        <f ca="1">SUM(AM14:AM25)</f>
        <v>0</v>
      </c>
      <c r="AN26" s="335">
        <f t="shared" ref="AN26:AT26" ca="1" si="0">SUM(AN14:AN25)</f>
        <v>0</v>
      </c>
      <c r="AO26" s="335">
        <f t="shared" ca="1" si="0"/>
        <v>0</v>
      </c>
      <c r="AP26" s="335">
        <f t="shared" ca="1" si="0"/>
        <v>0</v>
      </c>
      <c r="AQ26" s="335">
        <f t="shared" ca="1" si="0"/>
        <v>0</v>
      </c>
      <c r="AR26" s="335">
        <f t="shared" ca="1" si="0"/>
        <v>0</v>
      </c>
      <c r="AS26" s="335">
        <f t="shared" ca="1" si="0"/>
        <v>0</v>
      </c>
      <c r="AT26" s="335">
        <f t="shared" ca="1" si="0"/>
        <v>0</v>
      </c>
      <c r="AU26" s="336"/>
    </row>
    <row r="27" spans="18:47" x14ac:dyDescent="0.3">
      <c r="R27" s="178"/>
      <c r="S27" s="341" t="s">
        <v>2613</v>
      </c>
    </row>
    <row r="28" spans="18:47" x14ac:dyDescent="0.3">
      <c r="R28" s="178"/>
      <c r="S28" s="341" t="s">
        <v>2614</v>
      </c>
    </row>
    <row r="29" spans="18:47" x14ac:dyDescent="0.3">
      <c r="R29" s="178"/>
      <c r="S29" s="341" t="s">
        <v>2615</v>
      </c>
    </row>
    <row r="30" spans="18:47" x14ac:dyDescent="0.3">
      <c r="R30" s="178"/>
      <c r="S30" s="341" t="s">
        <v>2620</v>
      </c>
    </row>
    <row r="31" spans="18:47" x14ac:dyDescent="0.3">
      <c r="R31" s="178"/>
      <c r="S31" s="341" t="s">
        <v>2621</v>
      </c>
    </row>
    <row r="32" spans="18:47" x14ac:dyDescent="0.3">
      <c r="R32" s="178"/>
      <c r="S32" s="341" t="s">
        <v>2622</v>
      </c>
    </row>
    <row r="33" spans="18:19" x14ac:dyDescent="0.3">
      <c r="R33" s="178"/>
      <c r="S33" s="341" t="s">
        <v>2630</v>
      </c>
    </row>
    <row r="34" spans="18:19" x14ac:dyDescent="0.3">
      <c r="R34" s="178"/>
      <c r="S34" s="341" t="s">
        <v>2619</v>
      </c>
    </row>
    <row r="35" spans="18:19" x14ac:dyDescent="0.3">
      <c r="R35" s="178"/>
      <c r="S35" s="341" t="s">
        <v>2631</v>
      </c>
    </row>
    <row r="36" spans="18:19" x14ac:dyDescent="0.3">
      <c r="R36" s="177" t="str">
        <f ca="1">'Translation Table'!H144</f>
        <v>Inspection &amp; Maintenance Activities:</v>
      </c>
      <c r="S36" s="342" t="s">
        <v>2610</v>
      </c>
    </row>
    <row r="37" spans="18:19" x14ac:dyDescent="0.3">
      <c r="R37" s="177"/>
      <c r="S37" s="342" t="s">
        <v>2617</v>
      </c>
    </row>
    <row r="38" spans="18:19" x14ac:dyDescent="0.3">
      <c r="R38" s="177"/>
      <c r="S38" s="342" t="s">
        <v>2624</v>
      </c>
    </row>
    <row r="39" spans="18:19" x14ac:dyDescent="0.3">
      <c r="R39" s="177"/>
      <c r="S39" s="342" t="s">
        <v>2625</v>
      </c>
    </row>
    <row r="40" spans="18:19" x14ac:dyDescent="0.3">
      <c r="R40" s="172" t="str">
        <f ca="1">'Translation Table'!H146</f>
        <v>Mishaps:</v>
      </c>
      <c r="S40" s="174"/>
    </row>
    <row r="41" spans="18:19" x14ac:dyDescent="0.3">
      <c r="R41" s="175" t="str">
        <f ca="1">'Translation Table'!H148</f>
        <v>Indirect Emissions from Power &amp; Heat Purchases:</v>
      </c>
      <c r="S41" s="176"/>
    </row>
    <row r="42" spans="18:19" x14ac:dyDescent="0.3">
      <c r="R42" s="322" t="str">
        <f ca="1">'Translation Table'!H149</f>
        <v>Other Contributions (Measured):</v>
      </c>
    </row>
  </sheetData>
  <sheetProtection algorithmName="SHA-512" hashValue="vIpn+MzGpB0LbInDlU06McIlAaxcZQLgYiQRscMJ6ucpBHovvl9jSBPT+ijPcK/juiTdVdFWxAdgPn4yQKSGoQ==" saltValue="uz1WgegCEov/2p1LFFoOQQ==" spinCount="100000" sheet="1" objects="1" scenarios="1"/>
  <mergeCells count="43">
    <mergeCell ref="A11:E11"/>
    <mergeCell ref="F11:J11"/>
    <mergeCell ref="A8:E8"/>
    <mergeCell ref="F8:J8"/>
    <mergeCell ref="A9:E9"/>
    <mergeCell ref="F9:J9"/>
    <mergeCell ref="A10:E10"/>
    <mergeCell ref="F10:J10"/>
    <mergeCell ref="A5:E5"/>
    <mergeCell ref="F5:J5"/>
    <mergeCell ref="A6:E6"/>
    <mergeCell ref="F6:J6"/>
    <mergeCell ref="A7:E7"/>
    <mergeCell ref="F7:J7"/>
    <mergeCell ref="A1:P1"/>
    <mergeCell ref="A3:E3"/>
    <mergeCell ref="F3:J3"/>
    <mergeCell ref="A4:E4"/>
    <mergeCell ref="F4:J4"/>
    <mergeCell ref="K13:L13"/>
    <mergeCell ref="M13:N13"/>
    <mergeCell ref="O13:P13"/>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K14:L14"/>
    <mergeCell ref="M14:N14"/>
    <mergeCell ref="O14:P14"/>
    <mergeCell ref="K15:L15"/>
    <mergeCell ref="M15:N15"/>
    <mergeCell ref="O15:P15"/>
  </mergeCells>
  <conditionalFormatting sqref="A13:B15">
    <cfRule type="expression" dxfId="9" priority="4">
      <formula>$AU$12=1</formula>
    </cfRule>
  </conditionalFormatting>
  <conditionalFormatting sqref="C13:D15">
    <cfRule type="expression" dxfId="8" priority="5">
      <formula>$AU$12=2</formula>
    </cfRule>
  </conditionalFormatting>
  <conditionalFormatting sqref="E13:F15">
    <cfRule type="expression" dxfId="7" priority="6">
      <formula>$AU$12=3</formula>
    </cfRule>
  </conditionalFormatting>
  <conditionalFormatting sqref="G13:H15">
    <cfRule type="expression" dxfId="6" priority="7">
      <formula>$AU$12=4</formula>
    </cfRule>
  </conditionalFormatting>
  <conditionalFormatting sqref="I13:J15">
    <cfRule type="expression" dxfId="5" priority="8">
      <formula>$AU$12=5</formula>
    </cfRule>
  </conditionalFormatting>
  <conditionalFormatting sqref="K13:L15">
    <cfRule type="expression" dxfId="4" priority="3">
      <formula>$AU$12=6</formula>
    </cfRule>
  </conditionalFormatting>
  <conditionalFormatting sqref="M13:N15">
    <cfRule type="expression" dxfId="3" priority="2">
      <formula>$AU$12=7</formula>
    </cfRule>
  </conditionalFormatting>
  <conditionalFormatting sqref="O13:P15">
    <cfRule type="expression" dxfId="2" priority="1">
      <formula>$AU$12=8</formula>
    </cfRule>
  </conditionalFormatting>
  <hyperlinks>
    <hyperlink ref="S15" r:id="rId1" display="https://www.epa.gov/natural-gas-star-program/equipment-leaks" xr:uid="{6F16D369-9D58-4D2D-B51A-0E6E2CBB1F20}"/>
    <hyperlink ref="S17" r:id="rId2" display="https://www.epa.gov/natural-gas-star-program/centrifugal-compressors" xr:uid="{67114A0A-8B5F-46BE-9A63-757373DBA109}"/>
    <hyperlink ref="S16" r:id="rId3" display="https://www.epa.gov/natural-gas-star-program/advanced-methane-detection" xr:uid="{02E22F37-CDD8-471C-B0B1-C4F5E9D6969B}"/>
    <hyperlink ref="S18" r:id="rId4" display="https://www.epa.gov/natural-gas-star-program/reciprocating-compressors" xr:uid="{3BBCB153-7396-4AA6-9A35-4004F3CE747F}"/>
    <hyperlink ref="S24" r:id="rId5" display="https://www.epa.gov/natural-gas-star-program/compressor-starts" xr:uid="{B9233233-FFB8-4A13-8929-14C72864D736}"/>
    <hyperlink ref="S25" r:id="rId6" display="https://www.epa.gov/natural-gas-star-program/air-starters" xr:uid="{ACB8939C-9346-4617-8358-34C819BEC8D2}"/>
    <hyperlink ref="S21" r:id="rId7" display="https://www.epa.gov/natural-gas-star-program/pneumatic-controllers" xr:uid="{FFD69251-03D7-48F8-8A6F-1D9EEB18BBCE}"/>
    <hyperlink ref="S22" r:id="rId8" display="https://www.epa.gov/natural-gas-star-program/instrument-air-controllers" xr:uid="{C25D5C35-7B51-4787-B8DF-C8A44493CC71}"/>
    <hyperlink ref="S23" r:id="rId9" display="https://www.epa.gov/natural-gas-star-program/mechanical-controllers" xr:uid="{D2386E28-F3B8-48F7-BCA0-764BE623A502}"/>
    <hyperlink ref="S26" r:id="rId10" display="https://www.epa.gov/natural-gas-star-program/glycol-dehydrators" xr:uid="{12A4EB47-192F-4E0E-8BF2-60083B1EA9D1}"/>
    <hyperlink ref="S27" r:id="rId11" display="https://www.epa.gov/natural-gas-star-program/electric-glycol-circulation-pumps" xr:uid="{2C6EAEA2-A49C-498C-852E-4317C40DF109}"/>
    <hyperlink ref="S28" r:id="rId12" display="https://www.epa.gov/natural-gas-star-program/methanol-injection" xr:uid="{F1A3FF9B-996D-438A-AC5E-A8A796EAF335}"/>
    <hyperlink ref="S29" r:id="rId13" display="https://www.epa.gov/natural-gas-star-program/optimize-glycol-circulation" xr:uid="{B0200241-01CA-4A49-A3AB-583AE6EE4D03}"/>
    <hyperlink ref="S30" r:id="rId14" display="https://www.epa.gov/natural-gas-star-program/flash-tank-separators" xr:uid="{BAC7FB78-16B1-4B57-9339-A819AD715C83}"/>
    <hyperlink ref="S31" r:id="rId15" display="https://www.epa.gov/natural-gas-star-program/desiccant-dehydrators" xr:uid="{EC73B294-75F8-4376-8E31-2F87A44F9AF2}"/>
    <hyperlink ref="S32" r:id="rId16" display="https://www.epa.gov/natural-gas-star-program/reroute-glycol-skimmer-gas" xr:uid="{1855DD3B-E147-400A-BEE8-623CD8B6AFD1}"/>
    <hyperlink ref="S34" r:id="rId17" display="https://www.epa.gov/natural-gas-star-program/vapor-recovery-units" xr:uid="{DAC1AE65-9B90-4707-AFBC-F0F0C45A0032}"/>
    <hyperlink ref="S33" r:id="rId18" display="https://www.epa.gov/natural-gas-star-program/storage-tanks" xr:uid="{F7AC7894-1DCA-4BC8-8CD4-DA98A49E8B83}"/>
    <hyperlink ref="S35" r:id="rId19" display="https://www.epa.gov/natural-gas-star-program/pressurized-storage-tank" xr:uid="{EE42F90D-E4B2-4443-AA65-60CDA52F500C}"/>
    <hyperlink ref="S36" r:id="rId20" display="https://www.epa.gov/natural-gas-star-program/compressor-station-blowdowns" xr:uid="{E59C0C4D-188A-45A7-BA88-1F61CEA23F65}"/>
    <hyperlink ref="S37" r:id="rId21" display="https://www.epa.gov/natural-gas-star-program/route-blowdown-gas-low-pressure-system" xr:uid="{840744A7-EED5-49CA-B52F-58B5490F4686}"/>
    <hyperlink ref="S38" r:id="rId22" display="https://www.epa.gov/natural-gas-star-program/pipeline-hot-taps" xr:uid="{ED5E70F2-2087-451D-8889-E83E0393F1C5}"/>
    <hyperlink ref="S39" r:id="rId23" display="https://www.epa.gov/natural-gas-star-program/pipeline-pig-launching-and-receiving" xr:uid="{765E0AD3-FB03-4823-A0C2-B659546954A8}"/>
    <hyperlink ref="S20" r:id="rId24" display="https://www.epa.gov/natural-gas-star-program/plunger-lift-system-without-planned-atmospheric-venting" xr:uid="{D0134F83-5EF5-4DC0-95AE-75F33D0BE0DD}"/>
  </hyperlinks>
  <pageMargins left="0.7" right="0.7" top="0.75" bottom="0.75" header="0.3" footer="0.3"/>
  <pageSetup scale="76" orientation="landscape" r:id="rId25"/>
  <drawing r:id="rId26"/>
  <legacyDrawing r:id="rId27"/>
  <mc:AlternateContent xmlns:mc="http://schemas.openxmlformats.org/markup-compatibility/2006">
    <mc:Choice Requires="x14">
      <controls>
        <mc:AlternateContent xmlns:mc="http://schemas.openxmlformats.org/markup-compatibility/2006">
          <mc:Choice Requires="x14">
            <control shapeId="67585" r:id="rId28" name="Option Button 1">
              <controlPr defaultSize="0" autoFill="0" autoLine="0" autoPict="0">
                <anchor moveWithCells="1">
                  <from>
                    <xdr:col>0</xdr:col>
                    <xdr:colOff>0</xdr:colOff>
                    <xdr:row>12</xdr:row>
                    <xdr:rowOff>0</xdr:rowOff>
                  </from>
                  <to>
                    <xdr:col>0</xdr:col>
                    <xdr:colOff>190500</xdr:colOff>
                    <xdr:row>12</xdr:row>
                    <xdr:rowOff>165100</xdr:rowOff>
                  </to>
                </anchor>
              </controlPr>
            </control>
          </mc:Choice>
        </mc:AlternateContent>
        <mc:AlternateContent xmlns:mc="http://schemas.openxmlformats.org/markup-compatibility/2006">
          <mc:Choice Requires="x14">
            <control shapeId="67586" r:id="rId29" name="Option Button 2">
              <controlPr defaultSize="0" autoFill="0" autoLine="0" autoPict="0">
                <anchor moveWithCells="1">
                  <from>
                    <xdr:col>2</xdr:col>
                    <xdr:colOff>0</xdr:colOff>
                    <xdr:row>12</xdr:row>
                    <xdr:rowOff>0</xdr:rowOff>
                  </from>
                  <to>
                    <xdr:col>2</xdr:col>
                    <xdr:colOff>190500</xdr:colOff>
                    <xdr:row>12</xdr:row>
                    <xdr:rowOff>165100</xdr:rowOff>
                  </to>
                </anchor>
              </controlPr>
            </control>
          </mc:Choice>
        </mc:AlternateContent>
        <mc:AlternateContent xmlns:mc="http://schemas.openxmlformats.org/markup-compatibility/2006">
          <mc:Choice Requires="x14">
            <control shapeId="67587" r:id="rId30" name="Option Button 3">
              <controlPr defaultSize="0" autoFill="0" autoLine="0" autoPict="0">
                <anchor moveWithCells="1">
                  <from>
                    <xdr:col>4</xdr:col>
                    <xdr:colOff>0</xdr:colOff>
                    <xdr:row>12</xdr:row>
                    <xdr:rowOff>0</xdr:rowOff>
                  </from>
                  <to>
                    <xdr:col>4</xdr:col>
                    <xdr:colOff>190500</xdr:colOff>
                    <xdr:row>12</xdr:row>
                    <xdr:rowOff>165100</xdr:rowOff>
                  </to>
                </anchor>
              </controlPr>
            </control>
          </mc:Choice>
        </mc:AlternateContent>
        <mc:AlternateContent xmlns:mc="http://schemas.openxmlformats.org/markup-compatibility/2006">
          <mc:Choice Requires="x14">
            <control shapeId="67588" r:id="rId31" name="Option Button 4">
              <controlPr defaultSize="0" autoFill="0" autoLine="0" autoPict="0">
                <anchor moveWithCells="1">
                  <from>
                    <xdr:col>6</xdr:col>
                    <xdr:colOff>0</xdr:colOff>
                    <xdr:row>12</xdr:row>
                    <xdr:rowOff>0</xdr:rowOff>
                  </from>
                  <to>
                    <xdr:col>6</xdr:col>
                    <xdr:colOff>190500</xdr:colOff>
                    <xdr:row>12</xdr:row>
                    <xdr:rowOff>165100</xdr:rowOff>
                  </to>
                </anchor>
              </controlPr>
            </control>
          </mc:Choice>
        </mc:AlternateContent>
        <mc:AlternateContent xmlns:mc="http://schemas.openxmlformats.org/markup-compatibility/2006">
          <mc:Choice Requires="x14">
            <control shapeId="67589" r:id="rId32" name="Option Button 5">
              <controlPr defaultSize="0" autoFill="0" autoLine="0" autoPict="0">
                <anchor moveWithCells="1">
                  <from>
                    <xdr:col>8</xdr:col>
                    <xdr:colOff>0</xdr:colOff>
                    <xdr:row>12</xdr:row>
                    <xdr:rowOff>0</xdr:rowOff>
                  </from>
                  <to>
                    <xdr:col>8</xdr:col>
                    <xdr:colOff>190500</xdr:colOff>
                    <xdr:row>12</xdr:row>
                    <xdr:rowOff>165100</xdr:rowOff>
                  </to>
                </anchor>
              </controlPr>
            </control>
          </mc:Choice>
        </mc:AlternateContent>
        <mc:AlternateContent xmlns:mc="http://schemas.openxmlformats.org/markup-compatibility/2006">
          <mc:Choice Requires="x14">
            <control shapeId="67590" r:id="rId33" name="Option Button 6">
              <controlPr defaultSize="0" autoFill="0" autoLine="0" autoPict="0">
                <anchor moveWithCells="1">
                  <from>
                    <xdr:col>10</xdr:col>
                    <xdr:colOff>0</xdr:colOff>
                    <xdr:row>12</xdr:row>
                    <xdr:rowOff>0</xdr:rowOff>
                  </from>
                  <to>
                    <xdr:col>10</xdr:col>
                    <xdr:colOff>190500</xdr:colOff>
                    <xdr:row>12</xdr:row>
                    <xdr:rowOff>165100</xdr:rowOff>
                  </to>
                </anchor>
              </controlPr>
            </control>
          </mc:Choice>
        </mc:AlternateContent>
        <mc:AlternateContent xmlns:mc="http://schemas.openxmlformats.org/markup-compatibility/2006">
          <mc:Choice Requires="x14">
            <control shapeId="67591" r:id="rId34" name="Option Button 7">
              <controlPr defaultSize="0" autoFill="0" autoLine="0" autoPict="0">
                <anchor moveWithCells="1">
                  <from>
                    <xdr:col>12</xdr:col>
                    <xdr:colOff>0</xdr:colOff>
                    <xdr:row>12</xdr:row>
                    <xdr:rowOff>0</xdr:rowOff>
                  </from>
                  <to>
                    <xdr:col>12</xdr:col>
                    <xdr:colOff>190500</xdr:colOff>
                    <xdr:row>12</xdr:row>
                    <xdr:rowOff>165100</xdr:rowOff>
                  </to>
                </anchor>
              </controlPr>
            </control>
          </mc:Choice>
        </mc:AlternateContent>
        <mc:AlternateContent xmlns:mc="http://schemas.openxmlformats.org/markup-compatibility/2006">
          <mc:Choice Requires="x14">
            <control shapeId="67592" r:id="rId35" name="Option Button 8">
              <controlPr defaultSize="0" autoFill="0" autoLine="0" autoPict="0">
                <anchor moveWithCells="1">
                  <from>
                    <xdr:col>14</xdr:col>
                    <xdr:colOff>0</xdr:colOff>
                    <xdr:row>12</xdr:row>
                    <xdr:rowOff>0</xdr:rowOff>
                  </from>
                  <to>
                    <xdr:col>14</xdr:col>
                    <xdr:colOff>190500</xdr:colOff>
                    <xdr:row>12</xdr:row>
                    <xdr:rowOff>165100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tabColor rgb="FF00C698"/>
    <pageSetUpPr fitToPage="1"/>
  </sheetPr>
  <dimension ref="A1:N45"/>
  <sheetViews>
    <sheetView showGridLines="0" workbookViewId="0">
      <selection activeCell="C35" sqref="C35"/>
    </sheetView>
  </sheetViews>
  <sheetFormatPr defaultColWidth="9.1796875" defaultRowHeight="14" x14ac:dyDescent="0.35"/>
  <cols>
    <col min="1" max="2" width="44.1796875" style="257" customWidth="1"/>
    <col min="3" max="3" width="13.54296875" style="257" customWidth="1"/>
    <col min="4" max="4" width="11.81640625" style="257" customWidth="1"/>
    <col min="5" max="5" width="11" style="257" customWidth="1"/>
    <col min="6" max="6" width="12.26953125" style="257" customWidth="1"/>
    <col min="7" max="7" width="11.453125" style="257" customWidth="1"/>
    <col min="8" max="8" width="10.7265625" style="257" customWidth="1"/>
    <col min="9" max="9" width="9.7265625" style="257" customWidth="1"/>
    <col min="10" max="10" width="11.1796875" style="257" customWidth="1"/>
    <col min="11" max="11" width="51.1796875" style="257" bestFit="1" customWidth="1"/>
    <col min="12" max="12" width="50.453125" style="257" bestFit="1" customWidth="1"/>
    <col min="13" max="13" width="26.453125" style="257" bestFit="1" customWidth="1"/>
    <col min="14" max="14" width="33.81640625" style="257" bestFit="1" customWidth="1"/>
    <col min="15" max="16384" width="9.1796875" style="257"/>
  </cols>
  <sheetData>
    <row r="1" spans="1:11" ht="22.5" x14ac:dyDescent="0.35">
      <c r="A1" s="738" t="str">
        <f ca="1">'Translation Table'!H75</f>
        <v>Facility Definition</v>
      </c>
      <c r="B1" s="738"/>
    </row>
    <row r="3" spans="1:11" x14ac:dyDescent="0.35">
      <c r="A3" s="163" t="str">
        <f ca="1">'Translation Table'!H77</f>
        <v>Company Name:</v>
      </c>
      <c r="B3" s="651">
        <f>'Setup - Facility Details'!C4</f>
        <v>0</v>
      </c>
    </row>
    <row r="4" spans="1:11" x14ac:dyDescent="0.35">
      <c r="A4" s="163" t="str">
        <f ca="1">'Translation Table'!H78</f>
        <v>Facility Name:</v>
      </c>
      <c r="B4" s="652">
        <f>'Setup - Facility Details'!C5</f>
        <v>0</v>
      </c>
    </row>
    <row r="5" spans="1:11" x14ac:dyDescent="0.35">
      <c r="A5" s="163" t="str">
        <f ca="1">'Translation Table'!H159</f>
        <v>Asset ID:</v>
      </c>
      <c r="B5" s="652">
        <f>'Setup - Facility Details'!C6</f>
        <v>0</v>
      </c>
    </row>
    <row r="6" spans="1:11" x14ac:dyDescent="0.35">
      <c r="A6" s="163" t="str">
        <f ca="1">'Translation Table'!H160</f>
        <v>Country:</v>
      </c>
      <c r="B6" s="652">
        <f>'Setup - Facility Details'!C7</f>
        <v>0</v>
      </c>
    </row>
    <row r="7" spans="1:11" x14ac:dyDescent="0.35">
      <c r="A7" s="163" t="str">
        <f ca="1">'Translation Table'!H161</f>
        <v>Latitude:</v>
      </c>
      <c r="B7" s="651">
        <f>'Setup - Facility Details'!C8</f>
        <v>0</v>
      </c>
    </row>
    <row r="8" spans="1:11" x14ac:dyDescent="0.35">
      <c r="A8" s="163" t="str">
        <f ca="1">'Translation Table'!H162</f>
        <v>Longitude:</v>
      </c>
      <c r="B8" s="652">
        <f>'Setup - Facility Details'!C9</f>
        <v>0</v>
      </c>
    </row>
    <row r="9" spans="1:11" x14ac:dyDescent="0.35">
      <c r="A9" s="163" t="str">
        <f ca="1">'Translation Table'!H80</f>
        <v>Reference Year:</v>
      </c>
      <c r="B9" s="653">
        <f>'Setup - Facility Details'!C10</f>
        <v>0</v>
      </c>
    </row>
    <row r="10" spans="1:11" x14ac:dyDescent="0.35">
      <c r="A10" s="163" t="str">
        <f ca="1">'Translation Table'!H81</f>
        <v>Industry Segment</v>
      </c>
      <c r="B10" s="651" t="str">
        <f ca="1">'Setup - Facility Details'!C11</f>
        <v>Gas Processing</v>
      </c>
    </row>
    <row r="11" spans="1:11" x14ac:dyDescent="0.35">
      <c r="A11" s="163" t="str">
        <f ca="1">'Translation Table'!H82</f>
        <v>Facility Type</v>
      </c>
      <c r="B11" s="651" t="str">
        <f ca="1">'Setup - Facility Details'!C12</f>
        <v>Sweet Gas Plant</v>
      </c>
    </row>
    <row r="13" spans="1:11" ht="22.5" x14ac:dyDescent="0.35">
      <c r="A13" s="747" t="str">
        <f ca="1">'Translation Table'!H84</f>
        <v>Emission Results (Facility Level) – Summary by Source Category and Pollutant Type</v>
      </c>
      <c r="B13" s="747"/>
      <c r="C13" s="747"/>
    </row>
    <row r="14" spans="1:11" ht="15.5" x14ac:dyDescent="0.35">
      <c r="A14" s="748" t="str">
        <f ca="1">'Translation Table'!H86</f>
        <v>Primary Source Category</v>
      </c>
      <c r="B14" s="745" t="str">
        <f ca="1">'Translation Table'!H87</f>
        <v>Accounting</v>
      </c>
      <c r="C14" s="158" t="str">
        <f ca="1">'Translation Table'!H88</f>
        <v>CH4</v>
      </c>
      <c r="D14" s="158" t="str">
        <f ca="1">'Translation Table'!H89</f>
        <v>CO2</v>
      </c>
      <c r="E14" s="158" t="str">
        <f ca="1">'Translation Table'!H90</f>
        <v>N2O</v>
      </c>
      <c r="F14" s="158" t="str">
        <f ca="1">'Translation Table'!H91</f>
        <v>CO2E</v>
      </c>
      <c r="G14" s="158" t="str">
        <f ca="1">'Translation Table'!H92</f>
        <v>NOx</v>
      </c>
      <c r="H14" s="158" t="str">
        <f ca="1">'Translation Table'!H93</f>
        <v>CO</v>
      </c>
      <c r="I14" s="158" t="str">
        <f ca="1">'Translation Table'!H94</f>
        <v>NMVOC</v>
      </c>
      <c r="J14" s="158" t="str">
        <f ca="1">'Translation Table'!H95</f>
        <v>SO2</v>
      </c>
      <c r="K14" s="745" t="str">
        <f ca="1">'Translation Table'!H100</f>
        <v>Emissions Mitigation Technologies</v>
      </c>
    </row>
    <row r="15" spans="1:11" ht="15.5" x14ac:dyDescent="0.35">
      <c r="A15" s="749"/>
      <c r="B15" s="746"/>
      <c r="C15" s="157" t="str">
        <f ca="1">'Translation Table'!H96</f>
        <v>(tonnes)</v>
      </c>
      <c r="D15" s="157" t="str">
        <f ca="1">'Translation Table'!H97</f>
        <v>(tonnes)</v>
      </c>
      <c r="E15" s="157" t="str">
        <f ca="1">'Translation Table'!H98</f>
        <v>(tonnes)</v>
      </c>
      <c r="F15" s="157" t="str">
        <f ca="1">'Translation Table'!H99</f>
        <v>(tonnes)</v>
      </c>
      <c r="G15" s="158" t="str">
        <f ca="1">'Translation Table'!H99</f>
        <v>(tonnes)</v>
      </c>
      <c r="H15" s="158" t="str">
        <f ca="1">'Translation Table'!H99</f>
        <v>(tonnes)</v>
      </c>
      <c r="I15" s="158" t="str">
        <f ca="1">'Translation Table'!H99</f>
        <v>(tonnes)</v>
      </c>
      <c r="J15" s="158" t="str">
        <f ca="1">'Translation Table'!H99</f>
        <v>(tonnes)</v>
      </c>
      <c r="K15" s="746"/>
    </row>
    <row r="16" spans="1:11" x14ac:dyDescent="0.35">
      <c r="A16" s="654" t="str">
        <f ca="1">'Translation Table'!H101</f>
        <v>Fuel Combustion:</v>
      </c>
      <c r="B16" s="644"/>
      <c r="C16" s="344"/>
      <c r="D16" s="343"/>
      <c r="E16" s="345"/>
      <c r="F16" s="343"/>
      <c r="G16" s="343"/>
      <c r="H16" s="343"/>
      <c r="I16" s="343"/>
      <c r="J16" s="346"/>
      <c r="K16" s="347"/>
    </row>
    <row r="17" spans="1:14" x14ac:dyDescent="0.35">
      <c r="A17" s="655" t="str">
        <f ca="1">'Translation Table'!H123</f>
        <v xml:space="preserve">    - Solid Fuels</v>
      </c>
      <c r="B17" s="645" t="str">
        <f ca="1">'Translation Table'!H102</f>
        <v>Included</v>
      </c>
      <c r="C17" s="640">
        <f ca="1">'Calculations - Combustion'!AT14</f>
        <v>0</v>
      </c>
      <c r="D17" s="608">
        <f ca="1">'Calculations - Combustion'!AS14</f>
        <v>0</v>
      </c>
      <c r="E17" s="620">
        <f ca="1">'Calculations - Combustion'!AU14</f>
        <v>0</v>
      </c>
      <c r="F17" s="608">
        <f ca="1">C$45*C17+D17+E$45*E17</f>
        <v>0</v>
      </c>
      <c r="G17" s="608">
        <f ca="1">'Calculations - Combustion'!AV14</f>
        <v>0</v>
      </c>
      <c r="H17" s="608">
        <f ca="1">'Calculations - Combustion'!AW14</f>
        <v>0</v>
      </c>
      <c r="I17" s="620">
        <f ca="1">'Calculations - Combustion'!AX14</f>
        <v>0</v>
      </c>
      <c r="J17" s="621">
        <f ca="1">'Calculations - Combustion'!AY14</f>
        <v>0</v>
      </c>
      <c r="K17" s="348"/>
    </row>
    <row r="18" spans="1:14" x14ac:dyDescent="0.35">
      <c r="A18" s="656" t="str">
        <f ca="1">'Translation Table'!H124</f>
        <v xml:space="preserve">    - Liquid Fuels</v>
      </c>
      <c r="B18" s="646" t="str">
        <f ca="1">'Translation Table'!H103</f>
        <v>Included</v>
      </c>
      <c r="C18" s="641">
        <f ca="1">'Calculations - Combustion'!AT30</f>
        <v>0</v>
      </c>
      <c r="D18" s="609">
        <f ca="1">'Calculations - Combustion'!AS30</f>
        <v>0</v>
      </c>
      <c r="E18" s="622">
        <f ca="1">'Calculations - Combustion'!AU30</f>
        <v>0</v>
      </c>
      <c r="F18" s="609">
        <f ca="1">C$45*C18+D18+E$45*E18</f>
        <v>0</v>
      </c>
      <c r="G18" s="609">
        <f ca="1">'Calculations - Combustion'!AV30</f>
        <v>0</v>
      </c>
      <c r="H18" s="609">
        <f ca="1">'Calculations - Combustion'!AW30</f>
        <v>0</v>
      </c>
      <c r="I18" s="622">
        <f ca="1">'Calculations - Combustion'!AX30</f>
        <v>0</v>
      </c>
      <c r="J18" s="623">
        <f ca="1">'Calculations - Combustion'!AY30</f>
        <v>0</v>
      </c>
      <c r="K18" s="349"/>
    </row>
    <row r="19" spans="1:14" x14ac:dyDescent="0.35">
      <c r="A19" s="655" t="str">
        <f ca="1">'Translation Table'!H125</f>
        <v xml:space="preserve">    - Gaseous Fuels</v>
      </c>
      <c r="B19" s="645"/>
      <c r="C19" s="640"/>
      <c r="D19" s="608"/>
      <c r="E19" s="412"/>
      <c r="F19" s="607"/>
      <c r="G19" s="607"/>
      <c r="H19" s="607"/>
      <c r="I19" s="412"/>
      <c r="J19" s="624"/>
      <c r="K19" s="348"/>
    </row>
    <row r="20" spans="1:14" ht="31.5" customHeight="1" x14ac:dyDescent="0.3">
      <c r="A20" s="687" t="str">
        <f ca="1">'Translation Table'!H126</f>
        <v xml:space="preserve">    - Turbine Engines</v>
      </c>
      <c r="B20" s="646" t="str">
        <f ca="1">'Translation Table'!H105</f>
        <v>Included</v>
      </c>
      <c r="C20" s="625">
        <f ca="1">'Calculations - Combustion'!AN72</f>
        <v>0</v>
      </c>
      <c r="D20" s="610">
        <f ca="1">'Calculations - Combustion'!AM72</f>
        <v>0</v>
      </c>
      <c r="E20" s="625">
        <f ca="1">'Calculations - Combustion'!AO72</f>
        <v>0</v>
      </c>
      <c r="F20" s="617">
        <f t="shared" ref="F20:F26" ca="1" si="0">C$45*C20+D20+E$45*E20</f>
        <v>0</v>
      </c>
      <c r="G20" s="617">
        <f ca="1">'Calculations - Combustion'!AP72</f>
        <v>0</v>
      </c>
      <c r="H20" s="617">
        <f ca="1">'Calculations - Combustion'!AQ72</f>
        <v>0</v>
      </c>
      <c r="I20" s="625">
        <f ca="1">'Calculations - Combustion'!AR72</f>
        <v>0</v>
      </c>
      <c r="J20" s="626">
        <f ca="1">'Calculations - Combustion'!AS72</f>
        <v>0</v>
      </c>
      <c r="K20" s="350" t="s">
        <v>3207</v>
      </c>
      <c r="L20" s="256"/>
    </row>
    <row r="21" spans="1:14" ht="32.15" customHeight="1" x14ac:dyDescent="0.3">
      <c r="A21" s="688" t="str">
        <f ca="1">'Translation Table'!H127</f>
        <v xml:space="preserve">    - Reciprocating Engines</v>
      </c>
      <c r="B21" s="645" t="str">
        <f ca="1">'Translation Table'!H106</f>
        <v>Included</v>
      </c>
      <c r="C21" s="642">
        <f ca="1">'Calculations - Combustion'!AN73</f>
        <v>0</v>
      </c>
      <c r="D21" s="611">
        <f ca="1">'Calculations - Combustion'!AM73</f>
        <v>0</v>
      </c>
      <c r="E21" s="627">
        <f ca="1">'Calculations - Combustion'!AO73</f>
        <v>0</v>
      </c>
      <c r="F21" s="611">
        <f t="shared" ca="1" si="0"/>
        <v>0</v>
      </c>
      <c r="G21" s="611">
        <f ca="1">'Calculations - Combustion'!AP73</f>
        <v>0</v>
      </c>
      <c r="H21" s="611">
        <f ca="1">'Calculations - Combustion'!AQ73</f>
        <v>0</v>
      </c>
      <c r="I21" s="627">
        <f ca="1">'Calculations - Combustion'!AR73</f>
        <v>0</v>
      </c>
      <c r="J21" s="628">
        <f ca="1">'Calculations - Combustion'!AS73</f>
        <v>0</v>
      </c>
      <c r="K21" s="351" t="s">
        <v>3207</v>
      </c>
      <c r="L21" s="256"/>
    </row>
    <row r="22" spans="1:14" x14ac:dyDescent="0.35">
      <c r="A22" s="687" t="str">
        <f ca="1">'Translation Table'!H128</f>
        <v xml:space="preserve">    - Heaters and Boilers</v>
      </c>
      <c r="B22" s="646" t="str">
        <f ca="1">'Translation Table'!H109</f>
        <v>Included</v>
      </c>
      <c r="C22" s="625">
        <f ca="1">'Calculations - Combustion'!AN74</f>
        <v>0</v>
      </c>
      <c r="D22" s="610">
        <f ca="1">'Calculations - Combustion'!AM74</f>
        <v>0</v>
      </c>
      <c r="E22" s="629">
        <f ca="1">'Calculations - Combustion'!AO74</f>
        <v>0</v>
      </c>
      <c r="F22" s="610">
        <f t="shared" ca="1" si="0"/>
        <v>0</v>
      </c>
      <c r="G22" s="610">
        <f ca="1">'Calculations - Combustion'!AP74</f>
        <v>0</v>
      </c>
      <c r="H22" s="610">
        <f ca="1">'Calculations - Combustion'!AQ74</f>
        <v>0</v>
      </c>
      <c r="I22" s="629">
        <f ca="1">'Calculations - Combustion'!AR74</f>
        <v>0</v>
      </c>
      <c r="J22" s="630">
        <f ca="1">'Calculations - Combustion'!AS74</f>
        <v>0</v>
      </c>
      <c r="K22" s="352"/>
    </row>
    <row r="23" spans="1:14" x14ac:dyDescent="0.35">
      <c r="A23" s="657" t="str">
        <f ca="1">'Translation Table'!H129</f>
        <v>Acid Gas Removal</v>
      </c>
      <c r="B23" s="645" t="str">
        <f ca="1">'Translation Table'!H105</f>
        <v>Included</v>
      </c>
      <c r="C23" s="627">
        <f>'Calculations - Combustion'!AK91</f>
        <v>0</v>
      </c>
      <c r="D23" s="608">
        <f>'Calculations - Combustion'!AJ91</f>
        <v>0</v>
      </c>
      <c r="E23" s="620">
        <f>'Calculations - Combustion'!AL91</f>
        <v>0</v>
      </c>
      <c r="F23" s="608">
        <f t="shared" si="0"/>
        <v>0</v>
      </c>
      <c r="G23" s="608">
        <f>'Calculations - Combustion'!AM91</f>
        <v>0</v>
      </c>
      <c r="H23" s="608">
        <f>'Calculations - Combustion'!AN91</f>
        <v>0</v>
      </c>
      <c r="I23" s="620">
        <f>'Calculations - Combustion'!AO91</f>
        <v>0</v>
      </c>
      <c r="J23" s="621">
        <f>'Calculations - Combustion'!AP91</f>
        <v>0</v>
      </c>
      <c r="K23" s="348"/>
    </row>
    <row r="24" spans="1:14" x14ac:dyDescent="0.35">
      <c r="A24" s="658" t="str">
        <f ca="1">'Translation Table'!H130</f>
        <v>Flaring  &amp; Venting (Hydrocarbon Gas)</v>
      </c>
      <c r="B24" s="646" t="str">
        <f ca="1">'Translation Table'!H106</f>
        <v>Included</v>
      </c>
      <c r="C24" s="641">
        <f>'Calculations - Combustion'!AK83</f>
        <v>0</v>
      </c>
      <c r="D24" s="612">
        <f>'Calculations - Combustion'!AJ83</f>
        <v>0</v>
      </c>
      <c r="E24" s="631">
        <f>'Calculations - Combustion'!AL83</f>
        <v>0</v>
      </c>
      <c r="F24" s="613">
        <f t="shared" si="0"/>
        <v>0</v>
      </c>
      <c r="G24" s="613">
        <f>'Calculations - Combustion'!AM83</f>
        <v>0</v>
      </c>
      <c r="H24" s="613">
        <f>'Calculations - Combustion'!AN83</f>
        <v>0</v>
      </c>
      <c r="I24" s="631">
        <f>'Calculations - Combustion'!AO83</f>
        <v>0</v>
      </c>
      <c r="J24" s="632">
        <f>'Calculations - Combustion'!AP83</f>
        <v>0</v>
      </c>
      <c r="K24" s="353"/>
    </row>
    <row r="25" spans="1:14" ht="62.25" customHeight="1" x14ac:dyDescent="0.3">
      <c r="A25" s="655" t="str">
        <f ca="1">'Translation Table'!H131</f>
        <v>Fugitive Equipment Leaks</v>
      </c>
      <c r="B25" s="645" t="str">
        <f ca="1">'Translation Table'!H107</f>
        <v>Includes Contributions from Leakers and Non-Leakers</v>
      </c>
      <c r="C25" s="412">
        <f ca="1">'Calculations - Fugitives'!$C$60</f>
        <v>0</v>
      </c>
      <c r="D25" s="607">
        <f ca="1">'Calculations - Fugitives'!$D$60</f>
        <v>0</v>
      </c>
      <c r="E25" s="620"/>
      <c r="F25" s="608">
        <f t="shared" ca="1" si="0"/>
        <v>0</v>
      </c>
      <c r="G25" s="608"/>
      <c r="H25" s="608"/>
      <c r="I25" s="620">
        <f ca="1">'Calculations - Fugitives'!$E$60</f>
        <v>0</v>
      </c>
      <c r="J25" s="621"/>
      <c r="K25" s="354" t="s">
        <v>2693</v>
      </c>
      <c r="L25" s="355"/>
      <c r="M25" s="355"/>
      <c r="N25" s="355"/>
    </row>
    <row r="26" spans="1:14" ht="19.5" customHeight="1" x14ac:dyDescent="0.3">
      <c r="A26" s="656" t="str">
        <f ca="1">'Translation Table'!H132</f>
        <v>Compressor Seals</v>
      </c>
      <c r="B26" s="646" t="str">
        <f ca="1">'Translation Table'!H108</f>
        <v>Included</v>
      </c>
      <c r="C26" s="625">
        <f ca="1">'Calculations - Fugitives'!C66</f>
        <v>0</v>
      </c>
      <c r="D26" s="609">
        <f ca="1">'Calculations - Fugitives'!D66</f>
        <v>0</v>
      </c>
      <c r="E26" s="622"/>
      <c r="F26" s="609">
        <f t="shared" ca="1" si="0"/>
        <v>0</v>
      </c>
      <c r="G26" s="609"/>
      <c r="H26" s="609"/>
      <c r="I26" s="622">
        <f ca="1">'Calculations - Fugitives'!E66</f>
        <v>0</v>
      </c>
      <c r="J26" s="623"/>
      <c r="K26" s="356"/>
      <c r="L26" s="355"/>
      <c r="M26" s="355"/>
      <c r="N26" s="355"/>
    </row>
    <row r="27" spans="1:14" x14ac:dyDescent="0.3">
      <c r="A27" s="655" t="str">
        <f ca="1">'Translation Table'!H133</f>
        <v>Wells:</v>
      </c>
      <c r="B27" s="647"/>
      <c r="C27" s="633"/>
      <c r="D27" s="608"/>
      <c r="E27" s="412"/>
      <c r="F27" s="607"/>
      <c r="G27" s="607"/>
      <c r="H27" s="607"/>
      <c r="I27" s="412"/>
      <c r="J27" s="624"/>
      <c r="K27" s="348"/>
      <c r="L27" s="554"/>
    </row>
    <row r="28" spans="1:14" x14ac:dyDescent="0.3">
      <c r="A28" s="685" t="str">
        <f ca="1">'Translation Table'!H134</f>
        <v xml:space="preserve"> - Casing Vents</v>
      </c>
      <c r="B28" s="648" t="str">
        <f ca="1">'Translation Table'!H112</f>
        <v>Included</v>
      </c>
      <c r="C28" s="625">
        <f ca="1">'Calculations - Fugitives'!F191</f>
        <v>0</v>
      </c>
      <c r="D28" s="609">
        <f ca="1">'Calculations - Fugitives'!G191</f>
        <v>0</v>
      </c>
      <c r="E28" s="622"/>
      <c r="F28" s="609">
        <f ca="1">C$45*C28+D28+E$45*E28</f>
        <v>0</v>
      </c>
      <c r="G28" s="609"/>
      <c r="H28" s="609"/>
      <c r="I28" s="622">
        <f ca="1">'Calculations - Fugitives'!H191</f>
        <v>0</v>
      </c>
      <c r="J28" s="623"/>
      <c r="K28" s="552" t="s">
        <v>2623</v>
      </c>
    </row>
    <row r="29" spans="1:14" ht="48" customHeight="1" x14ac:dyDescent="0.3">
      <c r="A29" s="686" t="str">
        <f ca="1">'Translation Table'!H135</f>
        <v xml:space="preserve"> - Workovers</v>
      </c>
      <c r="B29" s="647" t="str">
        <f ca="1">'Translation Table'!H111</f>
        <v>Not Included</v>
      </c>
      <c r="C29" s="642" t="s">
        <v>124</v>
      </c>
      <c r="D29" s="608"/>
      <c r="E29" s="620"/>
      <c r="F29" s="608"/>
      <c r="G29" s="608"/>
      <c r="H29" s="608"/>
      <c r="I29" s="620"/>
      <c r="J29" s="621"/>
      <c r="K29" s="555" t="s">
        <v>2694</v>
      </c>
      <c r="L29" s="554"/>
      <c r="M29" s="554"/>
    </row>
    <row r="30" spans="1:14" x14ac:dyDescent="0.35">
      <c r="A30" s="656" t="str">
        <f ca="1">'Translation Table'!H136</f>
        <v>Pneumatic Devices:</v>
      </c>
      <c r="B30" s="648"/>
      <c r="C30" s="635"/>
      <c r="D30" s="613"/>
      <c r="E30" s="622"/>
      <c r="F30" s="609"/>
      <c r="G30" s="609"/>
      <c r="H30" s="609"/>
      <c r="I30" s="622"/>
      <c r="J30" s="623"/>
      <c r="K30" s="353"/>
    </row>
    <row r="31" spans="1:14" ht="48" customHeight="1" x14ac:dyDescent="0.3">
      <c r="A31" s="655" t="str">
        <f ca="1">'Translation Table'!H137</f>
        <v xml:space="preserve">    - Pneumatic Controllers</v>
      </c>
      <c r="B31" s="647" t="str">
        <f ca="1">'Translation Table'!H112</f>
        <v>Included</v>
      </c>
      <c r="C31" s="620">
        <f>'Calculations - Fugitives'!$H$84</f>
        <v>0</v>
      </c>
      <c r="D31" s="608">
        <f>'Calculations - Fugitives'!$I$84</f>
        <v>0</v>
      </c>
      <c r="E31" s="620"/>
      <c r="F31" s="608">
        <f>C$45*C31+D31+E$45*E31</f>
        <v>0</v>
      </c>
      <c r="G31" s="608"/>
      <c r="H31" s="608"/>
      <c r="I31" s="620">
        <f>'Calculations - Fugitives'!$J$84</f>
        <v>0</v>
      </c>
      <c r="J31" s="621"/>
      <c r="K31" s="555" t="s">
        <v>2695</v>
      </c>
      <c r="L31" s="554"/>
      <c r="M31" s="554"/>
    </row>
    <row r="32" spans="1:14" x14ac:dyDescent="0.35">
      <c r="A32" s="656" t="str">
        <f ca="1">'Translation Table'!H138</f>
        <v xml:space="preserve">    - Chemical Injection Pumps</v>
      </c>
      <c r="B32" s="648" t="str">
        <f ca="1">'Translation Table'!H113</f>
        <v>Included</v>
      </c>
      <c r="C32" s="622">
        <f ca="1">'Calculations - Fugitives'!$G$99</f>
        <v>0</v>
      </c>
      <c r="D32" s="609">
        <f ca="1">'Calculations - Fugitives'!$H$99</f>
        <v>0</v>
      </c>
      <c r="E32" s="622"/>
      <c r="F32" s="609">
        <f ca="1">C$45*C32+D32+E$45*E32</f>
        <v>0</v>
      </c>
      <c r="G32" s="609"/>
      <c r="H32" s="609"/>
      <c r="I32" s="622">
        <f ca="1">'Calculations - Fugitives'!$I$99</f>
        <v>0</v>
      </c>
      <c r="J32" s="623"/>
      <c r="K32" s="352"/>
    </row>
    <row r="33" spans="1:14" ht="32.15" customHeight="1" x14ac:dyDescent="0.3">
      <c r="A33" s="655" t="str">
        <f ca="1">'Translation Table'!H139</f>
        <v xml:space="preserve">    - Compressor Starts</v>
      </c>
      <c r="B33" s="645" t="str">
        <f ca="1">'Translation Table'!H114</f>
        <v>Included</v>
      </c>
      <c r="C33" s="620">
        <f ca="1">'Calculations - Fugitives'!$E$128</f>
        <v>0</v>
      </c>
      <c r="D33" s="608">
        <f ca="1">'Calculations - Fugitives'!$F$128</f>
        <v>0</v>
      </c>
      <c r="E33" s="620"/>
      <c r="F33" s="608">
        <f ca="1">C$45*C33+D33+E$45*E33</f>
        <v>0</v>
      </c>
      <c r="G33" s="608"/>
      <c r="H33" s="608"/>
      <c r="I33" s="620">
        <f ca="1">'Calculations - Fugitives'!$G$128</f>
        <v>0</v>
      </c>
      <c r="J33" s="621"/>
      <c r="K33" s="555" t="s">
        <v>2696</v>
      </c>
      <c r="L33" s="554"/>
    </row>
    <row r="34" spans="1:14" x14ac:dyDescent="0.35">
      <c r="A34" s="656" t="str">
        <f ca="1">'Translation Table'!H140</f>
        <v>Process Venting:</v>
      </c>
      <c r="B34" s="648"/>
      <c r="C34" s="631"/>
      <c r="D34" s="613"/>
      <c r="E34" s="631"/>
      <c r="F34" s="613"/>
      <c r="G34" s="613"/>
      <c r="H34" s="613"/>
      <c r="I34" s="631"/>
      <c r="J34" s="632"/>
      <c r="K34" s="353"/>
    </row>
    <row r="35" spans="1:14" ht="112.5" customHeight="1" x14ac:dyDescent="0.3">
      <c r="A35" s="655" t="str">
        <f ca="1">'Translation Table'!H141</f>
        <v xml:space="preserve">    - Dehydrators</v>
      </c>
      <c r="B35" s="645" t="str">
        <f ca="1">'Translation Table'!H115</f>
        <v>Included</v>
      </c>
      <c r="C35" s="620">
        <f>'Calculations - Fugitives'!$G$139</f>
        <v>0</v>
      </c>
      <c r="D35" s="608">
        <f>'Calculations - Fugitives'!$H$139</f>
        <v>0</v>
      </c>
      <c r="E35" s="633"/>
      <c r="F35" s="618">
        <f>C$45*C35+D35+E$45*E35</f>
        <v>0</v>
      </c>
      <c r="G35" s="618"/>
      <c r="H35" s="618"/>
      <c r="I35" s="633">
        <f>'Calculations - Fugitives'!$I$139</f>
        <v>0</v>
      </c>
      <c r="J35" s="634"/>
      <c r="K35" s="555" t="s">
        <v>2697</v>
      </c>
      <c r="L35" s="554"/>
      <c r="M35" s="554"/>
      <c r="N35" s="554"/>
    </row>
    <row r="36" spans="1:14" x14ac:dyDescent="0.35">
      <c r="A36" s="656" t="str">
        <f ca="1">'Translation Table'!H142</f>
        <v xml:space="preserve">    - Sweetening Units</v>
      </c>
      <c r="B36" s="648" t="str">
        <f ca="1">'Translation Table'!H116</f>
        <v>Included</v>
      </c>
      <c r="C36" s="622">
        <f>'Calculations - Fugitives'!$G$158</f>
        <v>0</v>
      </c>
      <c r="D36" s="609">
        <f>'Calculations - Fugitives'!$I$158</f>
        <v>0</v>
      </c>
      <c r="E36" s="622"/>
      <c r="F36" s="609">
        <f>C$45*C36+D36+E$45*E36</f>
        <v>0</v>
      </c>
      <c r="G36" s="609"/>
      <c r="H36" s="609"/>
      <c r="I36" s="622">
        <f>'Calculations - Fugitives'!$K$158</f>
        <v>0</v>
      </c>
      <c r="J36" s="623"/>
      <c r="K36" s="349"/>
    </row>
    <row r="37" spans="1:14" ht="48" customHeight="1" x14ac:dyDescent="0.3">
      <c r="A37" s="655" t="str">
        <f ca="1">'Translation Table'!H143</f>
        <v xml:space="preserve">    - Storage Losses</v>
      </c>
      <c r="B37" s="647" t="str">
        <f ca="1">'Translation Table'!H117</f>
        <v>Included</v>
      </c>
      <c r="C37" s="620">
        <f ca="1">'Calculations - Fugitives'!$E$168</f>
        <v>0</v>
      </c>
      <c r="D37" s="608">
        <f ca="1">'Calculations - Fugitives'!$G$168</f>
        <v>0</v>
      </c>
      <c r="E37" s="412"/>
      <c r="F37" s="607">
        <f ca="1">C$45*C37+D37+E$45*E37</f>
        <v>0</v>
      </c>
      <c r="G37" s="607"/>
      <c r="H37" s="607"/>
      <c r="I37" s="412">
        <f ca="1">'Calculations - Fugitives'!$I$168</f>
        <v>0</v>
      </c>
      <c r="J37" s="624"/>
      <c r="K37" s="556" t="s">
        <v>2698</v>
      </c>
      <c r="L37" s="554"/>
      <c r="M37" s="554"/>
    </row>
    <row r="38" spans="1:14" x14ac:dyDescent="0.35">
      <c r="A38" s="656" t="str">
        <f ca="1">'Translation Table'!H144</f>
        <v>Inspection &amp; Maintenance Activities:</v>
      </c>
      <c r="B38" s="648"/>
      <c r="C38" s="631"/>
      <c r="D38" s="609"/>
      <c r="E38" s="635"/>
      <c r="F38" s="614"/>
      <c r="G38" s="614"/>
      <c r="H38" s="614"/>
      <c r="I38" s="635"/>
      <c r="J38" s="636"/>
      <c r="K38" s="553"/>
    </row>
    <row r="39" spans="1:14" ht="64" customHeight="1" x14ac:dyDescent="0.3">
      <c r="A39" s="655" t="str">
        <f ca="1">'Translation Table'!H145</f>
        <v xml:space="preserve">    - Equipment Depressurization &amp; Purging Events</v>
      </c>
      <c r="B39" s="647" t="str">
        <f ca="1">'Translation Table'!H118</f>
        <v>Included</v>
      </c>
      <c r="C39" s="633">
        <f ca="1">'Calculations - Fugitives'!$E$114</f>
        <v>0</v>
      </c>
      <c r="D39" s="608">
        <f ca="1">'Calculations - Fugitives'!$F$114</f>
        <v>0</v>
      </c>
      <c r="E39" s="620"/>
      <c r="F39" s="608">
        <f ca="1">C$45*C39+D39+E$45*E39</f>
        <v>0</v>
      </c>
      <c r="G39" s="608"/>
      <c r="H39" s="608"/>
      <c r="I39" s="620">
        <f ca="1">'Calculations - Fugitives'!$G$114</f>
        <v>0</v>
      </c>
      <c r="J39" s="621"/>
      <c r="K39" s="556" t="s">
        <v>2699</v>
      </c>
      <c r="L39" s="554"/>
      <c r="M39" s="554"/>
      <c r="N39" s="554"/>
    </row>
    <row r="40" spans="1:14" x14ac:dyDescent="0.35">
      <c r="A40" s="656" t="str">
        <f ca="1">'Translation Table'!H146</f>
        <v>Mishaps:</v>
      </c>
      <c r="B40" s="648" t="str">
        <f ca="1">'Translation Table'!H119</f>
        <v>Included</v>
      </c>
      <c r="C40" s="622">
        <f ca="1">'Calculations - Fugitives'!$D$179</f>
        <v>0</v>
      </c>
      <c r="D40" s="609">
        <f ca="1">'Calculations - Fugitives'!$E$179</f>
        <v>0</v>
      </c>
      <c r="E40" s="622"/>
      <c r="F40" s="609">
        <f ca="1">C$45*C40+D40+E$45*E40</f>
        <v>0</v>
      </c>
      <c r="G40" s="609"/>
      <c r="H40" s="609"/>
      <c r="I40" s="622">
        <f ca="1">'Calculations - Fugitives'!$F$179</f>
        <v>0</v>
      </c>
      <c r="J40" s="623"/>
      <c r="K40" s="353"/>
    </row>
    <row r="41" spans="1:14" x14ac:dyDescent="0.35">
      <c r="A41" s="655" t="str">
        <f ca="1">'Translation Table'!H147</f>
        <v>Recycled and Utilized Emissions:</v>
      </c>
      <c r="B41" s="647" t="str">
        <f ca="1">'Translation Table'!H120</f>
        <v>Not Included</v>
      </c>
      <c r="C41" s="620"/>
      <c r="D41" s="607"/>
      <c r="E41" s="412"/>
      <c r="F41" s="607"/>
      <c r="G41" s="607"/>
      <c r="H41" s="607"/>
      <c r="I41" s="412"/>
      <c r="J41" s="624"/>
      <c r="K41" s="551"/>
    </row>
    <row r="42" spans="1:14" x14ac:dyDescent="0.35">
      <c r="A42" s="659" t="str">
        <f ca="1">'Translation Table'!H148</f>
        <v>Indirect Emissions from Power &amp; Heat Purchases:</v>
      </c>
      <c r="B42" s="649" t="str">
        <f ca="1">'Translation Table'!H121</f>
        <v>Included</v>
      </c>
      <c r="C42" s="622">
        <f>'Calculations - Combustion'!N101</f>
        <v>0</v>
      </c>
      <c r="D42" s="614">
        <f>'Calculations - Combustion'!M101</f>
        <v>0</v>
      </c>
      <c r="E42" s="622">
        <f>'Calculations - Combustion'!O101</f>
        <v>0</v>
      </c>
      <c r="F42" s="609">
        <f>C$45*C42+D42+E$45*E42</f>
        <v>0</v>
      </c>
      <c r="G42" s="609">
        <f>'Calculations - Combustion'!P101</f>
        <v>0</v>
      </c>
      <c r="H42" s="609">
        <f>'Calculations - Combustion'!Q101</f>
        <v>0</v>
      </c>
      <c r="I42" s="622">
        <f>'Calculations - Combustion'!R101</f>
        <v>0</v>
      </c>
      <c r="J42" s="623">
        <f>'Calculations - Combustion'!S101</f>
        <v>0</v>
      </c>
      <c r="K42" s="553"/>
    </row>
    <row r="43" spans="1:14" x14ac:dyDescent="0.35">
      <c r="A43" s="657" t="str">
        <f ca="1">'Translation Table'!H149</f>
        <v>Other Contributions (Measured):</v>
      </c>
      <c r="B43" s="650" t="str">
        <f ca="1">'Translation Table'!H121</f>
        <v>Included</v>
      </c>
      <c r="C43" s="643">
        <f>'Calculations - Fugitives'!$D$201</f>
        <v>0</v>
      </c>
      <c r="D43" s="615">
        <f>'Calculations - Fugitives'!$E$201</f>
        <v>0</v>
      </c>
      <c r="E43" s="637"/>
      <c r="F43" s="608">
        <f>C$45*C43+D43+E$45*E43</f>
        <v>0</v>
      </c>
      <c r="G43" s="619"/>
      <c r="H43" s="615"/>
      <c r="I43" s="637">
        <f>'Calculations - Fugitives'!$F$201</f>
        <v>0</v>
      </c>
      <c r="J43" s="638"/>
      <c r="K43" s="557"/>
    </row>
    <row r="44" spans="1:14" x14ac:dyDescent="0.35">
      <c r="A44" s="739" t="str">
        <f ca="1">'Translation Table'!H150</f>
        <v>Total</v>
      </c>
      <c r="B44" s="741"/>
      <c r="C44" s="639">
        <f t="shared" ref="C44:J44" ca="1" si="1">SUM(C16:C43)</f>
        <v>0</v>
      </c>
      <c r="D44" s="616">
        <f t="shared" ca="1" si="1"/>
        <v>0</v>
      </c>
      <c r="E44" s="639">
        <f t="shared" ca="1" si="1"/>
        <v>0</v>
      </c>
      <c r="F44" s="616">
        <f t="shared" ca="1" si="1"/>
        <v>0</v>
      </c>
      <c r="G44" s="616">
        <f t="shared" ca="1" si="1"/>
        <v>0</v>
      </c>
      <c r="H44" s="616">
        <f t="shared" ca="1" si="1"/>
        <v>0</v>
      </c>
      <c r="I44" s="639">
        <f t="shared" ca="1" si="1"/>
        <v>0</v>
      </c>
      <c r="J44" s="639">
        <f t="shared" ca="1" si="1"/>
        <v>0</v>
      </c>
      <c r="K44" s="357"/>
    </row>
    <row r="45" spans="1:14" x14ac:dyDescent="0.35">
      <c r="B45" s="96" t="str">
        <f ca="1">'Translation Table'!H151</f>
        <v>Applied Global Warming Potentials (GWPs)</v>
      </c>
      <c r="C45" s="96">
        <v>28</v>
      </c>
      <c r="D45" s="96">
        <v>1</v>
      </c>
      <c r="E45" s="96">
        <v>265</v>
      </c>
    </row>
  </sheetData>
  <sheetProtection algorithmName="SHA-512" hashValue="xReE6NR58Agm8ANEZHZeLDRWioz8cGA8ReoXhhuArliPJ0cYjoqC9eUWDNrUd7s6APajz/HVJsqSLiM/76tn4w==" saltValue="AXAI1aDE+1SwhJ/QXXCqWQ==" spinCount="100000" sheet="1" objects="1" scenarios="1"/>
  <mergeCells count="6">
    <mergeCell ref="K14:K15"/>
    <mergeCell ref="A1:B1"/>
    <mergeCell ref="A44:B44"/>
    <mergeCell ref="A13:C13"/>
    <mergeCell ref="A14:A15"/>
    <mergeCell ref="B14:B15"/>
  </mergeCells>
  <hyperlinks>
    <hyperlink ref="K28" r:id="rId1" display="https://www.epa.gov/natural-gas-star-program/plunger-lift-system-without-planned-atmospheric-venting" xr:uid="{EC375302-2AB6-4563-B526-EA9BB381F515}"/>
  </hyperlinks>
  <pageMargins left="0.7" right="0.7" top="0.75" bottom="0.75" header="0.3" footer="0.3"/>
  <pageSetup scale="49" orientation="landscape" r:id="rId2"/>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0070C0"/>
    <pageSetUpPr fitToPage="1"/>
  </sheetPr>
  <dimension ref="A1:W112"/>
  <sheetViews>
    <sheetView showGridLines="0" topLeftCell="B1" zoomScaleNormal="100" workbookViewId="0">
      <selection activeCell="G13" sqref="G13"/>
    </sheetView>
  </sheetViews>
  <sheetFormatPr defaultColWidth="9.1796875" defaultRowHeight="14" x14ac:dyDescent="0.35"/>
  <cols>
    <col min="1" max="1" width="15.7265625" style="358" hidden="1" customWidth="1"/>
    <col min="2" max="2" width="52.453125" style="257" customWidth="1"/>
    <col min="3" max="3" width="26.81640625" style="257" customWidth="1"/>
    <col min="4" max="4" width="24" style="257" customWidth="1"/>
    <col min="5" max="5" width="25.7265625" style="257" customWidth="1"/>
    <col min="6" max="6" width="21.1796875" style="257" customWidth="1"/>
    <col min="7" max="7" width="22.1796875" style="257" customWidth="1"/>
    <col min="8" max="8" width="19.81640625" style="257" customWidth="1"/>
    <col min="9" max="9" width="22.1796875" style="257" customWidth="1"/>
    <col min="10" max="10" width="21.81640625" style="257" customWidth="1"/>
    <col min="11" max="11" width="63.453125" style="257" customWidth="1"/>
    <col min="12" max="12" width="9.1796875" style="257" customWidth="1"/>
    <col min="13" max="13" width="9.1796875" style="358" customWidth="1"/>
    <col min="14" max="16" width="9.1796875" style="358" hidden="1" customWidth="1"/>
    <col min="17" max="17" width="45.453125" style="358" hidden="1" customWidth="1"/>
    <col min="18" max="19" width="9.1796875" style="358" hidden="1" customWidth="1"/>
    <col min="20" max="20" width="9.1796875" style="257" hidden="1" customWidth="1"/>
    <col min="21" max="23" width="9.1796875" style="358" customWidth="1"/>
    <col min="24" max="16384" width="9.1796875" style="257"/>
  </cols>
  <sheetData>
    <row r="1" spans="1:21" ht="22.5" x14ac:dyDescent="0.35">
      <c r="B1" s="263" t="str">
        <f ca="1">'Translation Table'!H152</f>
        <v>Facility Definition</v>
      </c>
      <c r="C1" s="139"/>
      <c r="I1" s="102"/>
      <c r="J1" s="264" t="str">
        <f>'Language &amp; User Guide'!C2</f>
        <v>English</v>
      </c>
    </row>
    <row r="2" spans="1:21" ht="22.5" x14ac:dyDescent="0.35">
      <c r="B2" s="249"/>
      <c r="Q2" s="358">
        <f ca="1">MATCH(C11,'Equipment Schedules'!C678:C686,0)</f>
        <v>5</v>
      </c>
      <c r="R2" s="358">
        <f ca="1">CHOOSE($Q$2,'Equipment Schedules'!$D$678,'Equipment Schedules'!$D$679,'Equipment Schedules'!$D$680,'Equipment Schedules'!$D$681,'Equipment Schedules'!$D$682,'Equipment Schedules'!$D$683,'Equipment Schedules'!$D$684,'Equipment Schedules'!$D$685,'Equipment Schedules'!$D$686)</f>
        <v>369</v>
      </c>
      <c r="S2" s="358">
        <f ca="1">CHOOSE($Q$2,'Equipment Schedules'!$E$678,'Equipment Schedules'!$E$679,'Equipment Schedules'!$E$680,'Equipment Schedules'!$E$681,'Equipment Schedules'!$E$682,'Equipment Schedules'!$E$683,'Equipment Schedules'!$E$684,'Equipment Schedules'!$E$685,'Equipment Schedules'!$E$686)</f>
        <v>462</v>
      </c>
      <c r="T2" s="358">
        <f ca="1">COUNTA(PTRange)-COUNTIF(PTRange,0)</f>
        <v>94</v>
      </c>
    </row>
    <row r="3" spans="1:21" ht="18" x14ac:dyDescent="0.35">
      <c r="B3" s="38" t="str">
        <f ca="1">'Translation Table'!H153</f>
        <v>Parameter</v>
      </c>
      <c r="C3" s="755" t="str">
        <f ca="1">'Translation Table'!H154</f>
        <v>Value</v>
      </c>
      <c r="D3" s="757"/>
      <c r="E3" s="755" t="str">
        <f ca="1">'Translation Table'!H155</f>
        <v>Error Message</v>
      </c>
      <c r="F3" s="757"/>
      <c r="H3" s="265"/>
    </row>
    <row r="4" spans="1:21" ht="15" customHeight="1" x14ac:dyDescent="0.35">
      <c r="B4" s="359" t="str">
        <f ca="1">'Translation Table'!H157</f>
        <v>Company Name:</v>
      </c>
      <c r="C4" s="790"/>
      <c r="D4" s="791"/>
      <c r="E4" s="775" t="str">
        <f t="shared" ref="E4:E10" ca="1" si="0">IF(ISBLANK(C4),LOOKUP("Err01",TblErrorMsg),"")</f>
        <v>Error: This field must be completed.</v>
      </c>
      <c r="F4" s="777"/>
      <c r="Q4" s="358" t="str" cm="1">
        <f t="array" aca="1" ref="Q4" ca="1">INDEX(EquipmentSchedules,R4)</f>
        <v>Blowdown System: Generic (Pit or Vent)</v>
      </c>
      <c r="R4" s="358">
        <f ca="1">R2</f>
        <v>369</v>
      </c>
    </row>
    <row r="5" spans="1:21" ht="15" customHeight="1" x14ac:dyDescent="0.35">
      <c r="B5" s="359" t="str">
        <f ca="1">'Translation Table'!H158</f>
        <v>Facility Name:</v>
      </c>
      <c r="C5" s="790"/>
      <c r="D5" s="791"/>
      <c r="E5" s="775" t="str">
        <f t="shared" ca="1" si="0"/>
        <v>Error: This field must be completed.</v>
      </c>
      <c r="F5" s="777"/>
      <c r="Q5" s="358" t="str" cm="1">
        <f t="array" aca="1" ref="Q5" ca="1">INDEX(EquipmentSchedules,R5)</f>
        <v>Aerial Cooler: Natural Gas Service</v>
      </c>
      <c r="R5" s="358">
        <f t="shared" ref="R5:R68" ca="1" si="1">IF(R4=1,1,(IF(($S$2-R4)&gt;0,R4+1,1)))</f>
        <v>370</v>
      </c>
    </row>
    <row r="6" spans="1:21" ht="15" customHeight="1" x14ac:dyDescent="0.35">
      <c r="B6" s="359" t="str">
        <f ca="1">'Translation Table'!H159</f>
        <v>Asset ID:</v>
      </c>
      <c r="C6" s="794"/>
      <c r="D6" s="795"/>
      <c r="E6" s="775" t="str">
        <f t="shared" ca="1" si="0"/>
        <v>Error: This field must be completed.</v>
      </c>
      <c r="F6" s="777"/>
      <c r="Q6" s="358" t="str" cm="1">
        <f t="array" aca="1" ref="Q6" ca="1">INDEX(EquipmentSchedules,R6)</f>
        <v>Aerial Cooler: Hydrocarbon Liquid Service</v>
      </c>
      <c r="R6" s="358">
        <f t="shared" ca="1" si="1"/>
        <v>371</v>
      </c>
    </row>
    <row r="7" spans="1:21" ht="15" customHeight="1" x14ac:dyDescent="0.35">
      <c r="B7" s="359" t="str">
        <f ca="1">'Translation Table'!H160</f>
        <v>Country:</v>
      </c>
      <c r="C7" s="790"/>
      <c r="D7" s="791"/>
      <c r="E7" s="775" t="str">
        <f t="shared" ca="1" si="0"/>
        <v>Error: This field must be completed.</v>
      </c>
      <c r="F7" s="777"/>
      <c r="Q7" s="358" t="str" cm="1">
        <f t="array" aca="1" ref="Q7" ca="1">INDEX(EquipmentSchedules,R7)</f>
        <v>Chemical Injection Pump: Pneumatic (Diaphragm Type)</v>
      </c>
      <c r="R7" s="358">
        <f t="shared" ca="1" si="1"/>
        <v>372</v>
      </c>
    </row>
    <row r="8" spans="1:21" ht="15" customHeight="1" x14ac:dyDescent="0.35">
      <c r="B8" s="359" t="str">
        <f ca="1">'Translation Table'!H161</f>
        <v>Latitude:</v>
      </c>
      <c r="C8" s="790"/>
      <c r="D8" s="795"/>
      <c r="E8" s="775" t="str">
        <f t="shared" ca="1" si="0"/>
        <v>Error: This field must be completed.</v>
      </c>
      <c r="F8" s="777"/>
      <c r="Q8" s="358" t="str" cm="1">
        <f t="array" aca="1" ref="Q8" ca="1">INDEX(EquipmentSchedules,R8)</f>
        <v>Chemical Injection Pump: Pneumatic (Piston Type)</v>
      </c>
      <c r="R8" s="358">
        <f t="shared" ca="1" si="1"/>
        <v>373</v>
      </c>
    </row>
    <row r="9" spans="1:21" ht="15" customHeight="1" x14ac:dyDescent="0.35">
      <c r="B9" s="359" t="str">
        <f ca="1">'Translation Table'!H162</f>
        <v>Longitude:</v>
      </c>
      <c r="C9" s="790"/>
      <c r="D9" s="795"/>
      <c r="E9" s="775" t="str">
        <f t="shared" ca="1" si="0"/>
        <v>Error: This field must be completed.</v>
      </c>
      <c r="F9" s="777"/>
      <c r="Q9" s="358" t="str" cm="1">
        <f t="array" aca="1" ref="Q9" ca="1">INDEX(EquipmentSchedules,R9)</f>
        <v>Chemical Injection Pump: Pneumatic (Unknown Type)</v>
      </c>
      <c r="R9" s="358">
        <f t="shared" ca="1" si="1"/>
        <v>374</v>
      </c>
    </row>
    <row r="10" spans="1:21" ht="15" customHeight="1" x14ac:dyDescent="0.35">
      <c r="A10" s="358">
        <v>4</v>
      </c>
      <c r="B10" s="359" t="str">
        <f ca="1">'Translation Table'!H163</f>
        <v>Reference Year:</v>
      </c>
      <c r="C10" s="792"/>
      <c r="D10" s="793"/>
      <c r="E10" s="775" t="str">
        <f t="shared" ca="1" si="0"/>
        <v>Error: This field must be completed.</v>
      </c>
      <c r="F10" s="777"/>
      <c r="Q10" s="358" t="str" cm="1">
        <f t="array" aca="1" ref="Q10" ca="1">INDEX(EquipmentSchedules,R10)</f>
        <v>Compressor: Centrifugal: (Stages: 1) (Seals: Wet) (Driver: Electric Motor)</v>
      </c>
      <c r="R10" s="358">
        <f t="shared" ca="1" si="1"/>
        <v>375</v>
      </c>
    </row>
    <row r="11" spans="1:21" ht="15" customHeight="1" x14ac:dyDescent="0.35">
      <c r="A11" s="358">
        <v>6</v>
      </c>
      <c r="B11" s="359" t="str">
        <f ca="1">'Translation Table'!H164</f>
        <v>Industry Segment</v>
      </c>
      <c r="C11" s="360" t="str" cm="1">
        <f t="array" aca="1" ref="C11" ca="1">INDEX(ValidIndustrySegments,A11)</f>
        <v>Gas Processing</v>
      </c>
      <c r="D11" s="361"/>
      <c r="E11" s="775" t="str">
        <f ca="1">IF(C11=0,LOOKUP("Err01",TblErrorMsg),"")</f>
        <v/>
      </c>
      <c r="F11" s="777"/>
      <c r="Q11" s="358" t="str" cm="1">
        <f t="array" aca="1" ref="Q11" ca="1">INDEX(EquipmentSchedules,R11)</f>
        <v>Compressor: Centrifugal: (Stages: 1) (Seals: Wet) (Driver: Gas Turbine)</v>
      </c>
      <c r="R11" s="358">
        <f t="shared" ca="1" si="1"/>
        <v>376</v>
      </c>
    </row>
    <row r="12" spans="1:21" ht="15" customHeight="1" x14ac:dyDescent="0.35">
      <c r="A12" s="358">
        <f ca="1">IF(A10&gt;(COUNTA(RangeSource)-COUNTBLANK(RangeSource)+1),COUNTA(RangeSource)-COUNTBLANK(RangeSource)+1,A10)</f>
        <v>4</v>
      </c>
      <c r="B12" s="359" t="str">
        <f ca="1">'Translation Table'!H165</f>
        <v>Facility Type</v>
      </c>
      <c r="C12" s="360" t="str" cm="1">
        <f t="array" aca="1" ref="C12" ca="1">INDEX(FTSource,A12)</f>
        <v>Sweet Gas Plant</v>
      </c>
      <c r="D12" s="361"/>
      <c r="E12" s="775" t="str">
        <f ca="1">IF(C12=0,LOOKUP("Err01",TblErrorMsg),"")</f>
        <v/>
      </c>
      <c r="F12" s="777"/>
      <c r="Q12" s="358" t="str" cm="1">
        <f t="array" aca="1" ref="Q12" ca="1">INDEX(EquipmentSchedules,R12)</f>
        <v>Compressor: Centrifugal: (Stages: 2) (Seals: Wet) (Driver: Electric Motor)</v>
      </c>
      <c r="R12" s="358">
        <f t="shared" ca="1" si="1"/>
        <v>377</v>
      </c>
    </row>
    <row r="13" spans="1:21" ht="15" customHeight="1" x14ac:dyDescent="0.35">
      <c r="A13" s="358">
        <v>2</v>
      </c>
      <c r="B13" s="359" t="str">
        <f ca="1">'Translation Table'!H166</f>
        <v>Hydrocarbon Liquids:</v>
      </c>
      <c r="C13" s="362" t="str" cm="1">
        <f t="array" aca="1" ref="C13" ca="1">INDEX(HydrocarbonLiquids,A13)</f>
        <v>Light</v>
      </c>
      <c r="D13" s="363"/>
      <c r="E13" s="775" t="str">
        <f ca="1">IF(C13=0,LOOKUP("Err01",TblErrorMsg),"")</f>
        <v/>
      </c>
      <c r="F13" s="777"/>
      <c r="Q13" s="358" t="str" cm="1">
        <f t="array" aca="1" ref="Q13" ca="1">INDEX(EquipmentSchedules,R13)</f>
        <v>Compressor: Centrifugal: (Stages: 2) (Seals: Wet) (Driver: Gas Turbine)</v>
      </c>
      <c r="R13" s="358">
        <f t="shared" ca="1" si="1"/>
        <v>378</v>
      </c>
    </row>
    <row r="14" spans="1:21" x14ac:dyDescent="0.35">
      <c r="Q14" s="358" t="str" cm="1">
        <f t="array" aca="1" ref="Q14" ca="1">INDEX(EquipmentSchedules,R14)</f>
        <v>Compressor: Centrifugal: (Stages: 1) (Seals: Dry) (Driver: Electric Motor)</v>
      </c>
      <c r="R14" s="358">
        <f t="shared" ca="1" si="1"/>
        <v>379</v>
      </c>
    </row>
    <row r="15" spans="1:21" ht="22.5" x14ac:dyDescent="0.35">
      <c r="B15" s="266" t="str">
        <f ca="1">'Translation Table'!H168</f>
        <v>Facility Activity Levels</v>
      </c>
      <c r="E15" s="259"/>
      <c r="Q15" s="358" t="str" cm="1">
        <f t="array" aca="1" ref="Q15" ca="1">INDEX(EquipmentSchedules,R15)</f>
        <v>Compressor: Centrifugal: (Stages: 1) (Seals: Dry) (Driver: Gas Turbine)</v>
      </c>
      <c r="R15" s="358">
        <f t="shared" ca="1" si="1"/>
        <v>380</v>
      </c>
    </row>
    <row r="16" spans="1:21" s="139" customFormat="1" ht="18" customHeight="1" x14ac:dyDescent="0.35">
      <c r="A16" s="191"/>
      <c r="B16" s="261" t="str">
        <f ca="1">'Translation Table'!H169</f>
        <v>Parameter</v>
      </c>
      <c r="C16" s="262"/>
      <c r="D16" s="40" t="str">
        <f ca="1">'Translation Table'!H172</f>
        <v>Value</v>
      </c>
      <c r="E16" s="40" t="str">
        <f ca="1">'Translation Table'!H173</f>
        <v>Units of Measure</v>
      </c>
      <c r="F16" s="164" t="str">
        <f ca="1">'Translation Table'!H174</f>
        <v>Source of Value</v>
      </c>
      <c r="G16" s="755" t="str">
        <f ca="1">'Translation Table'!H176</f>
        <v>Error Message</v>
      </c>
      <c r="H16" s="760"/>
      <c r="I16" s="781"/>
      <c r="L16" s="191"/>
      <c r="M16" s="191"/>
      <c r="N16" s="191"/>
      <c r="O16" s="191"/>
      <c r="P16" s="358"/>
      <c r="Q16" s="358" t="str" cm="1">
        <f t="array" aca="1" ref="Q16" ca="1">INDEX(EquipmentSchedules,R16)</f>
        <v>Compressor: Centrifugal: (Stages: 2) (Seals: Dry) (Driver: Electric Motor)</v>
      </c>
      <c r="R16" s="358">
        <f t="shared" ca="1" si="1"/>
        <v>381</v>
      </c>
      <c r="S16" s="191"/>
      <c r="T16" s="191"/>
      <c r="U16" s="191"/>
    </row>
    <row r="17" spans="2:23" ht="15" customHeight="1" x14ac:dyDescent="0.35">
      <c r="B17" s="308" t="str">
        <f ca="1">'Translation Table'!H177</f>
        <v>Natural Gas Receipts:</v>
      </c>
      <c r="C17" s="309"/>
      <c r="D17" s="305"/>
      <c r="E17" s="291"/>
      <c r="F17" s="267">
        <v>1</v>
      </c>
      <c r="G17" s="778" t="str">
        <f>IF(D17&gt;0,IF(F17=1,LOOKUP("Err02",TblErrorMsg),""),"")</f>
        <v/>
      </c>
      <c r="H17" s="779"/>
      <c r="I17" s="780"/>
      <c r="L17" s="358"/>
      <c r="Q17" s="358" t="str" cm="1">
        <f t="array" aca="1" ref="Q17" ca="1">INDEX(EquipmentSchedules,R17)</f>
        <v>Compressor: Centrifugal: (Stages: 2) (Seals: Dry) (Driver: Gas Turbine)</v>
      </c>
      <c r="R17" s="358">
        <f t="shared" ca="1" si="1"/>
        <v>382</v>
      </c>
      <c r="T17" s="358"/>
      <c r="V17" s="257"/>
      <c r="W17" s="257"/>
    </row>
    <row r="18" spans="2:23" ht="15" customHeight="1" x14ac:dyDescent="0.35">
      <c r="B18" s="364" t="str">
        <f ca="1">'Translation Table'!H179</f>
        <v>Oil or Condensate Receipts:</v>
      </c>
      <c r="C18" s="296"/>
      <c r="D18" s="305"/>
      <c r="E18" s="291"/>
      <c r="F18" s="267">
        <v>1</v>
      </c>
      <c r="G18" s="782" t="str">
        <f t="shared" ref="G18:G30" si="2">IF(D18&gt;0,IF(F18=1,LOOKUP("Err02",TblErrorMsg),""),"")</f>
        <v/>
      </c>
      <c r="H18" s="783"/>
      <c r="I18" s="784"/>
      <c r="L18" s="358"/>
      <c r="Q18" s="358" t="str" cm="1">
        <f t="array" aca="1" ref="Q18" ca="1">INDEX(EquipmentSchedules,R18)</f>
        <v>Compressor: Reciprocating: (Stages: 1) (Driver: Electric Motor)</v>
      </c>
      <c r="R18" s="358">
        <f t="shared" ca="1" si="1"/>
        <v>383</v>
      </c>
      <c r="T18" s="358"/>
      <c r="V18" s="257"/>
      <c r="W18" s="257"/>
    </row>
    <row r="19" spans="2:23" ht="15" customHeight="1" x14ac:dyDescent="0.35">
      <c r="B19" s="308" t="str">
        <f ca="1">'Translation Table'!H181</f>
        <v>Produced Water Receipts:</v>
      </c>
      <c r="C19" s="309"/>
      <c r="D19" s="305"/>
      <c r="E19" s="291"/>
      <c r="F19" s="267">
        <v>1</v>
      </c>
      <c r="G19" s="778" t="str">
        <f t="shared" si="2"/>
        <v/>
      </c>
      <c r="H19" s="779"/>
      <c r="I19" s="780"/>
      <c r="L19" s="358"/>
      <c r="Q19" s="358" t="str" cm="1">
        <f t="array" aca="1" ref="Q19" ca="1">INDEX(EquipmentSchedules,R19)</f>
        <v>Compressor: Reciprocating: (Stages: 1) (Driver: Recip Engine)</v>
      </c>
      <c r="R19" s="358">
        <f t="shared" ca="1" si="1"/>
        <v>384</v>
      </c>
      <c r="T19" s="358"/>
      <c r="V19" s="257"/>
      <c r="W19" s="257"/>
    </row>
    <row r="20" spans="2:23" ht="15" customHeight="1" x14ac:dyDescent="0.35">
      <c r="B20" s="364" t="str">
        <f ca="1">'Translation Table'!H183</f>
        <v>Flared Hydrocarbon Gas:</v>
      </c>
      <c r="C20" s="296"/>
      <c r="D20" s="305"/>
      <c r="E20" s="291"/>
      <c r="F20" s="267">
        <v>1</v>
      </c>
      <c r="G20" s="782" t="str">
        <f t="shared" si="2"/>
        <v/>
      </c>
      <c r="H20" s="783"/>
      <c r="I20" s="784"/>
      <c r="L20" s="358"/>
      <c r="Q20" s="358" t="str" cm="1">
        <f t="array" aca="1" ref="Q20" ca="1">INDEX(EquipmentSchedules,R20)</f>
        <v>Compressor: Reciprocating: (Stages: 2) (Driver: Electric Motor)</v>
      </c>
      <c r="R20" s="358">
        <f t="shared" ca="1" si="1"/>
        <v>385</v>
      </c>
      <c r="T20" s="358"/>
      <c r="V20" s="257"/>
      <c r="W20" s="257"/>
    </row>
    <row r="21" spans="2:23" ht="15" customHeight="1" x14ac:dyDescent="0.35">
      <c r="B21" s="308" t="str">
        <f ca="1">'Translation Table'!H185</f>
        <v>Flared Acid Gas:</v>
      </c>
      <c r="C21" s="309"/>
      <c r="D21" s="305"/>
      <c r="E21" s="291"/>
      <c r="F21" s="267">
        <v>1</v>
      </c>
      <c r="G21" s="778" t="str">
        <f t="shared" si="2"/>
        <v/>
      </c>
      <c r="H21" s="779"/>
      <c r="I21" s="780"/>
      <c r="L21" s="358"/>
      <c r="Q21" s="358" t="str" cm="1">
        <f t="array" aca="1" ref="Q21" ca="1">INDEX(EquipmentSchedules,R21)</f>
        <v>Compressor: Reciprocating: (Stages: 2) (Driver: Recip Engine)</v>
      </c>
      <c r="R21" s="358">
        <f t="shared" ca="1" si="1"/>
        <v>386</v>
      </c>
      <c r="T21" s="358"/>
      <c r="V21" s="257"/>
      <c r="W21" s="257"/>
    </row>
    <row r="22" spans="2:23" ht="15" customHeight="1" x14ac:dyDescent="0.35">
      <c r="B22" s="364" t="str">
        <f ca="1">'Translation Table'!H187</f>
        <v>Vented Hydrocarbon Gas:</v>
      </c>
      <c r="C22" s="296"/>
      <c r="D22" s="305"/>
      <c r="E22" s="291"/>
      <c r="F22" s="267">
        <v>1</v>
      </c>
      <c r="G22" s="782" t="str">
        <f t="shared" si="2"/>
        <v/>
      </c>
      <c r="H22" s="783"/>
      <c r="I22" s="784"/>
      <c r="L22" s="358"/>
      <c r="Q22" s="358" t="str" cm="1">
        <f t="array" aca="1" ref="Q22" ca="1">INDEX(EquipmentSchedules,R22)</f>
        <v>Compressor: Reciprocating: (Stages: 3) (Driver: Electric Motor)</v>
      </c>
      <c r="R22" s="358">
        <f t="shared" ca="1" si="1"/>
        <v>387</v>
      </c>
      <c r="T22" s="358"/>
      <c r="V22" s="257"/>
      <c r="W22" s="257"/>
    </row>
    <row r="23" spans="2:23" ht="15" customHeight="1" x14ac:dyDescent="0.35">
      <c r="B23" s="308" t="str">
        <f ca="1">'Translation Table'!H189</f>
        <v>Vented Acid Gas:</v>
      </c>
      <c r="C23" s="309"/>
      <c r="D23" s="305"/>
      <c r="E23" s="291"/>
      <c r="F23" s="267">
        <v>1</v>
      </c>
      <c r="G23" s="778" t="str">
        <f t="shared" si="2"/>
        <v/>
      </c>
      <c r="H23" s="779"/>
      <c r="I23" s="780"/>
      <c r="L23" s="358"/>
      <c r="Q23" s="358" t="str" cm="1">
        <f t="array" aca="1" ref="Q23" ca="1">INDEX(EquipmentSchedules,R23)</f>
        <v>Compressor: Reciprocating: (Stages: 3) (Driver: Recip Engine)</v>
      </c>
      <c r="R23" s="358">
        <f t="shared" ca="1" si="1"/>
        <v>388</v>
      </c>
      <c r="T23" s="358"/>
      <c r="V23" s="257"/>
      <c r="W23" s="257"/>
    </row>
    <row r="24" spans="2:23" ht="15" customHeight="1" x14ac:dyDescent="0.35">
      <c r="B24" s="359"/>
      <c r="C24" s="38" t="str">
        <f ca="1">'Translation Table'!H171</f>
        <v>Type</v>
      </c>
      <c r="D24" s="560"/>
      <c r="E24" s="561"/>
      <c r="F24" s="562"/>
      <c r="G24" s="782" t="str">
        <f t="shared" si="2"/>
        <v/>
      </c>
      <c r="H24" s="783"/>
      <c r="I24" s="784"/>
      <c r="L24" s="358"/>
      <c r="Q24" s="358" t="str" cm="1">
        <f t="array" aca="1" ref="Q24" ca="1">INDEX(EquipmentSchedules,R24)</f>
        <v>Compressor: Screw (Driver: Electric Motor)</v>
      </c>
      <c r="R24" s="358">
        <f t="shared" ca="1" si="1"/>
        <v>389</v>
      </c>
      <c r="T24" s="358"/>
      <c r="V24" s="257"/>
      <c r="W24" s="257"/>
    </row>
    <row r="25" spans="2:23" ht="15" customHeight="1" x14ac:dyDescent="0.35">
      <c r="B25" s="268" t="str">
        <f ca="1">'Translation Table'!H203</f>
        <v>Electric Power Purchases:</v>
      </c>
      <c r="C25" s="365" t="str">
        <f ca="1">'Calculations - Combustion'!B97</f>
        <v>Hydro Electric</v>
      </c>
      <c r="D25" s="305"/>
      <c r="E25" s="294" t="s">
        <v>2300</v>
      </c>
      <c r="F25" s="267">
        <v>1</v>
      </c>
      <c r="G25" s="778" t="str">
        <f t="shared" si="2"/>
        <v/>
      </c>
      <c r="H25" s="779"/>
      <c r="I25" s="780"/>
      <c r="L25" s="358"/>
      <c r="Q25" s="358" t="str" cm="1">
        <f t="array" aca="1" ref="Q25" ca="1">INDEX(EquipmentSchedules,R25)</f>
        <v>Compressor: Screw (Driver: Recip Engine)</v>
      </c>
      <c r="R25" s="358">
        <f t="shared" ca="1" si="1"/>
        <v>390</v>
      </c>
      <c r="T25" s="358"/>
      <c r="V25" s="257"/>
      <c r="W25" s="257"/>
    </row>
    <row r="26" spans="2:23" ht="15" customHeight="1" x14ac:dyDescent="0.35">
      <c r="B26" s="237"/>
      <c r="C26" s="366" t="str">
        <f ca="1">'Calculations - Combustion'!B98</f>
        <v>Coal-Fired Power Plant</v>
      </c>
      <c r="D26" s="305"/>
      <c r="E26" s="260" t="s">
        <v>2300</v>
      </c>
      <c r="F26" s="267">
        <v>1</v>
      </c>
      <c r="G26" s="782" t="str">
        <f t="shared" si="2"/>
        <v/>
      </c>
      <c r="H26" s="783"/>
      <c r="I26" s="784"/>
      <c r="L26" s="358"/>
      <c r="Q26" s="358" t="str" cm="1">
        <f t="array" aca="1" ref="Q26" ca="1">INDEX(EquipmentSchedules,R26)</f>
        <v>Dehydration: Desiccant (Adsorber Columns: 2)</v>
      </c>
      <c r="R26" s="358">
        <f t="shared" ca="1" si="1"/>
        <v>391</v>
      </c>
      <c r="T26" s="358"/>
      <c r="V26" s="257"/>
      <c r="W26" s="257"/>
    </row>
    <row r="27" spans="2:23" ht="15" customHeight="1" x14ac:dyDescent="0.35">
      <c r="B27" s="268"/>
      <c r="C27" s="365" t="str">
        <f ca="1">'Calculations - Combustion'!B99</f>
        <v>Natural Gas (Gas Turbine)</v>
      </c>
      <c r="D27" s="305"/>
      <c r="E27" s="294" t="s">
        <v>2300</v>
      </c>
      <c r="F27" s="267">
        <v>1</v>
      </c>
      <c r="G27" s="778" t="str">
        <f t="shared" si="2"/>
        <v/>
      </c>
      <c r="H27" s="779"/>
      <c r="I27" s="780"/>
      <c r="L27" s="358"/>
      <c r="Q27" s="358" t="str" cm="1">
        <f t="array" aca="1" ref="Q27" ca="1">INDEX(EquipmentSchedules,R27)</f>
        <v>Dehydration: Desiccant (Adsorber Columns: 3)</v>
      </c>
      <c r="R27" s="358">
        <f t="shared" ca="1" si="1"/>
        <v>392</v>
      </c>
      <c r="T27" s="358"/>
      <c r="V27" s="257"/>
      <c r="W27" s="257"/>
    </row>
    <row r="28" spans="2:23" ht="15" customHeight="1" x14ac:dyDescent="0.35">
      <c r="B28" s="237"/>
      <c r="C28" s="366" t="str">
        <f ca="1">'Calculations - Combustion'!B100</f>
        <v>Natural Gas (Combined Cycle)</v>
      </c>
      <c r="D28" s="305"/>
      <c r="E28" s="260" t="s">
        <v>2300</v>
      </c>
      <c r="F28" s="267">
        <v>1</v>
      </c>
      <c r="G28" s="782" t="str">
        <f t="shared" si="2"/>
        <v/>
      </c>
      <c r="H28" s="783"/>
      <c r="I28" s="784"/>
      <c r="L28" s="358"/>
      <c r="Q28" s="358" t="str" cm="1">
        <f t="array" aca="1" ref="Q28" ca="1">INDEX(EquipmentSchedules,R28)</f>
        <v>Dehydration: Glycol (with Gas-assisted Pump)</v>
      </c>
      <c r="R28" s="358">
        <f t="shared" ca="1" si="1"/>
        <v>393</v>
      </c>
      <c r="T28" s="358"/>
      <c r="V28" s="257"/>
      <c r="W28" s="257"/>
    </row>
    <row r="29" spans="2:23" ht="15" customHeight="1" x14ac:dyDescent="0.35">
      <c r="B29" s="308" t="str">
        <f ca="1">'Translation Table'!H208</f>
        <v>Heat Purchased: Steam:</v>
      </c>
      <c r="C29" s="309"/>
      <c r="D29" s="305"/>
      <c r="E29" s="692"/>
      <c r="F29" s="267">
        <v>1</v>
      </c>
      <c r="G29" s="778" t="str">
        <f t="shared" si="2"/>
        <v/>
      </c>
      <c r="H29" s="779"/>
      <c r="I29" s="780"/>
      <c r="L29" s="358"/>
      <c r="Q29" s="358" t="str" cm="1">
        <f t="array" aca="1" ref="Q29" ca="1">INDEX(EquipmentSchedules,R29)</f>
        <v>Dehydration: Glycol (without Gas-assisted Pump)</v>
      </c>
      <c r="R29" s="358">
        <f t="shared" ca="1" si="1"/>
        <v>394</v>
      </c>
      <c r="T29" s="358"/>
      <c r="V29" s="257"/>
      <c r="W29" s="257"/>
    </row>
    <row r="30" spans="2:23" ht="15" customHeight="1" x14ac:dyDescent="0.35">
      <c r="B30" s="307" t="str">
        <f ca="1">'Translation Table'!H209</f>
        <v>Heat Purchased: Hot Water:</v>
      </c>
      <c r="C30" s="296"/>
      <c r="D30" s="305"/>
      <c r="E30" s="692"/>
      <c r="F30" s="267">
        <v>1</v>
      </c>
      <c r="G30" s="782" t="str">
        <f t="shared" si="2"/>
        <v/>
      </c>
      <c r="H30" s="783"/>
      <c r="I30" s="784"/>
      <c r="L30" s="358"/>
      <c r="Q30" s="358" t="str" cm="1">
        <f t="array" aca="1" ref="Q30" ca="1">INDEX(EquipmentSchedules,R30)</f>
        <v>Flare System: Generic (Including Knock-out Drum)</v>
      </c>
      <c r="R30" s="358">
        <f t="shared" ca="1" si="1"/>
        <v>395</v>
      </c>
      <c r="T30" s="358"/>
      <c r="V30" s="257"/>
      <c r="W30" s="257"/>
    </row>
    <row r="31" spans="2:23" ht="15" customHeight="1" x14ac:dyDescent="0.35">
      <c r="B31" s="367"/>
      <c r="C31" s="368"/>
      <c r="D31" s="368"/>
      <c r="E31" s="368"/>
      <c r="F31" s="368"/>
      <c r="G31" s="368"/>
      <c r="H31" s="368"/>
      <c r="Q31" s="358" t="str" cm="1">
        <f t="array" aca="1" ref="Q31" ca="1">INDEX(EquipmentSchedules,R31)</f>
        <v>Heat Exchanger: Natural Gas/Steam</v>
      </c>
      <c r="R31" s="358">
        <f t="shared" ca="1" si="1"/>
        <v>396</v>
      </c>
    </row>
    <row r="32" spans="2:23" ht="15" customHeight="1" x14ac:dyDescent="0.35">
      <c r="B32" s="367"/>
      <c r="C32" s="368" t="b">
        <f>ISBLANK(C35)</f>
        <v>1</v>
      </c>
      <c r="D32" s="368"/>
      <c r="E32" s="368"/>
      <c r="F32" s="368"/>
      <c r="G32" s="368"/>
      <c r="H32" s="368"/>
      <c r="Q32" s="358" t="str" cm="1">
        <f t="array" aca="1" ref="Q32" ca="1">INDEX(EquipmentSchedules,R32)</f>
        <v>Heat Exchanger: Natural Gas/Natural Gas</v>
      </c>
      <c r="R32" s="358">
        <f t="shared" ca="1" si="1"/>
        <v>397</v>
      </c>
    </row>
    <row r="33" spans="1:23" ht="23.25" customHeight="1" x14ac:dyDescent="0.35">
      <c r="B33" s="758" t="str">
        <f ca="1">'Translation Table'!H212</f>
        <v>Measured Emission Contributions (Values entered here override corresponding emission factor calculations)</v>
      </c>
      <c r="C33" s="758"/>
      <c r="D33" s="759"/>
      <c r="E33" s="759"/>
      <c r="F33" s="759"/>
      <c r="G33" s="759"/>
      <c r="H33" s="759"/>
      <c r="Q33" s="358" t="str" cm="1">
        <f t="array" aca="1" ref="Q33" ca="1">INDEX(EquipmentSchedules,R33)</f>
        <v>Heat Exchanger: Natural Gas/Non-Hydrocarbon Liquid</v>
      </c>
      <c r="R33" s="358">
        <f t="shared" ca="1" si="1"/>
        <v>398</v>
      </c>
    </row>
    <row r="34" spans="1:23" s="139" customFormat="1" ht="18" customHeight="1" x14ac:dyDescent="0.35">
      <c r="A34" s="191"/>
      <c r="B34" s="38" t="str">
        <f ca="1">'Translation Table'!H213</f>
        <v>Parameter</v>
      </c>
      <c r="C34" s="261" t="str">
        <f ca="1">'Translation Table'!H214</f>
        <v>Measured Value</v>
      </c>
      <c r="D34" s="38" t="str">
        <f ca="1">'Translation Table'!H215</f>
        <v>Units of Measure</v>
      </c>
      <c r="E34" s="286" t="str">
        <f ca="1">'Translation Table'!H216</f>
        <v>Emitted Substance</v>
      </c>
      <c r="F34" s="760" t="str">
        <f ca="1">'Translation Table'!H217</f>
        <v>Comment</v>
      </c>
      <c r="G34" s="761"/>
      <c r="H34" s="762"/>
      <c r="I34" s="38" t="str">
        <f ca="1">'Translation Table'!H218</f>
        <v>Value (sm^3 CH4/h)</v>
      </c>
      <c r="L34" s="191"/>
      <c r="M34" s="191"/>
      <c r="N34" s="191"/>
      <c r="O34" s="191"/>
      <c r="P34" s="191"/>
      <c r="Q34" s="358" t="str" cm="1">
        <f t="array" aca="1" ref="Q34" ca="1">INDEX(EquipmentSchedules,R34)</f>
        <v>Heat Exchanger: Natural Gas/Hydrocarbon Liquid</v>
      </c>
      <c r="R34" s="358">
        <f t="shared" ca="1" si="1"/>
        <v>399</v>
      </c>
      <c r="T34" s="191"/>
      <c r="U34" s="191"/>
      <c r="V34" s="191"/>
    </row>
    <row r="35" spans="1:23" ht="15" customHeight="1" x14ac:dyDescent="0.35">
      <c r="B35" s="268" t="str">
        <f ca="1">'Translation Table'!H219</f>
        <v>Emissions From Detected Leaks</v>
      </c>
      <c r="C35" s="369"/>
      <c r="D35" s="225"/>
      <c r="E35" s="370"/>
      <c r="F35" s="763"/>
      <c r="G35" s="764"/>
      <c r="H35" s="764"/>
      <c r="I35" s="293">
        <f>IF(ISNUMBER(C35),C35*_xlfn.XLOOKUP(D35,'Lookup Tables'!$B$227:$B$235,'Lookup Tables'!$F$227:$F$235,,0,1)*E3m3_per_d_to_m3_per_h*IF(E35=Natural_Gas,ProcessGas_CH4,IF(E35=Methane,1,ProcessGas_CH4)),0)</f>
        <v>0</v>
      </c>
      <c r="J35" s="323"/>
      <c r="L35" s="358"/>
      <c r="N35" s="358">
        <v>3</v>
      </c>
      <c r="P35" s="191"/>
      <c r="Q35" s="358" t="str" cm="1">
        <f t="array" aca="1" ref="Q35" ca="1">INDEX(EquipmentSchedules,R35)</f>
        <v>Heat Exchanger: Steam/Hydrocarbon Liquid</v>
      </c>
      <c r="R35" s="358">
        <f t="shared" ca="1" si="1"/>
        <v>400</v>
      </c>
      <c r="S35" s="257"/>
      <c r="T35" s="358"/>
      <c r="W35" s="257"/>
    </row>
    <row r="36" spans="1:23" ht="15" customHeight="1" x14ac:dyDescent="0.35">
      <c r="B36" s="237" t="str">
        <f ca="1">'Translation Table'!H220</f>
        <v>Emissions From Compressor Seals</v>
      </c>
      <c r="C36" s="369"/>
      <c r="D36" s="225"/>
      <c r="E36" s="370">
        <f t="array" ref="E36">INDEX(EmittedSubstance,N36)</f>
        <v>0</v>
      </c>
      <c r="F36" s="752"/>
      <c r="G36" s="753"/>
      <c r="H36" s="754"/>
      <c r="I36" s="292">
        <f>IF(ISNUMBER(C36),C36*_xlfn.XLOOKUP(D36,'Lookup Tables'!$B$227:$B$235,'Lookup Tables'!$F$227:$F$235,,0,1)*E3m3_per_d_to_m3_per_h*IF(E36=Natural_Gas,ProcessGas_CH4,IF(E36=Methane,1,ProcessGas_CH4)),0)</f>
        <v>0</v>
      </c>
      <c r="J36" s="323"/>
      <c r="L36" s="358"/>
      <c r="N36" s="358">
        <v>3</v>
      </c>
      <c r="P36" s="191"/>
      <c r="Q36" s="358" t="str" cm="1">
        <f t="array" aca="1" ref="Q36" ca="1">INDEX(EquipmentSchedules,R36)</f>
        <v>Heat Exchanger: Hydrocarbon Liquid/Hydrocarbon Liquid</v>
      </c>
      <c r="R36" s="358">
        <f t="shared" ca="1" si="1"/>
        <v>401</v>
      </c>
      <c r="S36" s="257"/>
      <c r="T36" s="358"/>
      <c r="W36" s="257"/>
    </row>
    <row r="37" spans="1:23" ht="15" customHeight="1" x14ac:dyDescent="0.35">
      <c r="B37" s="268" t="str">
        <f ca="1">'Translation Table'!H221</f>
        <v>Emissions From Pits &amp; Ponds</v>
      </c>
      <c r="C37" s="369"/>
      <c r="D37" s="225"/>
      <c r="E37" s="370">
        <f t="array" ref="E37">INDEX(EmittedSubstance,N37)</f>
        <v>0</v>
      </c>
      <c r="F37" s="763"/>
      <c r="G37" s="764"/>
      <c r="H37" s="764"/>
      <c r="I37" s="293">
        <f>IF(ISNUMBER(C37),C37*_xlfn.XLOOKUP(D37,'Lookup Tables'!$B$227:$B$235,'Lookup Tables'!$F$227:$F$235,,0,1)*E3m3_per_d_to_m3_per_h*IF(E37=Natural_Gas,Vapor_CH4,IF(E37=Methane,1,Vapor_CH4)),0)</f>
        <v>0</v>
      </c>
      <c r="L37" s="358"/>
      <c r="N37" s="358">
        <v>3</v>
      </c>
      <c r="P37" s="191"/>
      <c r="Q37" s="358" t="str" cm="1">
        <f t="array" aca="1" ref="Q37" ca="1">INDEX(EquipmentSchedules,R37)</f>
        <v>Heater/Boiler/Reboiler: Generic (Burner Assemblies: 1)</v>
      </c>
      <c r="R37" s="358">
        <f t="shared" ca="1" si="1"/>
        <v>402</v>
      </c>
      <c r="S37" s="257"/>
      <c r="T37" s="358"/>
      <c r="W37" s="257"/>
    </row>
    <row r="38" spans="1:23" ht="15" customHeight="1" x14ac:dyDescent="0.35">
      <c r="B38" s="237" t="str">
        <f ca="1">'Translation Table'!H222</f>
        <v>Emissions From Associated Well Sites</v>
      </c>
      <c r="C38" s="369"/>
      <c r="D38" s="225"/>
      <c r="E38" s="370">
        <f t="array" ref="E38">INDEX(EmittedSubstance,N38)</f>
        <v>0</v>
      </c>
      <c r="F38" s="763"/>
      <c r="G38" s="764"/>
      <c r="H38" s="764"/>
      <c r="I38" s="292">
        <f>IF(ISNUMBER(C38),C38*_xlfn.XLOOKUP(D38,'Lookup Tables'!$B$227:$B$235,'Lookup Tables'!$F$227:$F$235,,0,1)*E3m3_per_d_to_m3_per_h*IF(E38=Natural_Gas,ProcessGas_CH4,IF(E38=Methane,1,ProcessGas_CH4)),0)</f>
        <v>0</v>
      </c>
      <c r="L38" s="358"/>
      <c r="N38" s="358">
        <v>3</v>
      </c>
      <c r="P38" s="191"/>
      <c r="Q38" s="358" t="str" cm="1">
        <f t="array" aca="1" ref="Q38" ca="1">INDEX(EquipmentSchedules,R38)</f>
        <v>Heater/Boiler/Reboiler: Generic (Burner Assemblies: 2)</v>
      </c>
      <c r="R38" s="358">
        <f t="shared" ca="1" si="1"/>
        <v>403</v>
      </c>
      <c r="S38" s="257"/>
      <c r="T38" s="358"/>
      <c r="W38" s="257"/>
    </row>
    <row r="39" spans="1:23" ht="15" customHeight="1" x14ac:dyDescent="0.35">
      <c r="B39" s="268" t="str">
        <f ca="1">'Translation Table'!H223</f>
        <v>Emissions From Other Associated Offsite Installations</v>
      </c>
      <c r="C39" s="369"/>
      <c r="D39" s="225"/>
      <c r="E39" s="370">
        <f t="array" ref="E39">INDEX(EmittedSubstance,N39)</f>
        <v>0</v>
      </c>
      <c r="F39" s="763"/>
      <c r="G39" s="764"/>
      <c r="H39" s="764"/>
      <c r="I39" s="293">
        <f>IF(ISNUMBER(C39),C39*_xlfn.XLOOKUP(D39,'Lookup Tables'!$B$227:$B$235,'Lookup Tables'!$F$227:$F$235,,0,1)*E3m3_per_d_to_m3_per_h*IF(E39=Natural_Gas,ProcessGas_CH4,IF(E39=Methane,1,ProcessGas_CH4)),0)</f>
        <v>0</v>
      </c>
      <c r="L39" s="358"/>
      <c r="N39" s="358">
        <v>3</v>
      </c>
      <c r="P39" s="191"/>
      <c r="Q39" s="358" t="str" cm="1">
        <f t="array" aca="1" ref="Q39" ca="1">INDEX(EquipmentSchedules,R39)</f>
        <v>Heater/Boiler/Reboiler: Generic (Burner Assemblies: 3)</v>
      </c>
      <c r="R39" s="358">
        <f t="shared" ca="1" si="1"/>
        <v>404</v>
      </c>
      <c r="S39" s="257"/>
      <c r="T39" s="358"/>
      <c r="W39" s="257"/>
    </row>
    <row r="40" spans="1:23" ht="15" customHeight="1" x14ac:dyDescent="0.35">
      <c r="B40" s="237" t="str">
        <f ca="1">'Translation Table'!H224</f>
        <v>Venting by Glycol Dehydrators</v>
      </c>
      <c r="C40" s="369"/>
      <c r="D40" s="225"/>
      <c r="E40" s="370">
        <f t="array" ref="E40">INDEX(EmittedSubstance,N40)</f>
        <v>0</v>
      </c>
      <c r="F40" s="771"/>
      <c r="G40" s="764"/>
      <c r="H40" s="764"/>
      <c r="I40" s="292">
        <f>IF(ISNUMBER(C40),C40*_xlfn.XLOOKUP(D40,'Lookup Tables'!$B$227:$B$235,'Lookup Tables'!$F$227:$F$235,,0,1)*E3m3_per_d_to_m3_per_h*IF(E40=Natural_Gas,VentGas_CH4,IF(E40=Methane,1,VentGas_CH4)),0)</f>
        <v>0</v>
      </c>
      <c r="L40" s="358"/>
      <c r="N40" s="358">
        <v>3</v>
      </c>
      <c r="P40" s="191"/>
      <c r="Q40" s="358" t="str" cm="1">
        <f t="array" aca="1" ref="Q40" ca="1">INDEX(EquipmentSchedules,R40)</f>
        <v>Heater/Boiler/Reboiler: Line (Burner Assemblies: 1)</v>
      </c>
      <c r="R40" s="358">
        <f t="shared" ca="1" si="1"/>
        <v>405</v>
      </c>
      <c r="S40" s="257"/>
      <c r="T40" s="358"/>
      <c r="W40" s="257"/>
    </row>
    <row r="41" spans="1:23" ht="15" customHeight="1" x14ac:dyDescent="0.35">
      <c r="B41" s="268" t="str">
        <f ca="1">'Translation Table'!H225</f>
        <v>Venting by Gas Sweetening Units</v>
      </c>
      <c r="C41" s="369"/>
      <c r="D41" s="225"/>
      <c r="E41" s="370"/>
      <c r="F41" s="771"/>
      <c r="G41" s="764"/>
      <c r="H41" s="764"/>
      <c r="I41" s="293">
        <f>IF(ISNUMBER(C41),C41*_xlfn.XLOOKUP(D41,'Lookup Tables'!$B$227:$B$235,'Lookup Tables'!$F$227:$F$235,,0,1)*E3m3_per_d_to_m3_per_h*IF(E41=Natural_Gas,VentedAcidGas_CH4,IF(E41=Methane,1,VentedAcidGas_CH4)),0)</f>
        <v>0</v>
      </c>
      <c r="L41" s="358"/>
      <c r="N41" s="358">
        <v>3</v>
      </c>
      <c r="P41" s="191"/>
      <c r="Q41" s="358" t="str" cm="1">
        <f t="array" aca="1" ref="Q41" ca="1">INDEX(EquipmentSchedules,R41)</f>
        <v>Heater/Boiler/Reboiler: Line (Burner Assemblies: 2)</v>
      </c>
      <c r="R41" s="358">
        <f t="shared" ca="1" si="1"/>
        <v>406</v>
      </c>
      <c r="S41" s="257"/>
      <c r="T41" s="358"/>
      <c r="W41" s="257"/>
    </row>
    <row r="42" spans="1:23" ht="15" customHeight="1" x14ac:dyDescent="0.35">
      <c r="B42" s="237" t="str">
        <f ca="1">'Translation Table'!H226</f>
        <v>Venting by Pneumatic Controllers</v>
      </c>
      <c r="C42" s="369"/>
      <c r="D42" s="225"/>
      <c r="E42" s="370">
        <f t="array" ref="E42">INDEX(EmittedSubstance,N42)</f>
        <v>0</v>
      </c>
      <c r="F42" s="763"/>
      <c r="G42" s="764"/>
      <c r="H42" s="764"/>
      <c r="I42" s="292">
        <f>IF(ISNUMBER(C42),C42*_xlfn.XLOOKUP(D42,'Lookup Tables'!$B$227:$B$235,'Lookup Tables'!$F$227:$F$235,,0,1)*E3m3_per_d_to_m3_per_h*IF(E42=Natural_Gas,InstrumentNG_CH4,IF(E42=Methane,1,InstrumentNG_CH4)),0)</f>
        <v>0</v>
      </c>
      <c r="L42" s="358"/>
      <c r="N42" s="358">
        <v>3</v>
      </c>
      <c r="P42" s="191"/>
      <c r="Q42" s="358" t="str" cm="1">
        <f t="array" aca="1" ref="Q42" ca="1">INDEX(EquipmentSchedules,R42)</f>
        <v>Heater/Boiler/Reboiler: Line (Burner Assemblies: 3)</v>
      </c>
      <c r="R42" s="358">
        <f t="shared" ca="1" si="1"/>
        <v>407</v>
      </c>
      <c r="S42" s="257"/>
      <c r="T42" s="358"/>
      <c r="W42" s="257"/>
    </row>
    <row r="43" spans="1:23" ht="15" customHeight="1" x14ac:dyDescent="0.35">
      <c r="B43" s="268" t="str">
        <f ca="1">'Translation Table'!H227</f>
        <v>Venting by Pneumatic Chemical Injection Pumps</v>
      </c>
      <c r="C43" s="369"/>
      <c r="D43" s="225"/>
      <c r="E43" s="370">
        <f t="array" ref="E43">INDEX(EmittedSubstance,N43)</f>
        <v>0</v>
      </c>
      <c r="F43" s="763"/>
      <c r="G43" s="764"/>
      <c r="H43" s="764"/>
      <c r="I43" s="293">
        <f>IF(ISNUMBER(C43),C43*_xlfn.XLOOKUP(D43,'Lookup Tables'!$B$227:$B$235,'Lookup Tables'!$F$227:$F$235,,0,1)*E3m3_per_d_to_m3_per_h*IF(E43=Natural_Gas,InstrumentNG_CH4,IF(E43=Methane,1,InstrumentNG_CH4)),0)</f>
        <v>0</v>
      </c>
      <c r="L43" s="358"/>
      <c r="N43" s="358">
        <v>3</v>
      </c>
      <c r="P43" s="191"/>
      <c r="Q43" s="358" t="str" cm="1">
        <f t="array" aca="1" ref="Q43" ca="1">INDEX(EquipmentSchedules,R43)</f>
        <v>Heater/Boiler/Reboiler: Treater (Burner Assemblies: 1)</v>
      </c>
      <c r="R43" s="358">
        <f t="shared" ca="1" si="1"/>
        <v>408</v>
      </c>
      <c r="S43" s="257"/>
      <c r="T43" s="358"/>
      <c r="W43" s="257"/>
    </row>
    <row r="44" spans="1:23" ht="15" customHeight="1" x14ac:dyDescent="0.35">
      <c r="B44" s="237" t="str">
        <f ca="1">'Translation Table'!H228</f>
        <v>Venting by Other Sources</v>
      </c>
      <c r="C44" s="369"/>
      <c r="D44" s="225"/>
      <c r="E44" s="370">
        <f t="array" ref="E44">INDEX(EmittedSubstance,N44)</f>
        <v>0</v>
      </c>
      <c r="F44" s="763"/>
      <c r="G44" s="764"/>
      <c r="H44" s="764"/>
      <c r="I44" s="292">
        <f>IF(ISNUMBER(C44),C44*_xlfn.XLOOKUP(D44,'Lookup Tables'!$B$227:$B$235,'Lookup Tables'!$F$227:$F$235,,0,1)*E3m3_per_d_to_m3_per_h*IF(E44=Natural_Gas,ProcessGas_CH4,IF(E44=Methane,1,ProcessGas_CH4)),0)</f>
        <v>0</v>
      </c>
      <c r="L44" s="358"/>
      <c r="N44" s="358">
        <v>3</v>
      </c>
      <c r="P44" s="191"/>
      <c r="Q44" s="358" t="str" cm="1">
        <f t="array" aca="1" ref="Q44" ca="1">INDEX(EquipmentSchedules,R44)</f>
        <v>Heater/Boiler/Reboiler: Treater (Burner Assemblies: 2)</v>
      </c>
      <c r="R44" s="358">
        <f t="shared" ca="1" si="1"/>
        <v>409</v>
      </c>
      <c r="S44" s="257"/>
      <c r="T44" s="358"/>
      <c r="W44" s="257"/>
    </row>
    <row r="45" spans="1:23" ht="15" customHeight="1" x14ac:dyDescent="0.35">
      <c r="B45" s="536" t="str">
        <f ca="1">'Translation Table'!H229</f>
        <v>Non-Flashing Losses from Storage Tanks</v>
      </c>
      <c r="C45" s="369"/>
      <c r="D45" s="225"/>
      <c r="E45" s="370">
        <f t="array" ref="E45">INDEX(EmittedSubstance,N45)</f>
        <v>0</v>
      </c>
      <c r="F45" s="763"/>
      <c r="G45" s="764"/>
      <c r="H45" s="764"/>
      <c r="I45" s="293">
        <f>IF(ISNUMBER(C45),C45*_xlfn.XLOOKUP(D45,'Lookup Tables'!$B$227:$B$235,'Lookup Tables'!$F$227:$F$235,,0,1)*E3m3_per_d_to_m3_per_h*IF(E45=Natural_Gas,Vapor_CH4,IF(E45=Methane,1,Vapor_CH4)),0)</f>
        <v>0</v>
      </c>
      <c r="L45" s="358"/>
      <c r="N45" s="358">
        <v>3</v>
      </c>
      <c r="P45" s="191"/>
      <c r="Q45" s="358" t="str" cm="1">
        <f t="array" aca="1" ref="Q45" ca="1">INDEX(EquipmentSchedules,R45)</f>
        <v>Heater/Boiler/Reboiler: Treater (Burner Assemblies: 3)</v>
      </c>
      <c r="R45" s="358">
        <f t="shared" ca="1" si="1"/>
        <v>410</v>
      </c>
      <c r="S45" s="257"/>
      <c r="T45" s="358"/>
      <c r="W45" s="257"/>
    </row>
    <row r="46" spans="1:23" ht="15" customHeight="1" x14ac:dyDescent="0.35">
      <c r="B46" s="237" t="str">
        <f ca="1">'Translation Table'!H230</f>
        <v>Casinghead Venting</v>
      </c>
      <c r="C46" s="369"/>
      <c r="D46" s="225"/>
      <c r="E46" s="370">
        <f t="array" ref="E46">INDEX(EmittedSubstance,N46)</f>
        <v>0</v>
      </c>
      <c r="F46" s="763"/>
      <c r="G46" s="764"/>
      <c r="H46" s="764"/>
      <c r="I46" s="292">
        <f>IF(ISNUMBER(C46),C46*_xlfn.XLOOKUP(D46,'Lookup Tables'!$B$227:$B$235,'Lookup Tables'!$F$227:$F$235,,0,1)*E3m3_per_d_to_m3_per_h*IF(E46=Natural_Gas,CasingGas_CH4,IF(E46=Methane,1,CasingGas_CH4)),0)</f>
        <v>0</v>
      </c>
      <c r="L46" s="358"/>
      <c r="N46" s="358">
        <v>3</v>
      </c>
      <c r="P46" s="191"/>
      <c r="Q46" s="358" t="str" cm="1">
        <f t="array" aca="1" ref="Q46" ca="1">INDEX(EquipmentSchedules,R46)</f>
        <v>Hydrocarbon Dewpoint Control: Joule-Thomson Unit (Excluding Compressor)</v>
      </c>
      <c r="R46" s="358">
        <f t="shared" ca="1" si="1"/>
        <v>411</v>
      </c>
      <c r="S46" s="257"/>
      <c r="T46" s="358"/>
      <c r="W46" s="257"/>
    </row>
    <row r="47" spans="1:23" x14ac:dyDescent="0.35">
      <c r="Q47" s="358" t="str" cm="1">
        <f t="array" aca="1" ref="Q47" ca="1">INDEX(EquipmentSchedules,R47)</f>
        <v>Hydrocarbon Dewpoint Control: Propane Refrigeration</v>
      </c>
      <c r="R47" s="358">
        <f t="shared" ca="1" si="1"/>
        <v>412</v>
      </c>
    </row>
    <row r="48" spans="1:23" ht="22.5" x14ac:dyDescent="0.35">
      <c r="B48" s="249" t="str">
        <f ca="1">'Translation Table'!H232</f>
        <v>Processes Used at the Facility</v>
      </c>
      <c r="Q48" s="358" t="str" cm="1">
        <f t="array" aca="1" ref="Q48" ca="1">INDEX(EquipmentSchedules,R48)</f>
        <v>Inlet Header : Heavy Oil Battery</v>
      </c>
      <c r="R48" s="358">
        <f t="shared" ca="1" si="1"/>
        <v>413</v>
      </c>
    </row>
    <row r="49" spans="1:23" s="139" customFormat="1" ht="16.5" customHeight="1" x14ac:dyDescent="0.35">
      <c r="A49" s="191"/>
      <c r="B49" s="750" t="str">
        <f ca="1">'Translation Table'!H233</f>
        <v>Unit No.</v>
      </c>
      <c r="C49" s="767" t="str">
        <f ca="1">'Translation Table'!H234</f>
        <v>Process Type</v>
      </c>
      <c r="D49" s="768"/>
      <c r="E49" s="750" t="str">
        <f ca="1">'Translation Table'!H235</f>
        <v>Quantity</v>
      </c>
      <c r="F49" s="765" t="str">
        <f ca="1">'Translation Table'!H236</f>
        <v>Pneumatic Devices</v>
      </c>
      <c r="G49" s="766"/>
      <c r="H49" s="755" t="str">
        <f ca="1">'Translation Table'!H237</f>
        <v>Operating Time (Percentage)</v>
      </c>
      <c r="I49" s="756"/>
      <c r="J49" s="757"/>
      <c r="K49" s="750" t="str">
        <f ca="1">'Translation Table'!H238</f>
        <v>Error Messages</v>
      </c>
      <c r="M49" s="191"/>
      <c r="N49" s="191"/>
      <c r="O49" s="191"/>
      <c r="P49" s="191"/>
      <c r="Q49" s="358" t="str" cm="1">
        <f t="array" aca="1" ref="Q49" ca="1">INDEX(EquipmentSchedules,R49)</f>
        <v>Inlet Header: Conventional Oil Battery</v>
      </c>
      <c r="R49" s="358">
        <f t="shared" ca="1" si="1"/>
        <v>414</v>
      </c>
      <c r="S49" s="191"/>
      <c r="U49" s="191"/>
      <c r="V49" s="191"/>
      <c r="W49" s="191"/>
    </row>
    <row r="50" spans="1:23" s="139" customFormat="1" ht="16.5" customHeight="1" x14ac:dyDescent="0.35">
      <c r="A50" s="191"/>
      <c r="B50" s="751"/>
      <c r="C50" s="769"/>
      <c r="D50" s="770"/>
      <c r="E50" s="751"/>
      <c r="F50" s="192" t="str">
        <f ca="1">'Translation Table'!H239</f>
        <v>Supply Gas</v>
      </c>
      <c r="G50" s="192" t="str">
        <f ca="1">'Translation Table'!H240</f>
        <v>Type of Controllers</v>
      </c>
      <c r="H50" s="164" t="str">
        <f ca="1">'Translation Table'!H241</f>
        <v>Operating</v>
      </c>
      <c r="I50" s="164" t="str">
        <f ca="1">'Translation Table'!H242</f>
        <v>Standby &amp; Pressurized</v>
      </c>
      <c r="J50" s="38" t="str">
        <f ca="1">'Translation Table'!H243</f>
        <v xml:space="preserve">Depressurized </v>
      </c>
      <c r="K50" s="751"/>
      <c r="M50" s="191"/>
      <c r="N50" s="191"/>
      <c r="O50" s="191"/>
      <c r="P50" s="191"/>
      <c r="Q50" s="358" t="str" cm="1">
        <f t="array" aca="1" ref="Q50" ca="1">INDEX(EquipmentSchedules,R50)</f>
        <v>Inlet/Outlet Header: Gas Facilities (Fittings Per Pipeline)</v>
      </c>
      <c r="R50" s="358">
        <f t="shared" ca="1" si="1"/>
        <v>415</v>
      </c>
      <c r="S50" s="191"/>
      <c r="U50" s="191"/>
      <c r="V50" s="191"/>
      <c r="W50" s="191"/>
    </row>
    <row r="51" spans="1:23" ht="15" customHeight="1" x14ac:dyDescent="0.35">
      <c r="A51" s="358" cm="1">
        <f t="array" aca="1" ref="A51" ca="1">_xlfn.SINGLE(IF(N51&gt;(COUNTA(PTSource)-COUNTIF(PTSource,0)+1),COUNTA(PTSource)-COUNTIF(PTSource,0)+1,N51))</f>
        <v>1</v>
      </c>
      <c r="B51" s="372">
        <v>1</v>
      </c>
      <c r="C51" s="269" cm="1">
        <f t="array" aca="1" ref="C51" ca="1">INDEX(PTSource,A51)</f>
        <v>0</v>
      </c>
      <c r="D51" s="270"/>
      <c r="E51" s="371"/>
      <c r="F51" s="360"/>
      <c r="G51" s="360" cm="1">
        <f t="array" ref="G51">INDEX(ValidControllerTypes,P51)</f>
        <v>0</v>
      </c>
      <c r="H51" s="373"/>
      <c r="I51" s="373"/>
      <c r="J51" s="374" t="str">
        <f>IF(ISBLANK(H51),"",1-SUM(H51:I51))</f>
        <v/>
      </c>
      <c r="K51" s="271" t="str">
        <f ca="1">IF('Calculations - Fugitives'!G$58,LOOKUP("Err04",TblErrorMsg),"")</f>
        <v/>
      </c>
      <c r="N51" s="358">
        <v>1</v>
      </c>
      <c r="O51" s="358">
        <v>1</v>
      </c>
      <c r="P51" s="358">
        <v>1</v>
      </c>
      <c r="Q51" s="358" t="str" cm="1">
        <f t="array" aca="1" ref="Q51" ca="1">INDEX(EquipmentSchedules,R51)</f>
        <v>Inlet/Outlet Header: Oil Facilities (Fittings Per Pipeline)</v>
      </c>
      <c r="R51" s="358">
        <f t="shared" ca="1" si="1"/>
        <v>416</v>
      </c>
    </row>
    <row r="52" spans="1:23" ht="15" customHeight="1" x14ac:dyDescent="0.35">
      <c r="A52" s="358" cm="1">
        <f t="array" aca="1" ref="A52" ca="1">_xlfn.SINGLE(IF(N52&gt;(COUNTA(PTSource)-COUNTIF(PTSource,0)+1),COUNTA(PTSource)-COUNTIF(PTSource,0)+1,N52))</f>
        <v>1</v>
      </c>
      <c r="B52" s="300">
        <v>2</v>
      </c>
      <c r="C52" s="269" cm="1">
        <f t="array" aca="1" ref="C52" ca="1">INDEX(PTSource,A52)</f>
        <v>0</v>
      </c>
      <c r="D52" s="270"/>
      <c r="E52" s="371"/>
      <c r="F52" s="360" cm="1">
        <f t="array" ref="F52">INDEX(ValidPneumaticSupplyGas,O52)</f>
        <v>0</v>
      </c>
      <c r="G52" s="360" cm="1">
        <f t="array" ref="G52">INDEX(ValidControllerTypes,P52)</f>
        <v>0</v>
      </c>
      <c r="H52" s="375"/>
      <c r="I52" s="375"/>
      <c r="J52" s="301" t="str">
        <f t="shared" ref="J52:J70" si="3">IF(ISBLANK(H52),"",1-SUM(H52:I52))</f>
        <v/>
      </c>
      <c r="K52" s="272" t="str">
        <f ca="1">IF('Calculations - Fugitives'!I$58,LOOKUP("Err04",TblErrorMsg),"")</f>
        <v/>
      </c>
      <c r="N52" s="358">
        <v>1</v>
      </c>
      <c r="O52" s="358">
        <v>1</v>
      </c>
      <c r="P52" s="358">
        <v>1</v>
      </c>
      <c r="Q52" s="358" t="str" cm="1">
        <f t="array" aca="1" ref="Q52" ca="1">INDEX(EquipmentSchedules,R52)</f>
        <v>LPG Extraction: Deepcut (C2 to C4)</v>
      </c>
      <c r="R52" s="358">
        <f t="shared" ca="1" si="1"/>
        <v>417</v>
      </c>
    </row>
    <row r="53" spans="1:23" ht="15" customHeight="1" x14ac:dyDescent="0.35">
      <c r="A53" s="358" cm="1">
        <f t="array" aca="1" ref="A53" ca="1">_xlfn.SINGLE(IF(N53&gt;(COUNTA(PTSource)-COUNTIF(PTSource,0)+1),COUNTA(PTSource)-COUNTIF(PTSource,0)+1,N53))</f>
        <v>1</v>
      </c>
      <c r="B53" s="372">
        <v>3</v>
      </c>
      <c r="C53" s="269" cm="1">
        <f t="array" aca="1" ref="C53" ca="1">INDEX(PTSource,A53)</f>
        <v>0</v>
      </c>
      <c r="D53" s="270"/>
      <c r="E53" s="371"/>
      <c r="F53" s="360" cm="1">
        <f t="array" ref="F53">INDEX(ValidPneumaticSupplyGas,O53)</f>
        <v>0</v>
      </c>
      <c r="G53" s="360" cm="1">
        <f t="array" ref="G53">INDEX(ValidControllerTypes,P53)</f>
        <v>0</v>
      </c>
      <c r="H53" s="373"/>
      <c r="I53" s="373"/>
      <c r="J53" s="374" t="str">
        <f t="shared" si="3"/>
        <v/>
      </c>
      <c r="K53" s="271" t="str">
        <f ca="1">IF('Calculations - Fugitives'!K$58,LOOKUP("Err04",TblErrorMsg),"")</f>
        <v/>
      </c>
      <c r="N53" s="358">
        <v>1</v>
      </c>
      <c r="O53" s="358">
        <v>1</v>
      </c>
      <c r="P53" s="358">
        <v>1</v>
      </c>
      <c r="Q53" s="358" t="str" cm="1">
        <f t="array" aca="1" ref="Q53" ca="1">INDEX(EquipmentSchedules,R53)</f>
        <v>LPG Extraction: Shallow Cut (C3 to C4)</v>
      </c>
      <c r="R53" s="358">
        <f t="shared" ca="1" si="1"/>
        <v>418</v>
      </c>
    </row>
    <row r="54" spans="1:23" ht="15" customHeight="1" x14ac:dyDescent="0.35">
      <c r="A54" s="358" cm="1">
        <f t="array" aca="1" ref="A54" ca="1">_xlfn.SINGLE(IF(N54&gt;(COUNTA(PTSource)-COUNTIF(PTSource,0)+1),COUNTA(PTSource)-COUNTIF(PTSource,0)+1,N54))</f>
        <v>1</v>
      </c>
      <c r="B54" s="300">
        <v>4</v>
      </c>
      <c r="C54" s="269" cm="1">
        <f t="array" aca="1" ref="C54" ca="1">INDEX(PTSource,A54)</f>
        <v>0</v>
      </c>
      <c r="D54" s="270"/>
      <c r="E54" s="371"/>
      <c r="F54" s="360" cm="1">
        <f t="array" ref="F54">INDEX(ValidPneumaticSupplyGas,O54)</f>
        <v>0</v>
      </c>
      <c r="G54" s="360" cm="1">
        <f t="array" ref="G54">INDEX(ValidControllerTypes,P54)</f>
        <v>0</v>
      </c>
      <c r="H54" s="375"/>
      <c r="I54" s="375"/>
      <c r="J54" s="301" t="str">
        <f t="shared" si="3"/>
        <v/>
      </c>
      <c r="K54" s="272" t="str">
        <f ca="1">IF('Calculations - Fugitives'!M$58,LOOKUP("Err04",TblErrorMsg),"")</f>
        <v/>
      </c>
      <c r="N54" s="358">
        <v>1</v>
      </c>
      <c r="O54" s="358">
        <v>1</v>
      </c>
      <c r="P54" s="358">
        <v>1</v>
      </c>
      <c r="Q54" s="358" t="str" cm="1">
        <f t="array" aca="1" ref="Q54" ca="1">INDEX(EquipmentSchedules,R54)</f>
        <v>NGL – Natural Gas Liquefaction</v>
      </c>
      <c r="R54" s="358">
        <f t="shared" ca="1" si="1"/>
        <v>419</v>
      </c>
    </row>
    <row r="55" spans="1:23" ht="15" customHeight="1" x14ac:dyDescent="0.35">
      <c r="A55" s="358" cm="1">
        <f t="array" aca="1" ref="A55" ca="1">_xlfn.SINGLE(IF(N55&gt;(COUNTA(PTSource)-COUNTIF(PTSource,0)+1),COUNTA(PTSource)-COUNTIF(PTSource,0)+1,N55))</f>
        <v>1</v>
      </c>
      <c r="B55" s="372">
        <v>5</v>
      </c>
      <c r="C55" s="269" cm="1">
        <f t="array" aca="1" ref="C55" ca="1">INDEX(PTSource,A55)</f>
        <v>0</v>
      </c>
      <c r="D55" s="270"/>
      <c r="E55" s="371"/>
      <c r="F55" s="360" cm="1">
        <f t="array" ref="F55">INDEX(ValidPneumaticSupplyGas,O55)</f>
        <v>0</v>
      </c>
      <c r="G55" s="360" cm="1">
        <f t="array" ref="G55">INDEX(ValidControllerTypes,P55)</f>
        <v>0</v>
      </c>
      <c r="H55" s="373"/>
      <c r="I55" s="373"/>
      <c r="J55" s="374" t="str">
        <f t="shared" si="3"/>
        <v/>
      </c>
      <c r="K55" s="271" t="str">
        <f ca="1">IF('Calculations - Fugitives'!O$58,LOOKUP("Err04",TblErrorMsg),"")</f>
        <v/>
      </c>
      <c r="N55" s="358">
        <v>1</v>
      </c>
      <c r="O55" s="358">
        <v>1</v>
      </c>
      <c r="P55" s="358">
        <v>1</v>
      </c>
      <c r="Q55" s="358" t="str" cm="1">
        <f t="array" aca="1" ref="Q55" ca="1">INDEX(EquipmentSchedules,R55)</f>
        <v>PIG Receiver or Sender</v>
      </c>
      <c r="R55" s="358">
        <f t="shared" ca="1" si="1"/>
        <v>420</v>
      </c>
    </row>
    <row r="56" spans="1:23" ht="15" customHeight="1" x14ac:dyDescent="0.35">
      <c r="A56" s="358" cm="1">
        <f t="array" aca="1" ref="A56" ca="1">_xlfn.SINGLE(IF(N56&gt;(COUNTA(PTSource)-COUNTIF(PTSource,0)+1),COUNTA(PTSource)-COUNTIF(PTSource,0)+1,N56))</f>
        <v>1</v>
      </c>
      <c r="B56" s="300">
        <v>6</v>
      </c>
      <c r="C56" s="269" cm="1">
        <f t="array" aca="1" ref="C56" ca="1">INDEX(PTSource,A56)</f>
        <v>0</v>
      </c>
      <c r="D56" s="270"/>
      <c r="E56" s="371"/>
      <c r="F56" s="360" cm="1">
        <f t="array" ref="F56">INDEX(ValidPneumaticSupplyGas,O56)</f>
        <v>0</v>
      </c>
      <c r="G56" s="360" cm="1">
        <f t="array" ref="G56">INDEX(ValidControllerTypes,P56)</f>
        <v>0</v>
      </c>
      <c r="H56" s="375"/>
      <c r="I56" s="375"/>
      <c r="J56" s="301" t="str">
        <f t="shared" si="3"/>
        <v/>
      </c>
      <c r="K56" s="272" t="str">
        <f ca="1">IF('Calculations - Fugitives'!Q$58,LOOKUP("Err04",TblErrorMsg),"")</f>
        <v/>
      </c>
      <c r="N56" s="358">
        <v>1</v>
      </c>
      <c r="O56" s="358">
        <v>1</v>
      </c>
      <c r="P56" s="358">
        <v>1</v>
      </c>
      <c r="Q56" s="358" t="str" cm="1">
        <f t="array" aca="1" ref="Q56" ca="1">INDEX(EquipmentSchedules,R56)</f>
        <v>Power Generator: Natural Gas Fuelled (Driver: Gas Turbine)</v>
      </c>
      <c r="R56" s="358">
        <f t="shared" ca="1" si="1"/>
        <v>421</v>
      </c>
    </row>
    <row r="57" spans="1:23" ht="15" customHeight="1" x14ac:dyDescent="0.35">
      <c r="A57" s="358" cm="1">
        <f t="array" aca="1" ref="A57" ca="1">_xlfn.SINGLE(IF(N57&gt;(COUNTA(PTSource)-COUNTIF(PTSource,0)+1),COUNTA(PTSource)-COUNTIF(PTSource,0)+1,N57))</f>
        <v>1</v>
      </c>
      <c r="B57" s="372">
        <v>7</v>
      </c>
      <c r="C57" s="269" cm="1">
        <f t="array" aca="1" ref="C57" ca="1">INDEX(PTSource,A57)</f>
        <v>0</v>
      </c>
      <c r="D57" s="270"/>
      <c r="E57" s="371"/>
      <c r="F57" s="360" cm="1">
        <f t="array" ref="F57">INDEX(ValidPneumaticSupplyGas,O57)</f>
        <v>0</v>
      </c>
      <c r="G57" s="360" cm="1">
        <f t="array" ref="G57">INDEX(ValidControllerTypes,P57)</f>
        <v>0</v>
      </c>
      <c r="H57" s="373"/>
      <c r="I57" s="373"/>
      <c r="J57" s="374" t="str">
        <f t="shared" si="3"/>
        <v/>
      </c>
      <c r="K57" s="271" t="str">
        <f ca="1">IF('Calculations - Fugitives'!S$58,LOOKUP("Err04",TblErrorMsg),"")</f>
        <v/>
      </c>
      <c r="N57" s="358">
        <v>1</v>
      </c>
      <c r="O57" s="358">
        <v>1</v>
      </c>
      <c r="P57" s="358">
        <v>1</v>
      </c>
      <c r="Q57" s="358" t="str" cm="1">
        <f t="array" aca="1" ref="Q57" ca="1">INDEX(EquipmentSchedules,R57)</f>
        <v>Power Generator: Natural Gas Fuelled (Driver: Recip. Engine)</v>
      </c>
      <c r="R57" s="358">
        <f t="shared" ca="1" si="1"/>
        <v>422</v>
      </c>
    </row>
    <row r="58" spans="1:23" ht="15" customHeight="1" x14ac:dyDescent="0.35">
      <c r="A58" s="358" cm="1">
        <f t="array" aca="1" ref="A58" ca="1">_xlfn.SINGLE(IF(N58&gt;(COUNTA(PTSource)-COUNTIF(PTSource,0)+1),COUNTA(PTSource)-COUNTIF(PTSource,0)+1,N58))</f>
        <v>1</v>
      </c>
      <c r="B58" s="300">
        <v>8</v>
      </c>
      <c r="C58" s="269" cm="1">
        <f t="array" aca="1" ref="C58" ca="1">INDEX(PTSource,A58)</f>
        <v>0</v>
      </c>
      <c r="D58" s="270"/>
      <c r="E58" s="371"/>
      <c r="F58" s="360" cm="1">
        <f t="array" ref="F58">INDEX(ValidPneumaticSupplyGas,O58)</f>
        <v>0</v>
      </c>
      <c r="G58" s="360" cm="1">
        <f t="array" ref="G58">INDEX(ValidControllerTypes,P58)</f>
        <v>0</v>
      </c>
      <c r="H58" s="375"/>
      <c r="I58" s="375"/>
      <c r="J58" s="301" t="str">
        <f t="shared" si="3"/>
        <v/>
      </c>
      <c r="K58" s="272" t="str">
        <f ca="1">IF('Calculations - Fugitives'!U$58,LOOKUP("Err04",TblErrorMsg),"")</f>
        <v/>
      </c>
      <c r="N58" s="358">
        <v>1</v>
      </c>
      <c r="O58" s="358">
        <v>1</v>
      </c>
      <c r="P58" s="358">
        <v>1</v>
      </c>
      <c r="Q58" s="358" t="str" cm="1">
        <f t="array" aca="1" ref="Q58" ca="1">INDEX(EquipmentSchedules,R58)</f>
        <v>Pump: Hydrocarbon Service (Driver: Motor)</v>
      </c>
      <c r="R58" s="358">
        <f t="shared" ca="1" si="1"/>
        <v>423</v>
      </c>
    </row>
    <row r="59" spans="1:23" ht="15" customHeight="1" x14ac:dyDescent="0.35">
      <c r="A59" s="358" cm="1">
        <f t="array" aca="1" ref="A59" ca="1">_xlfn.SINGLE(IF(N59&gt;(COUNTA(PTSource)-COUNTIF(PTSource,0)+1),COUNTA(PTSource)-COUNTIF(PTSource,0)+1,N59))</f>
        <v>1</v>
      </c>
      <c r="B59" s="372">
        <v>9</v>
      </c>
      <c r="C59" s="269" cm="1">
        <f t="array" aca="1" ref="C59" ca="1">INDEX(PTSource,A59)</f>
        <v>0</v>
      </c>
      <c r="D59" s="270"/>
      <c r="E59" s="371"/>
      <c r="F59" s="360" cm="1">
        <f t="array" ref="F59">INDEX(ValidPneumaticSupplyGas,O59)</f>
        <v>0</v>
      </c>
      <c r="G59" s="360" cm="1">
        <f t="array" ref="G59">INDEX(ValidControllerTypes,P59)</f>
        <v>0</v>
      </c>
      <c r="H59" s="373"/>
      <c r="I59" s="373"/>
      <c r="J59" s="374" t="str">
        <f t="shared" si="3"/>
        <v/>
      </c>
      <c r="K59" s="271" t="str">
        <f ca="1">IF('Calculations - Fugitives'!W$58,LOOKUP("Err04",TblErrorMsg),"")</f>
        <v/>
      </c>
      <c r="N59" s="358">
        <v>1</v>
      </c>
      <c r="O59" s="358">
        <v>1</v>
      </c>
      <c r="P59" s="358">
        <v>1</v>
      </c>
      <c r="Q59" s="358" t="str" cm="1">
        <f t="array" aca="1" ref="Q59" ca="1">INDEX(EquipmentSchedules,R59)</f>
        <v>Pump: Hydrocarbon Service (Driver: Recip Engine) (Fuel: Gaseous)</v>
      </c>
      <c r="R59" s="358">
        <f t="shared" ca="1" si="1"/>
        <v>424</v>
      </c>
    </row>
    <row r="60" spans="1:23" ht="15" customHeight="1" x14ac:dyDescent="0.35">
      <c r="A60" s="358" cm="1">
        <f t="array" aca="1" ref="A60" ca="1">_xlfn.SINGLE(IF(N60&gt;(COUNTA(PTSource)-COUNTIF(PTSource,0)+1),COUNTA(PTSource)-COUNTIF(PTSource,0)+1,N60))</f>
        <v>1</v>
      </c>
      <c r="B60" s="300">
        <v>10</v>
      </c>
      <c r="C60" s="269" cm="1">
        <f t="array" aca="1" ref="C60" ca="1">INDEX(PTSource,A60)</f>
        <v>0</v>
      </c>
      <c r="D60" s="270"/>
      <c r="E60" s="371"/>
      <c r="F60" s="360" cm="1">
        <f t="array" ref="F60">INDEX(ValidPneumaticSupplyGas,O60)</f>
        <v>0</v>
      </c>
      <c r="G60" s="360" cm="1">
        <f t="array" ref="G60">INDEX(ValidControllerTypes,P60)</f>
        <v>0</v>
      </c>
      <c r="H60" s="375"/>
      <c r="I60" s="375"/>
      <c r="J60" s="301" t="str">
        <f t="shared" si="3"/>
        <v/>
      </c>
      <c r="K60" s="272" t="str">
        <f ca="1">IF('Calculations - Fugitives'!Y$58,LOOKUP("Err04",TblErrorMsg),"")</f>
        <v/>
      </c>
      <c r="N60" s="358">
        <v>1</v>
      </c>
      <c r="O60" s="358">
        <v>1</v>
      </c>
      <c r="P60" s="358">
        <v>1</v>
      </c>
      <c r="Q60" s="358" t="str" cm="1">
        <f t="array" aca="1" ref="Q60" ca="1">INDEX(EquipmentSchedules,R60)</f>
        <v>Pump: Hydrocarbon Service (Driver: Recip Engine) (Fuel: Liquid)</v>
      </c>
      <c r="R60" s="358">
        <f t="shared" ca="1" si="1"/>
        <v>425</v>
      </c>
    </row>
    <row r="61" spans="1:23" ht="15" customHeight="1" x14ac:dyDescent="0.35">
      <c r="A61" s="358" cm="1">
        <f t="array" aca="1" ref="A61" ca="1">_xlfn.SINGLE(IF(N61&gt;(COUNTA(PTSource)-COUNTIF(PTSource,0)+1),COUNTA(PTSource)-COUNTIF(PTSource,0)+1,N61))</f>
        <v>1</v>
      </c>
      <c r="B61" s="372">
        <v>11</v>
      </c>
      <c r="C61" s="269" cm="1">
        <f t="array" aca="1" ref="C61" ca="1">INDEX(PTSource,A61)</f>
        <v>0</v>
      </c>
      <c r="D61" s="270"/>
      <c r="E61" s="371"/>
      <c r="F61" s="360" cm="1">
        <f t="array" ref="F61">INDEX(ValidPneumaticSupplyGas,O61)</f>
        <v>0</v>
      </c>
      <c r="G61" s="360" cm="1">
        <f t="array" ref="G61">INDEX(ValidControllerTypes,P61)</f>
        <v>0</v>
      </c>
      <c r="H61" s="373"/>
      <c r="I61" s="373"/>
      <c r="J61" s="374" t="str">
        <f t="shared" si="3"/>
        <v/>
      </c>
      <c r="K61" s="271" t="str">
        <f ca="1">IF('Calculations - Fugitives'!AA$58,LOOKUP("Err04",TblErrorMsg),"")</f>
        <v/>
      </c>
      <c r="N61" s="358">
        <v>1</v>
      </c>
      <c r="O61" s="358">
        <v>1</v>
      </c>
      <c r="P61" s="358">
        <v>1</v>
      </c>
      <c r="Q61" s="358" t="str" cm="1">
        <f t="array" aca="1" ref="Q61" ca="1">INDEX(EquipmentSchedules,R61)</f>
        <v>Pump: Non-Hydrocarbon Service (Driver: Recip Engine) (Fuel: Gaseous)</v>
      </c>
      <c r="R61" s="358">
        <f t="shared" ca="1" si="1"/>
        <v>426</v>
      </c>
    </row>
    <row r="62" spans="1:23" ht="15" customHeight="1" x14ac:dyDescent="0.35">
      <c r="A62" s="358" cm="1">
        <f t="array" aca="1" ref="A62" ca="1">_xlfn.SINGLE(IF(N62&gt;(COUNTA(PTSource)-COUNTIF(PTSource,0)+1),COUNTA(PTSource)-COUNTIF(PTSource,0)+1,N62))</f>
        <v>1</v>
      </c>
      <c r="B62" s="300">
        <v>12</v>
      </c>
      <c r="C62" s="269" cm="1">
        <f t="array" aca="1" ref="C62" ca="1">INDEX(PTSource,A62)</f>
        <v>0</v>
      </c>
      <c r="D62" s="270"/>
      <c r="E62" s="371"/>
      <c r="F62" s="360" cm="1">
        <f t="array" ref="F62">INDEX(ValidPneumaticSupplyGas,O62)</f>
        <v>0</v>
      </c>
      <c r="G62" s="360" cm="1">
        <f t="array" ref="G62">INDEX(ValidControllerTypes,P62)</f>
        <v>0</v>
      </c>
      <c r="H62" s="375"/>
      <c r="I62" s="375"/>
      <c r="J62" s="301" t="str">
        <f t="shared" si="3"/>
        <v/>
      </c>
      <c r="K62" s="272" t="str">
        <f ca="1">IF('Calculations - Fugitives'!AC$58,LOOKUP("Err04",TblErrorMsg),"")</f>
        <v/>
      </c>
      <c r="N62" s="358">
        <v>1</v>
      </c>
      <c r="O62" s="358">
        <v>1</v>
      </c>
      <c r="P62" s="358">
        <v>1</v>
      </c>
      <c r="Q62" s="358" t="str" cm="1">
        <f t="array" aca="1" ref="Q62" ca="1">INDEX(EquipmentSchedules,R62)</f>
        <v>Pump: Non-Hydrocarbon Service (Driver: Recip Engine) (Fuel: Gaseous)</v>
      </c>
      <c r="R62" s="358">
        <f t="shared" ca="1" si="1"/>
        <v>427</v>
      </c>
    </row>
    <row r="63" spans="1:23" ht="15" customHeight="1" x14ac:dyDescent="0.35">
      <c r="A63" s="358" cm="1">
        <f t="array" aca="1" ref="A63" ca="1">_xlfn.SINGLE(IF(N63&gt;(COUNTA(PTSource)-COUNTIF(PTSource,0)+1),COUNTA(PTSource)-COUNTIF(PTSource,0)+1,N63))</f>
        <v>1</v>
      </c>
      <c r="B63" s="372">
        <v>13</v>
      </c>
      <c r="C63" s="269" cm="1">
        <f t="array" aca="1" ref="C63" ca="1">INDEX(PTSource,A63)</f>
        <v>0</v>
      </c>
      <c r="D63" s="270"/>
      <c r="E63" s="371"/>
      <c r="F63" s="360" cm="1">
        <f t="array" ref="F63">INDEX(ValidPneumaticSupplyGas,O63)</f>
        <v>0</v>
      </c>
      <c r="G63" s="360" cm="1">
        <f t="array" ref="G63">INDEX(ValidControllerTypes,P63)</f>
        <v>0</v>
      </c>
      <c r="H63" s="373"/>
      <c r="I63" s="373"/>
      <c r="J63" s="374" t="str">
        <f t="shared" si="3"/>
        <v/>
      </c>
      <c r="K63" s="271" t="str">
        <f ca="1">IF('Calculations - Fugitives'!AE$58,LOOKUP("Err04",TblErrorMsg),"")</f>
        <v/>
      </c>
      <c r="N63" s="358">
        <v>1</v>
      </c>
      <c r="O63" s="358">
        <v>1</v>
      </c>
      <c r="P63" s="358">
        <v>1</v>
      </c>
      <c r="Q63" s="358" t="str" cm="1">
        <f t="array" aca="1" ref="Q63" ca="1">INDEX(EquipmentSchedules,R63)</f>
        <v>Refrigeration (Propane)</v>
      </c>
      <c r="R63" s="358">
        <f t="shared" ca="1" si="1"/>
        <v>428</v>
      </c>
    </row>
    <row r="64" spans="1:23" ht="15" customHeight="1" x14ac:dyDescent="0.35">
      <c r="A64" s="358" cm="1">
        <f t="array" aca="1" ref="A64" ca="1">_xlfn.SINGLE(IF(N64&gt;(COUNTA(PTSource)-COUNTIF(PTSource,0)+1),COUNTA(PTSource)-COUNTIF(PTSource,0)+1,N64))</f>
        <v>1</v>
      </c>
      <c r="B64" s="300">
        <v>14</v>
      </c>
      <c r="C64" s="269" cm="1">
        <f t="array" aca="1" ref="C64" ca="1">INDEX(PTSource,A64)</f>
        <v>0</v>
      </c>
      <c r="D64" s="270"/>
      <c r="E64" s="371"/>
      <c r="F64" s="360" cm="1">
        <f t="array" ref="F64">INDEX(ValidPneumaticSupplyGas,O64)</f>
        <v>0</v>
      </c>
      <c r="G64" s="360" cm="1">
        <f t="array" ref="G64">INDEX(ValidControllerTypes,P64)</f>
        <v>0</v>
      </c>
      <c r="H64" s="375"/>
      <c r="I64" s="375"/>
      <c r="J64" s="301" t="str">
        <f t="shared" si="3"/>
        <v/>
      </c>
      <c r="K64" s="272" t="str">
        <f ca="1">IF('Calculations - Fugitives'!AG$58,LOOKUP("Err04",TblErrorMsg),"")</f>
        <v/>
      </c>
      <c r="N64" s="358">
        <v>1</v>
      </c>
      <c r="O64" s="358">
        <v>1</v>
      </c>
      <c r="P64" s="358">
        <v>1</v>
      </c>
      <c r="Q64" s="358" t="str" cm="1">
        <f t="array" aca="1" ref="Q64" ca="1">INDEX(EquipmentSchedules,R64)</f>
        <v>Separator: Filter Separator</v>
      </c>
      <c r="R64" s="358">
        <f t="shared" ca="1" si="1"/>
        <v>429</v>
      </c>
    </row>
    <row r="65" spans="1:23" ht="15" customHeight="1" x14ac:dyDescent="0.35">
      <c r="A65" s="358" cm="1">
        <f t="array" aca="1" ref="A65" ca="1">_xlfn.SINGLE(IF(N65&gt;(COUNTA(PTSource)-COUNTIF(PTSource,0)+1),COUNTA(PTSource)-COUNTIF(PTSource,0)+1,N65))</f>
        <v>1</v>
      </c>
      <c r="B65" s="372">
        <v>15</v>
      </c>
      <c r="C65" s="269" cm="1">
        <f t="array" aca="1" ref="C65" ca="1">INDEX(PTSource,A65)</f>
        <v>0</v>
      </c>
      <c r="D65" s="270"/>
      <c r="E65" s="371"/>
      <c r="F65" s="360" cm="1">
        <f t="array" ref="F65">INDEX(ValidPneumaticSupplyGas,O65)</f>
        <v>0</v>
      </c>
      <c r="G65" s="360" cm="1">
        <f t="array" ref="G65">INDEX(ValidControllerTypes,P65)</f>
        <v>0</v>
      </c>
      <c r="H65" s="373"/>
      <c r="I65" s="373"/>
      <c r="J65" s="374" t="str">
        <f>IF(ISBLANK(H65),"",1-SUM(H65:I65))</f>
        <v/>
      </c>
      <c r="K65" s="271" t="str">
        <f ca="1">IF('Calculations - Fugitives'!AI$58,LOOKUP("Err04",TblErrorMsg),"")</f>
        <v/>
      </c>
      <c r="N65" s="358">
        <v>1</v>
      </c>
      <c r="O65" s="358">
        <v>1</v>
      </c>
      <c r="P65" s="358">
        <v>1</v>
      </c>
      <c r="Q65" s="358" t="str" cm="1">
        <f t="array" aca="1" ref="Q65" ca="1">INDEX(EquipmentSchedules,R65)</f>
        <v>Separator: Horizontal (Phases: 2)</v>
      </c>
      <c r="R65" s="358">
        <f t="shared" ca="1" si="1"/>
        <v>430</v>
      </c>
    </row>
    <row r="66" spans="1:23" ht="15" customHeight="1" x14ac:dyDescent="0.35">
      <c r="A66" s="358" cm="1">
        <f t="array" aca="1" ref="A66" ca="1">_xlfn.SINGLE(IF(N66&gt;(COUNTA(PTSource)-COUNTIF(PTSource,0)+1),COUNTA(PTSource)-COUNTIF(PTSource,0)+1,N66))</f>
        <v>1</v>
      </c>
      <c r="B66" s="300">
        <v>16</v>
      </c>
      <c r="C66" s="269" cm="1">
        <f t="array" aca="1" ref="C66" ca="1">INDEX(PTSource,A66)</f>
        <v>0</v>
      </c>
      <c r="D66" s="270"/>
      <c r="E66" s="371"/>
      <c r="F66" s="360" cm="1">
        <f t="array" ref="F66">INDEX(ValidPneumaticSupplyGas,O66)</f>
        <v>0</v>
      </c>
      <c r="G66" s="360" cm="1">
        <f t="array" ref="G66">INDEX(ValidControllerTypes,P66)</f>
        <v>0</v>
      </c>
      <c r="H66" s="375"/>
      <c r="I66" s="375"/>
      <c r="J66" s="301" t="str">
        <f>IF(ISBLANK(H66),"",1-SUM(H66:I66))</f>
        <v/>
      </c>
      <c r="K66" s="272" t="str">
        <f ca="1">IF('Calculations - Fugitives'!AK$58,LOOKUP("Err04",TblErrorMsg),"")</f>
        <v/>
      </c>
      <c r="N66" s="358">
        <v>1</v>
      </c>
      <c r="O66" s="358">
        <v>1</v>
      </c>
      <c r="P66" s="358">
        <v>1</v>
      </c>
      <c r="Q66" s="358" t="str" cm="1">
        <f t="array" aca="1" ref="Q66" ca="1">INDEX(EquipmentSchedules,R66)</f>
        <v>Separator: Horizontal (Phases: 3)</v>
      </c>
      <c r="R66" s="358">
        <f t="shared" ca="1" si="1"/>
        <v>431</v>
      </c>
    </row>
    <row r="67" spans="1:23" ht="15" customHeight="1" x14ac:dyDescent="0.35">
      <c r="A67" s="358" cm="1">
        <f t="array" aca="1" ref="A67" ca="1">_xlfn.SINGLE(IF(N67&gt;(COUNTA(PTSource)-COUNTIF(PTSource,0)+1),COUNTA(PTSource)-COUNTIF(PTSource,0)+1,N67))</f>
        <v>1</v>
      </c>
      <c r="B67" s="372">
        <v>17</v>
      </c>
      <c r="C67" s="269" cm="1">
        <f t="array" aca="1" ref="C67" ca="1">INDEX(PTSource,A67)</f>
        <v>0</v>
      </c>
      <c r="D67" s="270"/>
      <c r="E67" s="371"/>
      <c r="F67" s="360" cm="1">
        <f t="array" ref="F67">INDEX(ValidPneumaticSupplyGas,O67)</f>
        <v>0</v>
      </c>
      <c r="G67" s="360" cm="1">
        <f t="array" ref="G67">INDEX(ValidControllerTypes,P67)</f>
        <v>0</v>
      </c>
      <c r="H67" s="373"/>
      <c r="I67" s="373"/>
      <c r="J67" s="374" t="str">
        <f>IF(ISBLANK(H67),"",1-SUM(H67:I67))</f>
        <v/>
      </c>
      <c r="K67" s="271" t="str">
        <f ca="1">IF('Calculations - Fugitives'!AM$58,LOOKUP("Err04",TblErrorMsg),"")</f>
        <v/>
      </c>
      <c r="N67" s="358">
        <v>1</v>
      </c>
      <c r="O67" s="358">
        <v>1</v>
      </c>
      <c r="P67" s="358">
        <v>1</v>
      </c>
      <c r="Q67" s="358" t="str" cm="1">
        <f t="array" aca="1" ref="Q67" ca="1">INDEX(EquipmentSchedules,R67)</f>
        <v>Separator: Vertical (Phases: 2)</v>
      </c>
      <c r="R67" s="358">
        <f t="shared" ca="1" si="1"/>
        <v>432</v>
      </c>
    </row>
    <row r="68" spans="1:23" ht="15" customHeight="1" x14ac:dyDescent="0.35">
      <c r="A68" s="358" cm="1">
        <f t="array" aca="1" ref="A68" ca="1">_xlfn.SINGLE(IF(N68&gt;(COUNTA(PTSource)-COUNTIF(PTSource,0)+1),COUNTA(PTSource)-COUNTIF(PTSource,0)+1,N68))</f>
        <v>1</v>
      </c>
      <c r="B68" s="300">
        <v>18</v>
      </c>
      <c r="C68" s="269" cm="1">
        <f t="array" aca="1" ref="C68" ca="1">INDEX(PTSource,A68)</f>
        <v>0</v>
      </c>
      <c r="D68" s="270"/>
      <c r="E68" s="371"/>
      <c r="F68" s="360" cm="1">
        <f t="array" ref="F68">INDEX(ValidPneumaticSupplyGas,O68)</f>
        <v>0</v>
      </c>
      <c r="G68" s="360" cm="1">
        <f t="array" ref="G68">INDEX(ValidControllerTypes,P68)</f>
        <v>0</v>
      </c>
      <c r="H68" s="375"/>
      <c r="I68" s="375"/>
      <c r="J68" s="301" t="str">
        <f>IF(ISBLANK(H68),"",1-SUM(H68:I68))</f>
        <v/>
      </c>
      <c r="K68" s="272" t="str">
        <f ca="1">IF('Calculations - Fugitives'!AO$58,LOOKUP("Err04",TblErrorMsg),"")</f>
        <v/>
      </c>
      <c r="N68" s="358">
        <v>1</v>
      </c>
      <c r="O68" s="358">
        <v>1</v>
      </c>
      <c r="P68" s="358">
        <v>1</v>
      </c>
      <c r="Q68" s="358" t="str" cm="1">
        <f t="array" aca="1" ref="Q68" ca="1">INDEX(EquipmentSchedules,R68)</f>
        <v>Separator: Vertical (Phases: 3)</v>
      </c>
      <c r="R68" s="358">
        <f t="shared" ca="1" si="1"/>
        <v>433</v>
      </c>
    </row>
    <row r="69" spans="1:23" ht="15" customHeight="1" x14ac:dyDescent="0.35">
      <c r="A69" s="358" cm="1">
        <f t="array" aca="1" ref="A69" ca="1">_xlfn.SINGLE(IF(N69&gt;(COUNTA(PTSource)-COUNTIF(PTSource,0)+1),COUNTA(PTSource)-COUNTIF(PTSource,0)+1,N69))</f>
        <v>1</v>
      </c>
      <c r="B69" s="372">
        <v>19</v>
      </c>
      <c r="C69" s="269" cm="1">
        <f t="array" aca="1" ref="C69" ca="1">INDEX(PTSource,A69)</f>
        <v>0</v>
      </c>
      <c r="D69" s="270"/>
      <c r="E69" s="371"/>
      <c r="F69" s="360" cm="1">
        <f t="array" ref="F69">INDEX(ValidPneumaticSupplyGas,O69)</f>
        <v>0</v>
      </c>
      <c r="G69" s="360" cm="1">
        <f t="array" ref="G69">INDEX(ValidControllerTypes,P69)</f>
        <v>0</v>
      </c>
      <c r="H69" s="373"/>
      <c r="I69" s="373"/>
      <c r="J69" s="374" t="str">
        <f>IF(ISBLANK(H69),"",1-SUM(H69:I69))</f>
        <v/>
      </c>
      <c r="K69" s="271" t="str">
        <f ca="1">IF('Calculations - Fugitives'!AQ$58,LOOKUP("Err04",TblErrorMsg),"")</f>
        <v/>
      </c>
      <c r="N69" s="358">
        <v>1</v>
      </c>
      <c r="O69" s="358">
        <v>1</v>
      </c>
      <c r="P69" s="358">
        <v>1</v>
      </c>
      <c r="Q69" s="358" t="str" cm="1">
        <f t="array" aca="1" ref="Q69" ca="1">INDEX(EquipmentSchedules,R69)</f>
        <v>Stabilizer: with Reflux Loop</v>
      </c>
      <c r="R69" s="358">
        <f t="shared" ref="R69:R112" ca="1" si="4">IF(R68=1,1,(IF(($S$2-R68)&gt;0,R68+1,1)))</f>
        <v>434</v>
      </c>
    </row>
    <row r="70" spans="1:23" ht="15" customHeight="1" x14ac:dyDescent="0.35">
      <c r="A70" s="358" cm="1">
        <f t="array" aca="1" ref="A70" ca="1">_xlfn.SINGLE(IF(N70&gt;(COUNTA(PTSource)-COUNTIF(PTSource,0)+1),COUNTA(PTSource)-COUNTIF(PTSource,0)+1,N70))</f>
        <v>1</v>
      </c>
      <c r="B70" s="300">
        <v>20</v>
      </c>
      <c r="C70" s="269" cm="1">
        <f t="array" aca="1" ref="C70" ca="1">INDEX(PTSource,A70)</f>
        <v>0</v>
      </c>
      <c r="D70" s="270"/>
      <c r="E70" s="371"/>
      <c r="F70" s="360" cm="1">
        <f t="array" ref="F70">INDEX(ValidPneumaticSupplyGas,O70)</f>
        <v>0</v>
      </c>
      <c r="G70" s="360" cm="1">
        <f t="array" ref="G70">INDEX(ValidControllerTypes,P70)</f>
        <v>0</v>
      </c>
      <c r="H70" s="375"/>
      <c r="I70" s="375"/>
      <c r="J70" s="301" t="str">
        <f t="shared" si="3"/>
        <v/>
      </c>
      <c r="K70" s="272" t="str">
        <f ca="1">IF('Calculations - Fugitives'!AS$58,LOOKUP("Err04",TblErrorMsg),"")</f>
        <v/>
      </c>
      <c r="N70" s="358">
        <v>1</v>
      </c>
      <c r="O70" s="358">
        <v>1</v>
      </c>
      <c r="P70" s="358">
        <v>1</v>
      </c>
      <c r="Q70" s="358" t="str" cm="1">
        <f t="array" aca="1" ref="Q70" ca="1">INDEX(EquipmentSchedules,R70)</f>
        <v>Stabilizer: without Reflux Loop</v>
      </c>
      <c r="R70" s="358">
        <f t="shared" ca="1" si="4"/>
        <v>435</v>
      </c>
    </row>
    <row r="71" spans="1:23" x14ac:dyDescent="0.35">
      <c r="Q71" s="358" t="str" cm="1">
        <f t="array" aca="1" ref="Q71" ca="1">INDEX(EquipmentSchedules,R71)</f>
        <v>Storage Tank (Produced Oil, with Vapor Control)</v>
      </c>
      <c r="R71" s="358">
        <f t="shared" ca="1" si="4"/>
        <v>436</v>
      </c>
    </row>
    <row r="72" spans="1:23" ht="22.5" x14ac:dyDescent="0.35">
      <c r="B72" s="249" t="str">
        <f ca="1">'Translation Table'!H244</f>
        <v>Gas Compositions</v>
      </c>
      <c r="Q72" s="358" t="str" cm="1">
        <f t="array" aca="1" ref="Q72" ca="1">INDEX(EquipmentSchedules,R72)</f>
        <v>Storage Tank (Produced Oil, without Vapor Control)</v>
      </c>
      <c r="R72" s="358">
        <f t="shared" ca="1" si="4"/>
        <v>437</v>
      </c>
    </row>
    <row r="73" spans="1:23" s="139" customFormat="1" ht="18" customHeight="1" x14ac:dyDescent="0.35">
      <c r="A73" s="191"/>
      <c r="B73" s="41" t="str">
        <f ca="1">'Translation Table'!H245</f>
        <v>Stream</v>
      </c>
      <c r="C73" s="765" t="str">
        <f ca="1">'Translation Table'!H246</f>
        <v>Molecular Weight of Gas Mixture</v>
      </c>
      <c r="D73" s="789"/>
      <c r="E73" s="41" t="str">
        <f ca="1">'Translation Table'!H247</f>
        <v>CH4 Content (mol%)</v>
      </c>
      <c r="F73" s="41" t="str">
        <f ca="1">'Translation Table'!H248</f>
        <v>CO2 Content (mol%)</v>
      </c>
      <c r="G73" s="41" t="str">
        <f ca="1">'Translation Table'!H249</f>
        <v>N2 Content (mol%)</v>
      </c>
      <c r="H73" s="41" t="str">
        <f ca="1">'Translation Table'!H250</f>
        <v>H2S Content (mol%)</v>
      </c>
      <c r="I73" s="42" t="str">
        <f ca="1">'Translation Table'!H251</f>
        <v>Source of Values</v>
      </c>
      <c r="J73" s="774" t="str">
        <f>'Translation Table'!I252</f>
        <v>Error Messages</v>
      </c>
      <c r="K73" s="757"/>
      <c r="M73" s="191"/>
      <c r="N73" s="191"/>
      <c r="O73" s="191"/>
      <c r="P73" s="191"/>
      <c r="Q73" s="358" t="str" cm="1">
        <f t="array" aca="1" ref="Q73" ca="1">INDEX(EquipmentSchedules,R73)</f>
        <v>Storage Tank (Produced Water, with Vapor Control)</v>
      </c>
      <c r="R73" s="358">
        <f t="shared" ca="1" si="4"/>
        <v>438</v>
      </c>
      <c r="S73" s="191"/>
      <c r="U73" s="191"/>
      <c r="V73" s="191"/>
      <c r="W73" s="191"/>
    </row>
    <row r="74" spans="1:23" x14ac:dyDescent="0.35">
      <c r="B74" s="268" t="str">
        <f ca="1">'Translation Table'!H253</f>
        <v>Process Gas</v>
      </c>
      <c r="C74" s="787">
        <f t="shared" ref="C74:C82" si="5">IF(E74+F74&gt;0,E74*M_CH4+F74*M_CO2+G74*M_N2+H74*M_H2S+(1-E74-F74-G74-H74)*M_NMVOC,"")</f>
        <v>18.625503899999998</v>
      </c>
      <c r="D74" s="788"/>
      <c r="E74" s="376">
        <v>0.87</v>
      </c>
      <c r="F74" s="376">
        <v>0.02</v>
      </c>
      <c r="G74" s="376">
        <v>0.01</v>
      </c>
      <c r="H74" s="376">
        <v>0</v>
      </c>
      <c r="I74" s="360">
        <v>3</v>
      </c>
      <c r="J74" s="772" t="str">
        <f t="shared" ref="J74:J82" si="6">IF(SUM(E74:H74)&gt;1,LOOKUP("Err05",TblErrorMsg),IF(AND(SUM(E74:H74)&gt;0,I74=1),LOOKUP("Err06",TblErrorMsg),""))</f>
        <v/>
      </c>
      <c r="K74" s="773"/>
      <c r="Q74" s="358" t="str" cm="1">
        <f t="array" aca="1" ref="Q74" ca="1">INDEX(EquipmentSchedules,R74)</f>
        <v>Storage Tank (Produced Water, without Vapor Control)</v>
      </c>
      <c r="R74" s="358">
        <f t="shared" ca="1" si="4"/>
        <v>439</v>
      </c>
    </row>
    <row r="75" spans="1:23" x14ac:dyDescent="0.35">
      <c r="B75" s="237" t="str">
        <f ca="1">'Translation Table'!H254</f>
        <v>Fuel Gas</v>
      </c>
      <c r="C75" s="785">
        <f t="shared" si="5"/>
        <v>16.968647201099998</v>
      </c>
      <c r="D75" s="786"/>
      <c r="E75" s="376">
        <v>0.95</v>
      </c>
      <c r="F75" s="376">
        <v>5.0000000000000001E-3</v>
      </c>
      <c r="G75" s="376">
        <v>0.01</v>
      </c>
      <c r="H75" s="376">
        <v>1E-4</v>
      </c>
      <c r="I75" s="360">
        <v>3</v>
      </c>
      <c r="J75" s="775" t="str">
        <f t="shared" si="6"/>
        <v/>
      </c>
      <c r="K75" s="776"/>
      <c r="Q75" s="358" t="str" cm="1">
        <f t="array" aca="1" ref="Q75" ca="1">INDEX(EquipmentSchedules,R75)</f>
        <v>Storage Tank: Chemicals with Natural Gas Blanketing)</v>
      </c>
      <c r="R75" s="358">
        <f t="shared" ca="1" si="4"/>
        <v>440</v>
      </c>
    </row>
    <row r="76" spans="1:23" x14ac:dyDescent="0.35">
      <c r="B76" s="268" t="str">
        <f ca="1">'Translation Table'!H255</f>
        <v>Flared Hydrocarbon Gas:</v>
      </c>
      <c r="C76" s="787">
        <f t="shared" si="5"/>
        <v>18.8058339</v>
      </c>
      <c r="D76" s="788"/>
      <c r="E76" s="376">
        <v>0.86</v>
      </c>
      <c r="F76" s="376">
        <v>0.02</v>
      </c>
      <c r="G76" s="376">
        <v>0.01</v>
      </c>
      <c r="H76" s="376">
        <v>0.01</v>
      </c>
      <c r="I76" s="360">
        <v>3</v>
      </c>
      <c r="J76" s="772" t="str">
        <f t="shared" si="6"/>
        <v/>
      </c>
      <c r="K76" s="773"/>
      <c r="Q76" s="358" t="str" cm="1">
        <f t="array" aca="1" ref="Q76" ca="1">INDEX(EquipmentSchedules,R76)</f>
        <v>Sulphur Recovery: Claus</v>
      </c>
      <c r="R76" s="358">
        <f t="shared" ca="1" si="4"/>
        <v>441</v>
      </c>
    </row>
    <row r="77" spans="1:23" x14ac:dyDescent="0.35">
      <c r="B77" s="237" t="str">
        <f ca="1">'Translation Table'!H256</f>
        <v>Vented Hydrocarbon Gas</v>
      </c>
      <c r="C77" s="785">
        <f t="shared" si="5"/>
        <v>18.625503899999998</v>
      </c>
      <c r="D77" s="786"/>
      <c r="E77" s="376">
        <v>0.87</v>
      </c>
      <c r="F77" s="376">
        <v>0.02</v>
      </c>
      <c r="G77" s="376">
        <v>0.01</v>
      </c>
      <c r="H77" s="376">
        <v>0</v>
      </c>
      <c r="I77" s="360">
        <v>3</v>
      </c>
      <c r="J77" s="775" t="str">
        <f t="shared" si="6"/>
        <v/>
      </c>
      <c r="K77" s="776"/>
      <c r="Q77" s="358" t="str" cm="1">
        <f t="array" aca="1" ref="Q77" ca="1">INDEX(EquipmentSchedules,R77)</f>
        <v>Sulphur Recovery: MCRC (Sub-dewpoint)</v>
      </c>
      <c r="R77" s="358">
        <f t="shared" ca="1" si="4"/>
        <v>442</v>
      </c>
    </row>
    <row r="78" spans="1:23" x14ac:dyDescent="0.35">
      <c r="B78" s="268" t="str">
        <f ca="1">'Translation Table'!H257</f>
        <v>Flared Acid Gas:</v>
      </c>
      <c r="C78" s="787">
        <f t="shared" si="5"/>
        <v>35.286537010000004</v>
      </c>
      <c r="D78" s="788"/>
      <c r="E78" s="376">
        <v>0.1</v>
      </c>
      <c r="F78" s="376">
        <v>0.25</v>
      </c>
      <c r="G78" s="376">
        <v>0.01</v>
      </c>
      <c r="H78" s="376">
        <v>0.05</v>
      </c>
      <c r="I78" s="360">
        <v>3</v>
      </c>
      <c r="J78" s="772" t="str">
        <f t="shared" si="6"/>
        <v/>
      </c>
      <c r="K78" s="773"/>
      <c r="Q78" s="358" t="str" cm="1">
        <f t="array" aca="1" ref="Q78" ca="1">INDEX(EquipmentSchedules,R78)</f>
        <v>Sweetening: (Physical Solvent)</v>
      </c>
      <c r="R78" s="358">
        <f t="shared" ca="1" si="4"/>
        <v>443</v>
      </c>
    </row>
    <row r="79" spans="1:23" x14ac:dyDescent="0.35">
      <c r="B79" s="237" t="str">
        <f ca="1">'Translation Table'!H258</f>
        <v>Vented Acid Gas</v>
      </c>
      <c r="C79" s="785">
        <f t="shared" si="5"/>
        <v>35.286537010000004</v>
      </c>
      <c r="D79" s="786"/>
      <c r="E79" s="376">
        <v>0.1</v>
      </c>
      <c r="F79" s="376">
        <v>0.25</v>
      </c>
      <c r="G79" s="376">
        <v>0.01</v>
      </c>
      <c r="H79" s="376">
        <v>0.05</v>
      </c>
      <c r="I79" s="360">
        <v>3</v>
      </c>
      <c r="J79" s="775" t="str">
        <f t="shared" si="6"/>
        <v/>
      </c>
      <c r="K79" s="776"/>
      <c r="Q79" s="358" t="str" cm="1">
        <f t="array" aca="1" ref="Q79" ca="1">INDEX(EquipmentSchedules,R79)</f>
        <v>Sweetening: Chemsweet</v>
      </c>
      <c r="R79" s="358">
        <f t="shared" ca="1" si="4"/>
        <v>444</v>
      </c>
    </row>
    <row r="80" spans="1:23" x14ac:dyDescent="0.35">
      <c r="B80" s="268" t="str">
        <f ca="1">'Translation Table'!H259</f>
        <v>Pneumatic Supply Gas (Natural Gas)</v>
      </c>
      <c r="C80" s="787">
        <f t="shared" si="5"/>
        <v>16.968747364999999</v>
      </c>
      <c r="D80" s="788"/>
      <c r="E80" s="376">
        <v>0.95</v>
      </c>
      <c r="F80" s="376">
        <v>5.0000000000000001E-3</v>
      </c>
      <c r="G80" s="376">
        <v>0.01</v>
      </c>
      <c r="H80" s="376">
        <v>0</v>
      </c>
      <c r="I80" s="360">
        <v>3</v>
      </c>
      <c r="J80" s="772" t="str">
        <f t="shared" si="6"/>
        <v/>
      </c>
      <c r="K80" s="773"/>
      <c r="Q80" s="358" t="str" cm="1">
        <f t="array" aca="1" ref="Q80" ca="1">INDEX(EquipmentSchedules,R80)</f>
        <v>Sweetening: DEA (Diethanolamine)</v>
      </c>
      <c r="R80" s="358">
        <f t="shared" ca="1" si="4"/>
        <v>445</v>
      </c>
    </row>
    <row r="81" spans="1:23" x14ac:dyDescent="0.35">
      <c r="B81" s="237" t="str">
        <f ca="1">'Translation Table'!H260</f>
        <v>Casinghead Vent Gas</v>
      </c>
      <c r="C81" s="785">
        <f t="shared" si="5"/>
        <v>20.296545849999998</v>
      </c>
      <c r="D81" s="786"/>
      <c r="E81" s="376">
        <v>0.8</v>
      </c>
      <c r="F81" s="376">
        <v>0.05</v>
      </c>
      <c r="G81" s="376">
        <v>0</v>
      </c>
      <c r="H81" s="376">
        <v>0</v>
      </c>
      <c r="I81" s="360">
        <v>3</v>
      </c>
      <c r="J81" s="775" t="str">
        <f t="shared" si="6"/>
        <v/>
      </c>
      <c r="K81" s="776"/>
      <c r="Q81" s="358" t="str" cm="1">
        <f t="array" aca="1" ref="Q81" ca="1">INDEX(EquipmentSchedules,R81)</f>
        <v>Sweetening: DGA (Diglycolamine)</v>
      </c>
      <c r="R81" s="358">
        <f t="shared" ca="1" si="4"/>
        <v>446</v>
      </c>
    </row>
    <row r="82" spans="1:23" x14ac:dyDescent="0.35">
      <c r="B82" s="268" t="str">
        <f ca="1">'Translation Table'!H261</f>
        <v>Product Vapours</v>
      </c>
      <c r="C82" s="787">
        <f t="shared" si="5"/>
        <v>23.015170039999997</v>
      </c>
      <c r="D82" s="788"/>
      <c r="E82" s="376">
        <v>0.63</v>
      </c>
      <c r="F82" s="376">
        <v>0</v>
      </c>
      <c r="G82" s="376">
        <v>0.01</v>
      </c>
      <c r="H82" s="376">
        <v>0</v>
      </c>
      <c r="I82" s="360">
        <v>3</v>
      </c>
      <c r="J82" s="772" t="str">
        <f t="shared" si="6"/>
        <v/>
      </c>
      <c r="K82" s="773"/>
      <c r="Q82" s="358" t="str" cm="1">
        <f t="array" aca="1" ref="Q82" ca="1">INDEX(EquipmentSchedules,R82)</f>
        <v>Sweetening: Generic</v>
      </c>
      <c r="R82" s="358">
        <f t="shared" ca="1" si="4"/>
        <v>447</v>
      </c>
    </row>
    <row r="83" spans="1:23" x14ac:dyDescent="0.35">
      <c r="Q83" s="358" t="str" cm="1">
        <f t="array" aca="1" ref="Q83" ca="1">INDEX(EquipmentSchedules,R83)</f>
        <v>Sweetening: Iron Sponge</v>
      </c>
      <c r="R83" s="358">
        <f t="shared" ca="1" si="4"/>
        <v>448</v>
      </c>
    </row>
    <row r="84" spans="1:23" ht="22.5" x14ac:dyDescent="0.35">
      <c r="B84" s="249" t="str">
        <f ca="1">'Translation Table'!H262</f>
        <v>Solid Fuel Compositions</v>
      </c>
      <c r="C84" s="311"/>
      <c r="F84" s="259"/>
      <c r="Q84" s="358" t="str" cm="1">
        <f t="array" aca="1" ref="Q84" ca="1">INDEX(EquipmentSchedules,R84)</f>
        <v>Sweetening: LoCat</v>
      </c>
      <c r="R84" s="358">
        <f t="shared" ca="1" si="4"/>
        <v>449</v>
      </c>
    </row>
    <row r="85" spans="1:23" s="139" customFormat="1" ht="18" customHeight="1" x14ac:dyDescent="0.35">
      <c r="A85" s="191"/>
      <c r="B85" s="41" t="str">
        <f ca="1">'Translation Table'!H263</f>
        <v>Stream</v>
      </c>
      <c r="C85" s="41" t="str">
        <f ca="1">'Translation Table'!H264</f>
        <v>S (Mass Percent)</v>
      </c>
      <c r="D85" s="257"/>
      <c r="E85" s="257"/>
      <c r="M85" s="191"/>
      <c r="N85" s="191"/>
      <c r="O85" s="191"/>
      <c r="P85" s="191"/>
      <c r="Q85" s="358" t="str" cm="1">
        <f t="array" aca="1" ref="Q85" ca="1">INDEX(EquipmentSchedules,R85)</f>
        <v>Sweetening: MDEA (Monodiethanolamine)</v>
      </c>
      <c r="R85" s="358">
        <f t="shared" ca="1" si="4"/>
        <v>450</v>
      </c>
      <c r="S85" s="191"/>
      <c r="U85" s="191"/>
      <c r="V85" s="191"/>
      <c r="W85" s="191"/>
    </row>
    <row r="86" spans="1:23" x14ac:dyDescent="0.35">
      <c r="B86" s="237" t="str">
        <f ca="1">'Translation Table'!H265</f>
        <v>All</v>
      </c>
      <c r="C86" s="301">
        <v>0.05</v>
      </c>
      <c r="Q86" s="358" t="str" cm="1">
        <f t="array" aca="1" ref="Q86" ca="1">INDEX(EquipmentSchedules,R86)</f>
        <v>Sweetening: MEA (Monoethanolamine)</v>
      </c>
      <c r="R86" s="358">
        <f t="shared" ca="1" si="4"/>
        <v>451</v>
      </c>
    </row>
    <row r="87" spans="1:23" x14ac:dyDescent="0.35">
      <c r="Q87" s="358" t="str" cm="1">
        <f t="array" aca="1" ref="Q87" ca="1">INDEX(EquipmentSchedules,R87)</f>
        <v>Sweetening: Selexol</v>
      </c>
      <c r="R87" s="358">
        <f t="shared" ca="1" si="4"/>
        <v>452</v>
      </c>
    </row>
    <row r="88" spans="1:23" ht="22.5" x14ac:dyDescent="0.35">
      <c r="B88" s="249" t="s">
        <v>3440</v>
      </c>
      <c r="Q88" s="358" t="str" cm="1">
        <f t="array" aca="1" ref="Q88" ca="1">INDEX(EquipmentSchedules,R88)</f>
        <v>Sweetening: Sulfacheck</v>
      </c>
      <c r="R88" s="358">
        <f t="shared" ca="1" si="4"/>
        <v>453</v>
      </c>
    </row>
    <row r="89" spans="1:23" ht="18" customHeight="1" x14ac:dyDescent="0.35">
      <c r="B89" s="41" t="str">
        <f ca="1">'Translation Table'!H268</f>
        <v>Fuel Type</v>
      </c>
      <c r="C89" s="41" t="str">
        <f ca="1">'Translation Table'!H264</f>
        <v>S (Mass Percent)</v>
      </c>
      <c r="Q89" s="358" t="str" cm="1">
        <f t="array" aca="1" ref="Q89" ca="1">INDEX(EquipmentSchedules,R89)</f>
        <v>Sweetening: Sulfinol</v>
      </c>
      <c r="R89" s="358">
        <f t="shared" ca="1" si="4"/>
        <v>454</v>
      </c>
    </row>
    <row r="90" spans="1:23" x14ac:dyDescent="0.35">
      <c r="B90" s="237" t="str">
        <f ca="1">'Translation Table'!H265</f>
        <v>All</v>
      </c>
      <c r="C90" s="301">
        <v>1E-4</v>
      </c>
      <c r="Q90" s="358" t="str" cm="1">
        <f t="array" aca="1" ref="Q90" ca="1">INDEX(EquipmentSchedules,R90)</f>
        <v>Vapor Recovery Unit: Offshore</v>
      </c>
      <c r="R90" s="358">
        <f t="shared" ca="1" si="4"/>
        <v>455</v>
      </c>
    </row>
    <row r="91" spans="1:23" x14ac:dyDescent="0.35">
      <c r="Q91" s="358" t="str" cm="1">
        <f t="array" aca="1" ref="Q91" ca="1">INDEX(EquipmentSchedules,R91)</f>
        <v>Vapor Recovery Unit: Onshore</v>
      </c>
      <c r="R91" s="358">
        <f t="shared" ca="1" si="4"/>
        <v>456</v>
      </c>
    </row>
    <row r="92" spans="1:23" x14ac:dyDescent="0.35">
      <c r="Q92" s="358" t="str" cm="1">
        <f t="array" aca="1" ref="Q92" ca="1">INDEX(EquipmentSchedules,R92)</f>
        <v>Well: Conventional Oil</v>
      </c>
      <c r="R92" s="358">
        <f t="shared" ca="1" si="4"/>
        <v>457</v>
      </c>
    </row>
    <row r="93" spans="1:23" x14ac:dyDescent="0.35">
      <c r="Q93" s="358" t="str" cm="1">
        <f t="array" aca="1" ref="Q93" ca="1">INDEX(EquipmentSchedules,R93)</f>
        <v>Well: Conventional Oil (Gas Lift)</v>
      </c>
      <c r="R93" s="358">
        <f t="shared" ca="1" si="4"/>
        <v>458</v>
      </c>
    </row>
    <row r="94" spans="1:23" x14ac:dyDescent="0.35">
      <c r="Q94" s="358" t="str" cm="1">
        <f t="array" aca="1" ref="Q94" ca="1">INDEX(EquipmentSchedules,R94)</f>
        <v>Well: Gas</v>
      </c>
      <c r="R94" s="358">
        <f t="shared" ca="1" si="4"/>
        <v>459</v>
      </c>
    </row>
    <row r="95" spans="1:23" x14ac:dyDescent="0.35">
      <c r="Q95" s="358" t="str" cm="1">
        <f t="array" aca="1" ref="Q95" ca="1">INDEX(EquipmentSchedules,R95)</f>
        <v>Well: Gas (Low-Pressure)</v>
      </c>
      <c r="R95" s="358">
        <f t="shared" ca="1" si="4"/>
        <v>460</v>
      </c>
    </row>
    <row r="96" spans="1:23" x14ac:dyDescent="0.35">
      <c r="Q96" s="358" t="str" cm="1">
        <f t="array" aca="1" ref="Q96" ca="1">INDEX(EquipmentSchedules,R96)</f>
        <v>Well: Heavy Oil</v>
      </c>
      <c r="R96" s="358">
        <f t="shared" ca="1" si="4"/>
        <v>461</v>
      </c>
    </row>
    <row r="97" spans="17:18" x14ac:dyDescent="0.35">
      <c r="Q97" s="358" t="str" cm="1">
        <f t="array" aca="1" ref="Q97" ca="1">INDEX(EquipmentSchedules,R97)</f>
        <v>Well: Offshore</v>
      </c>
      <c r="R97" s="358">
        <f t="shared" ca="1" si="4"/>
        <v>462</v>
      </c>
    </row>
    <row r="98" spans="17:18" x14ac:dyDescent="0.35">
      <c r="Q98" s="358" cm="1">
        <f t="array" aca="1" ref="Q98" ca="1">INDEX(EquipmentSchedules,R98)</f>
        <v>0</v>
      </c>
      <c r="R98" s="358">
        <f t="shared" ca="1" si="4"/>
        <v>1</v>
      </c>
    </row>
    <row r="99" spans="17:18" x14ac:dyDescent="0.35">
      <c r="Q99" s="358" cm="1">
        <f t="array" aca="1" ref="Q99" ca="1">INDEX(EquipmentSchedules,R99)</f>
        <v>0</v>
      </c>
      <c r="R99" s="358">
        <f t="shared" ca="1" si="4"/>
        <v>1</v>
      </c>
    </row>
    <row r="100" spans="17:18" x14ac:dyDescent="0.35">
      <c r="Q100" s="358" cm="1">
        <f t="array" aca="1" ref="Q100" ca="1">INDEX(EquipmentSchedules,R100)</f>
        <v>0</v>
      </c>
      <c r="R100" s="358">
        <f t="shared" ca="1" si="4"/>
        <v>1</v>
      </c>
    </row>
    <row r="101" spans="17:18" x14ac:dyDescent="0.35">
      <c r="Q101" s="358" cm="1">
        <f t="array" aca="1" ref="Q101" ca="1">INDEX(EquipmentSchedules,R101)</f>
        <v>0</v>
      </c>
      <c r="R101" s="358">
        <f t="shared" ca="1" si="4"/>
        <v>1</v>
      </c>
    </row>
    <row r="102" spans="17:18" x14ac:dyDescent="0.35">
      <c r="Q102" s="358" cm="1">
        <f t="array" aca="1" ref="Q102" ca="1">INDEX(EquipmentSchedules,R102)</f>
        <v>0</v>
      </c>
      <c r="R102" s="358">
        <f t="shared" ca="1" si="4"/>
        <v>1</v>
      </c>
    </row>
    <row r="103" spans="17:18" x14ac:dyDescent="0.35">
      <c r="Q103" s="358" cm="1">
        <f t="array" aca="1" ref="Q103" ca="1">INDEX(EquipmentSchedules,R103)</f>
        <v>0</v>
      </c>
      <c r="R103" s="358">
        <f t="shared" ca="1" si="4"/>
        <v>1</v>
      </c>
    </row>
    <row r="104" spans="17:18" x14ac:dyDescent="0.35">
      <c r="Q104" s="358" cm="1">
        <f t="array" aca="1" ref="Q104" ca="1">INDEX(EquipmentSchedules,R104)</f>
        <v>0</v>
      </c>
      <c r="R104" s="358">
        <f t="shared" ca="1" si="4"/>
        <v>1</v>
      </c>
    </row>
    <row r="105" spans="17:18" x14ac:dyDescent="0.35">
      <c r="Q105" s="358" cm="1">
        <f t="array" aca="1" ref="Q105" ca="1">INDEX(EquipmentSchedules,R105)</f>
        <v>0</v>
      </c>
      <c r="R105" s="358">
        <f t="shared" ca="1" si="4"/>
        <v>1</v>
      </c>
    </row>
    <row r="106" spans="17:18" x14ac:dyDescent="0.35">
      <c r="Q106" s="358" cm="1">
        <f t="array" aca="1" ref="Q106" ca="1">INDEX(EquipmentSchedules,R106)</f>
        <v>0</v>
      </c>
      <c r="R106" s="358">
        <f t="shared" ca="1" si="4"/>
        <v>1</v>
      </c>
    </row>
    <row r="107" spans="17:18" x14ac:dyDescent="0.35">
      <c r="Q107" s="358" cm="1">
        <f t="array" aca="1" ref="Q107" ca="1">INDEX(EquipmentSchedules,R107)</f>
        <v>0</v>
      </c>
      <c r="R107" s="358">
        <f t="shared" ca="1" si="4"/>
        <v>1</v>
      </c>
    </row>
    <row r="108" spans="17:18" x14ac:dyDescent="0.35">
      <c r="Q108" s="358" cm="1">
        <f t="array" aca="1" ref="Q108" ca="1">INDEX(EquipmentSchedules,R108)</f>
        <v>0</v>
      </c>
      <c r="R108" s="358">
        <f t="shared" ca="1" si="4"/>
        <v>1</v>
      </c>
    </row>
    <row r="109" spans="17:18" x14ac:dyDescent="0.35">
      <c r="Q109" s="358" cm="1">
        <f t="array" aca="1" ref="Q109" ca="1">INDEX(EquipmentSchedules,R109)</f>
        <v>0</v>
      </c>
      <c r="R109" s="358">
        <f t="shared" ca="1" si="4"/>
        <v>1</v>
      </c>
    </row>
    <row r="110" spans="17:18" x14ac:dyDescent="0.35">
      <c r="Q110" s="358" cm="1">
        <f t="array" aca="1" ref="Q110" ca="1">INDEX(EquipmentSchedules,R110)</f>
        <v>0</v>
      </c>
      <c r="R110" s="358">
        <f t="shared" ca="1" si="4"/>
        <v>1</v>
      </c>
    </row>
    <row r="111" spans="17:18" x14ac:dyDescent="0.35">
      <c r="Q111" s="358" cm="1">
        <f t="array" aca="1" ref="Q111" ca="1">INDEX(EquipmentSchedules,R111)</f>
        <v>0</v>
      </c>
      <c r="R111" s="358">
        <f t="shared" ca="1" si="4"/>
        <v>1</v>
      </c>
    </row>
    <row r="112" spans="17:18" x14ac:dyDescent="0.35">
      <c r="Q112" s="358" cm="1">
        <f t="array" aca="1" ref="Q112" ca="1">INDEX(EquipmentSchedules,R112)</f>
        <v>0</v>
      </c>
      <c r="R112" s="358">
        <f t="shared" ca="1" si="4"/>
        <v>1</v>
      </c>
    </row>
  </sheetData>
  <sheetProtection algorithmName="SHA-512" hashValue="QyQq59MR3vyFQAxVTq8mLTCYmzps6yOHlrzka5dfLKNBDC2ohyWjU3D7RrS6Guq4tJxXDvR91oPW78pJS2fplA==" saltValue="0xhIdws8twu/2n+XKx+7OQ==" spinCount="100000" sheet="1" objects="1" scenarios="1"/>
  <mergeCells count="74">
    <mergeCell ref="E3:F3"/>
    <mergeCell ref="E4:F4"/>
    <mergeCell ref="E5:F5"/>
    <mergeCell ref="E6:F6"/>
    <mergeCell ref="E9:F9"/>
    <mergeCell ref="E8:F8"/>
    <mergeCell ref="E7:F7"/>
    <mergeCell ref="C3:D3"/>
    <mergeCell ref="C4:D4"/>
    <mergeCell ref="C5:D5"/>
    <mergeCell ref="C7:D7"/>
    <mergeCell ref="C10:D10"/>
    <mergeCell ref="C6:D6"/>
    <mergeCell ref="C8:D8"/>
    <mergeCell ref="C9:D9"/>
    <mergeCell ref="C82:D82"/>
    <mergeCell ref="C81:D81"/>
    <mergeCell ref="C78:D78"/>
    <mergeCell ref="C79:D79"/>
    <mergeCell ref="C80:D80"/>
    <mergeCell ref="G29:I29"/>
    <mergeCell ref="G30:I30"/>
    <mergeCell ref="G24:I24"/>
    <mergeCell ref="C77:D77"/>
    <mergeCell ref="C74:D74"/>
    <mergeCell ref="G25:I25"/>
    <mergeCell ref="G26:I26"/>
    <mergeCell ref="G27:I27"/>
    <mergeCell ref="G28:I28"/>
    <mergeCell ref="E49:E50"/>
    <mergeCell ref="C73:D73"/>
    <mergeCell ref="C76:D76"/>
    <mergeCell ref="C75:D75"/>
    <mergeCell ref="F40:H40"/>
    <mergeCell ref="F39:H39"/>
    <mergeCell ref="F42:H42"/>
    <mergeCell ref="E10:F10"/>
    <mergeCell ref="E11:F11"/>
    <mergeCell ref="G23:I23"/>
    <mergeCell ref="E12:F12"/>
    <mergeCell ref="E13:F13"/>
    <mergeCell ref="G16:I16"/>
    <mergeCell ref="G17:I17"/>
    <mergeCell ref="G18:I18"/>
    <mergeCell ref="G19:I19"/>
    <mergeCell ref="G20:I20"/>
    <mergeCell ref="G21:I21"/>
    <mergeCell ref="G22:I22"/>
    <mergeCell ref="J82:K82"/>
    <mergeCell ref="J74:K74"/>
    <mergeCell ref="J73:K73"/>
    <mergeCell ref="J75:K75"/>
    <mergeCell ref="J76:K76"/>
    <mergeCell ref="J77:K77"/>
    <mergeCell ref="J78:K78"/>
    <mergeCell ref="J81:K81"/>
    <mergeCell ref="J80:K80"/>
    <mergeCell ref="J79:K79"/>
    <mergeCell ref="K49:K50"/>
    <mergeCell ref="F36:H36"/>
    <mergeCell ref="B49:B50"/>
    <mergeCell ref="H49:J49"/>
    <mergeCell ref="B33:H33"/>
    <mergeCell ref="F34:H34"/>
    <mergeCell ref="F35:H35"/>
    <mergeCell ref="F37:H37"/>
    <mergeCell ref="F38:H38"/>
    <mergeCell ref="F43:H43"/>
    <mergeCell ref="F44:H44"/>
    <mergeCell ref="F46:H46"/>
    <mergeCell ref="F45:H45"/>
    <mergeCell ref="F49:G49"/>
    <mergeCell ref="C49:D50"/>
    <mergeCell ref="F41:H41"/>
  </mergeCells>
  <dataValidations count="7">
    <dataValidation type="whole" operator="greaterThanOrEqual" allowBlank="1" showInputMessage="1" showErrorMessage="1" error="The value you entered is not valid._x000a__x000a_This cell accepts only zero and positive whole numbers." sqref="E51:E70" xr:uid="{00000000-0002-0000-0200-000000000000}">
      <formula1>0</formula1>
    </dataValidation>
    <dataValidation type="decimal" allowBlank="1" showInputMessage="1" showErrorMessage="1" sqref="C86 C90 H51:J70" xr:uid="{00000000-0002-0000-0200-000001000000}">
      <formula1>0</formula1>
      <formula2>1</formula2>
    </dataValidation>
    <dataValidation type="decimal" allowBlank="1" showInputMessage="1" showErrorMessage="1" sqref="C74:D82" xr:uid="{00000000-0002-0000-0200-000002000000}">
      <formula1>0</formula1>
      <formula2>100</formula2>
    </dataValidation>
    <dataValidation type="whole" operator="greaterThan" allowBlank="1" showInputMessage="1" showErrorMessage="1" sqref="C10:D10" xr:uid="{00000000-0002-0000-0200-000003000000}">
      <formula1>2000</formula1>
    </dataValidation>
    <dataValidation type="decimal" operator="greaterThanOrEqual" allowBlank="1" showInputMessage="1" showErrorMessage="1" error="The value you entered is not valid._x000a__x000a_This cell accepts only zero and positive numeric values." sqref="D25:D30 D17:D23" xr:uid="{5620485A-7892-4A99-8B3F-07C87C3F93D6}">
      <formula1>0</formula1>
    </dataValidation>
    <dataValidation type="decimal" operator="greaterThanOrEqual" allowBlank="1" showInputMessage="1" showErrorMessage="1" error="The value you entered is not valid_x000a__x000a_This cell accepts only zero and positive numeric values." sqref="C35:C46" xr:uid="{00000000-0002-0000-0200-000004000000}">
      <formula1>0</formula1>
    </dataValidation>
    <dataValidation type="decimal" allowBlank="1" showInputMessage="1" showErrorMessage="1" error="The value you entered is not valid._x000a_This cell accepts only values between 0 and 100." sqref="E74:H82" xr:uid="{84F8DB81-A431-44F9-8A4C-B1BFF85F1E43}">
      <formula1>0</formula1>
      <formula2>1</formula2>
    </dataValidation>
  </dataValidations>
  <pageMargins left="0.7" right="0.7" top="0.75" bottom="0.75" header="0.3" footer="0.3"/>
  <pageSetup scale="33" orientation="landscape"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20498" r:id="rId4" name="Drop Down 18">
              <controlPr defaultSize="0" autoLine="0" autoPict="0">
                <anchor moveWithCells="1" sizeWithCells="1">
                  <from>
                    <xdr:col>2</xdr:col>
                    <xdr:colOff>0</xdr:colOff>
                    <xdr:row>10</xdr:row>
                    <xdr:rowOff>0</xdr:rowOff>
                  </from>
                  <to>
                    <xdr:col>4</xdr:col>
                    <xdr:colOff>0</xdr:colOff>
                    <xdr:row>11</xdr:row>
                    <xdr:rowOff>0</xdr:rowOff>
                  </to>
                </anchor>
              </controlPr>
            </control>
          </mc:Choice>
        </mc:AlternateContent>
        <mc:AlternateContent xmlns:mc="http://schemas.openxmlformats.org/markup-compatibility/2006">
          <mc:Choice Requires="x14">
            <control shapeId="20532" r:id="rId5" name="Drop Down 52">
              <controlPr defaultSize="0" autoLine="0" autoPict="0">
                <anchor moveWithCells="1" sizeWithCells="1">
                  <from>
                    <xdr:col>2</xdr:col>
                    <xdr:colOff>0</xdr:colOff>
                    <xdr:row>12</xdr:row>
                    <xdr:rowOff>0</xdr:rowOff>
                  </from>
                  <to>
                    <xdr:col>4</xdr:col>
                    <xdr:colOff>0</xdr:colOff>
                    <xdr:row>13</xdr:row>
                    <xdr:rowOff>0</xdr:rowOff>
                  </to>
                </anchor>
              </controlPr>
            </control>
          </mc:Choice>
        </mc:AlternateContent>
        <mc:AlternateContent xmlns:mc="http://schemas.openxmlformats.org/markup-compatibility/2006">
          <mc:Choice Requires="x14">
            <control shapeId="20501" r:id="rId6" name="Drop Down 21">
              <controlPr defaultSize="0" autoLine="0" autoPict="0">
                <anchor moveWithCells="1" sizeWithCells="1">
                  <from>
                    <xdr:col>2</xdr:col>
                    <xdr:colOff>0</xdr:colOff>
                    <xdr:row>11</xdr:row>
                    <xdr:rowOff>0</xdr:rowOff>
                  </from>
                  <to>
                    <xdr:col>4</xdr:col>
                    <xdr:colOff>0</xdr:colOff>
                    <xdr:row>12</xdr:row>
                    <xdr:rowOff>0</xdr:rowOff>
                  </to>
                </anchor>
              </controlPr>
            </control>
          </mc:Choice>
        </mc:AlternateContent>
        <mc:AlternateContent xmlns:mc="http://schemas.openxmlformats.org/markup-compatibility/2006">
          <mc:Choice Requires="x14">
            <control shapeId="20562" r:id="rId7" name="Drop Down 82">
              <controlPr defaultSize="0" autoLine="0" autoPict="0">
                <anchor moveWithCells="1" sizeWithCells="1">
                  <from>
                    <xdr:col>5</xdr:col>
                    <xdr:colOff>0</xdr:colOff>
                    <xdr:row>16</xdr:row>
                    <xdr:rowOff>0</xdr:rowOff>
                  </from>
                  <to>
                    <xdr:col>6</xdr:col>
                    <xdr:colOff>0</xdr:colOff>
                    <xdr:row>17</xdr:row>
                    <xdr:rowOff>0</xdr:rowOff>
                  </to>
                </anchor>
              </controlPr>
            </control>
          </mc:Choice>
        </mc:AlternateContent>
        <mc:AlternateContent xmlns:mc="http://schemas.openxmlformats.org/markup-compatibility/2006">
          <mc:Choice Requires="x14">
            <control shapeId="20563" r:id="rId8" name="Drop Down 83">
              <controlPr defaultSize="0" autoLine="0" autoPict="0">
                <anchor moveWithCells="1" sizeWithCells="1">
                  <from>
                    <xdr:col>5</xdr:col>
                    <xdr:colOff>0</xdr:colOff>
                    <xdr:row>17</xdr:row>
                    <xdr:rowOff>0</xdr:rowOff>
                  </from>
                  <to>
                    <xdr:col>6</xdr:col>
                    <xdr:colOff>0</xdr:colOff>
                    <xdr:row>18</xdr:row>
                    <xdr:rowOff>0</xdr:rowOff>
                  </to>
                </anchor>
              </controlPr>
            </control>
          </mc:Choice>
        </mc:AlternateContent>
        <mc:AlternateContent xmlns:mc="http://schemas.openxmlformats.org/markup-compatibility/2006">
          <mc:Choice Requires="x14">
            <control shapeId="20564" r:id="rId9" name="Drop Down 84">
              <controlPr defaultSize="0" autoLine="0" autoPict="0">
                <anchor moveWithCells="1" sizeWithCells="1">
                  <from>
                    <xdr:col>5</xdr:col>
                    <xdr:colOff>0</xdr:colOff>
                    <xdr:row>18</xdr:row>
                    <xdr:rowOff>0</xdr:rowOff>
                  </from>
                  <to>
                    <xdr:col>6</xdr:col>
                    <xdr:colOff>0</xdr:colOff>
                    <xdr:row>19</xdr:row>
                    <xdr:rowOff>0</xdr:rowOff>
                  </to>
                </anchor>
              </controlPr>
            </control>
          </mc:Choice>
        </mc:AlternateContent>
        <mc:AlternateContent xmlns:mc="http://schemas.openxmlformats.org/markup-compatibility/2006">
          <mc:Choice Requires="x14">
            <control shapeId="20566" r:id="rId10" name="Drop Down 86">
              <controlPr defaultSize="0" autoLine="0" autoPict="0">
                <anchor moveWithCells="1" sizeWithCells="1">
                  <from>
                    <xdr:col>5</xdr:col>
                    <xdr:colOff>0</xdr:colOff>
                    <xdr:row>19</xdr:row>
                    <xdr:rowOff>0</xdr:rowOff>
                  </from>
                  <to>
                    <xdr:col>6</xdr:col>
                    <xdr:colOff>0</xdr:colOff>
                    <xdr:row>20</xdr:row>
                    <xdr:rowOff>0</xdr:rowOff>
                  </to>
                </anchor>
              </controlPr>
            </control>
          </mc:Choice>
        </mc:AlternateContent>
        <mc:AlternateContent xmlns:mc="http://schemas.openxmlformats.org/markup-compatibility/2006">
          <mc:Choice Requires="x14">
            <control shapeId="20568" r:id="rId11" name="Drop Down 88">
              <controlPr defaultSize="0" autoLine="0" autoPict="0">
                <anchor moveWithCells="1" sizeWithCells="1">
                  <from>
                    <xdr:col>5</xdr:col>
                    <xdr:colOff>0</xdr:colOff>
                    <xdr:row>20</xdr:row>
                    <xdr:rowOff>0</xdr:rowOff>
                  </from>
                  <to>
                    <xdr:col>6</xdr:col>
                    <xdr:colOff>0</xdr:colOff>
                    <xdr:row>21</xdr:row>
                    <xdr:rowOff>0</xdr:rowOff>
                  </to>
                </anchor>
              </controlPr>
            </control>
          </mc:Choice>
        </mc:AlternateContent>
        <mc:AlternateContent xmlns:mc="http://schemas.openxmlformats.org/markup-compatibility/2006">
          <mc:Choice Requires="x14">
            <control shapeId="20570" r:id="rId12" name="Drop Down 90">
              <controlPr defaultSize="0" autoLine="0" autoPict="0">
                <anchor moveWithCells="1" sizeWithCells="1">
                  <from>
                    <xdr:col>5</xdr:col>
                    <xdr:colOff>0</xdr:colOff>
                    <xdr:row>21</xdr:row>
                    <xdr:rowOff>0</xdr:rowOff>
                  </from>
                  <to>
                    <xdr:col>6</xdr:col>
                    <xdr:colOff>0</xdr:colOff>
                    <xdr:row>22</xdr:row>
                    <xdr:rowOff>0</xdr:rowOff>
                  </to>
                </anchor>
              </controlPr>
            </control>
          </mc:Choice>
        </mc:AlternateContent>
        <mc:AlternateContent xmlns:mc="http://schemas.openxmlformats.org/markup-compatibility/2006">
          <mc:Choice Requires="x14">
            <control shapeId="20572" r:id="rId13" name="Drop Down 92">
              <controlPr defaultSize="0" autoLine="0" autoPict="0">
                <anchor moveWithCells="1" sizeWithCells="1">
                  <from>
                    <xdr:col>5</xdr:col>
                    <xdr:colOff>0</xdr:colOff>
                    <xdr:row>22</xdr:row>
                    <xdr:rowOff>0</xdr:rowOff>
                  </from>
                  <to>
                    <xdr:col>6</xdr:col>
                    <xdr:colOff>0</xdr:colOff>
                    <xdr:row>23</xdr:row>
                    <xdr:rowOff>0</xdr:rowOff>
                  </to>
                </anchor>
              </controlPr>
            </control>
          </mc:Choice>
        </mc:AlternateContent>
        <mc:AlternateContent xmlns:mc="http://schemas.openxmlformats.org/markup-compatibility/2006">
          <mc:Choice Requires="x14">
            <control shapeId="20588" r:id="rId14" name="Drop Down 108">
              <controlPr defaultSize="0" autoLine="0" autoPict="0">
                <anchor moveWithCells="1" sizeWithCells="1">
                  <from>
                    <xdr:col>5</xdr:col>
                    <xdr:colOff>0</xdr:colOff>
                    <xdr:row>24</xdr:row>
                    <xdr:rowOff>0</xdr:rowOff>
                  </from>
                  <to>
                    <xdr:col>6</xdr:col>
                    <xdr:colOff>0</xdr:colOff>
                    <xdr:row>25</xdr:row>
                    <xdr:rowOff>0</xdr:rowOff>
                  </to>
                </anchor>
              </controlPr>
            </control>
          </mc:Choice>
        </mc:AlternateContent>
        <mc:AlternateContent xmlns:mc="http://schemas.openxmlformats.org/markup-compatibility/2006">
          <mc:Choice Requires="x14">
            <control shapeId="20589" r:id="rId15" name="Drop Down 109">
              <controlPr defaultSize="0" autoLine="0" autoPict="0">
                <anchor moveWithCells="1" sizeWithCells="1">
                  <from>
                    <xdr:col>5</xdr:col>
                    <xdr:colOff>0</xdr:colOff>
                    <xdr:row>25</xdr:row>
                    <xdr:rowOff>0</xdr:rowOff>
                  </from>
                  <to>
                    <xdr:col>6</xdr:col>
                    <xdr:colOff>0</xdr:colOff>
                    <xdr:row>26</xdr:row>
                    <xdr:rowOff>0</xdr:rowOff>
                  </to>
                </anchor>
              </controlPr>
            </control>
          </mc:Choice>
        </mc:AlternateContent>
        <mc:AlternateContent xmlns:mc="http://schemas.openxmlformats.org/markup-compatibility/2006">
          <mc:Choice Requires="x14">
            <control shapeId="20590" r:id="rId16" name="Drop Down 110">
              <controlPr defaultSize="0" autoLine="0" autoPict="0">
                <anchor moveWithCells="1" sizeWithCells="1">
                  <from>
                    <xdr:col>5</xdr:col>
                    <xdr:colOff>0</xdr:colOff>
                    <xdr:row>26</xdr:row>
                    <xdr:rowOff>0</xdr:rowOff>
                  </from>
                  <to>
                    <xdr:col>6</xdr:col>
                    <xdr:colOff>0</xdr:colOff>
                    <xdr:row>27</xdr:row>
                    <xdr:rowOff>0</xdr:rowOff>
                  </to>
                </anchor>
              </controlPr>
            </control>
          </mc:Choice>
        </mc:AlternateContent>
        <mc:AlternateContent xmlns:mc="http://schemas.openxmlformats.org/markup-compatibility/2006">
          <mc:Choice Requires="x14">
            <control shapeId="20591" r:id="rId17" name="Drop Down 111">
              <controlPr defaultSize="0" autoLine="0" autoPict="0">
                <anchor moveWithCells="1" sizeWithCells="1">
                  <from>
                    <xdr:col>5</xdr:col>
                    <xdr:colOff>0</xdr:colOff>
                    <xdr:row>27</xdr:row>
                    <xdr:rowOff>0</xdr:rowOff>
                  </from>
                  <to>
                    <xdr:col>6</xdr:col>
                    <xdr:colOff>0</xdr:colOff>
                    <xdr:row>28</xdr:row>
                    <xdr:rowOff>0</xdr:rowOff>
                  </to>
                </anchor>
              </controlPr>
            </control>
          </mc:Choice>
        </mc:AlternateContent>
        <mc:AlternateContent xmlns:mc="http://schemas.openxmlformats.org/markup-compatibility/2006">
          <mc:Choice Requires="x14">
            <control shapeId="20593" r:id="rId18" name="Drop Down 113">
              <controlPr defaultSize="0" autoLine="0" autoPict="0">
                <anchor moveWithCells="1" sizeWithCells="1">
                  <from>
                    <xdr:col>5</xdr:col>
                    <xdr:colOff>0</xdr:colOff>
                    <xdr:row>28</xdr:row>
                    <xdr:rowOff>0</xdr:rowOff>
                  </from>
                  <to>
                    <xdr:col>6</xdr:col>
                    <xdr:colOff>0</xdr:colOff>
                    <xdr:row>29</xdr:row>
                    <xdr:rowOff>0</xdr:rowOff>
                  </to>
                </anchor>
              </controlPr>
            </control>
          </mc:Choice>
        </mc:AlternateContent>
        <mc:AlternateContent xmlns:mc="http://schemas.openxmlformats.org/markup-compatibility/2006">
          <mc:Choice Requires="x14">
            <control shapeId="20594" r:id="rId19" name="Drop Down 114">
              <controlPr defaultSize="0" autoLine="0" autoPict="0">
                <anchor moveWithCells="1" sizeWithCells="1">
                  <from>
                    <xdr:col>5</xdr:col>
                    <xdr:colOff>0</xdr:colOff>
                    <xdr:row>29</xdr:row>
                    <xdr:rowOff>0</xdr:rowOff>
                  </from>
                  <to>
                    <xdr:col>6</xdr:col>
                    <xdr:colOff>0</xdr:colOff>
                    <xdr:row>30</xdr:row>
                    <xdr:rowOff>0</xdr:rowOff>
                  </to>
                </anchor>
              </controlPr>
            </control>
          </mc:Choice>
        </mc:AlternateContent>
        <mc:AlternateContent xmlns:mc="http://schemas.openxmlformats.org/markup-compatibility/2006">
          <mc:Choice Requires="x14">
            <control shapeId="20596" r:id="rId20" name="Drop Down 116">
              <controlPr defaultSize="0" autoLine="0" autoPict="0">
                <anchor moveWithCells="1" sizeWithCells="1">
                  <from>
                    <xdr:col>8</xdr:col>
                    <xdr:colOff>0</xdr:colOff>
                    <xdr:row>73</xdr:row>
                    <xdr:rowOff>0</xdr:rowOff>
                  </from>
                  <to>
                    <xdr:col>9</xdr:col>
                    <xdr:colOff>0</xdr:colOff>
                    <xdr:row>74</xdr:row>
                    <xdr:rowOff>0</xdr:rowOff>
                  </to>
                </anchor>
              </controlPr>
            </control>
          </mc:Choice>
        </mc:AlternateContent>
        <mc:AlternateContent xmlns:mc="http://schemas.openxmlformats.org/markup-compatibility/2006">
          <mc:Choice Requires="x14">
            <control shapeId="20598" r:id="rId21" name="Drop Down 118">
              <controlPr defaultSize="0" autoLine="0" autoPict="0">
                <anchor moveWithCells="1" sizeWithCells="1">
                  <from>
                    <xdr:col>8</xdr:col>
                    <xdr:colOff>0</xdr:colOff>
                    <xdr:row>74</xdr:row>
                    <xdr:rowOff>0</xdr:rowOff>
                  </from>
                  <to>
                    <xdr:col>9</xdr:col>
                    <xdr:colOff>0</xdr:colOff>
                    <xdr:row>75</xdr:row>
                    <xdr:rowOff>0</xdr:rowOff>
                  </to>
                </anchor>
              </controlPr>
            </control>
          </mc:Choice>
        </mc:AlternateContent>
        <mc:AlternateContent xmlns:mc="http://schemas.openxmlformats.org/markup-compatibility/2006">
          <mc:Choice Requires="x14">
            <control shapeId="20599" r:id="rId22" name="Drop Down 119">
              <controlPr defaultSize="0" autoLine="0" autoPict="0">
                <anchor moveWithCells="1" sizeWithCells="1">
                  <from>
                    <xdr:col>8</xdr:col>
                    <xdr:colOff>0</xdr:colOff>
                    <xdr:row>75</xdr:row>
                    <xdr:rowOff>0</xdr:rowOff>
                  </from>
                  <to>
                    <xdr:col>9</xdr:col>
                    <xdr:colOff>0</xdr:colOff>
                    <xdr:row>76</xdr:row>
                    <xdr:rowOff>0</xdr:rowOff>
                  </to>
                </anchor>
              </controlPr>
            </control>
          </mc:Choice>
        </mc:AlternateContent>
        <mc:AlternateContent xmlns:mc="http://schemas.openxmlformats.org/markup-compatibility/2006">
          <mc:Choice Requires="x14">
            <control shapeId="20600" r:id="rId23" name="Drop Down 120">
              <controlPr defaultSize="0" autoLine="0" autoPict="0">
                <anchor moveWithCells="1" sizeWithCells="1">
                  <from>
                    <xdr:col>8</xdr:col>
                    <xdr:colOff>0</xdr:colOff>
                    <xdr:row>76</xdr:row>
                    <xdr:rowOff>0</xdr:rowOff>
                  </from>
                  <to>
                    <xdr:col>9</xdr:col>
                    <xdr:colOff>0</xdr:colOff>
                    <xdr:row>77</xdr:row>
                    <xdr:rowOff>0</xdr:rowOff>
                  </to>
                </anchor>
              </controlPr>
            </control>
          </mc:Choice>
        </mc:AlternateContent>
        <mc:AlternateContent xmlns:mc="http://schemas.openxmlformats.org/markup-compatibility/2006">
          <mc:Choice Requires="x14">
            <control shapeId="20601" r:id="rId24" name="Drop Down 121">
              <controlPr defaultSize="0" autoLine="0" autoPict="0">
                <anchor moveWithCells="1" sizeWithCells="1">
                  <from>
                    <xdr:col>8</xdr:col>
                    <xdr:colOff>0</xdr:colOff>
                    <xdr:row>77</xdr:row>
                    <xdr:rowOff>0</xdr:rowOff>
                  </from>
                  <to>
                    <xdr:col>9</xdr:col>
                    <xdr:colOff>0</xdr:colOff>
                    <xdr:row>78</xdr:row>
                    <xdr:rowOff>0</xdr:rowOff>
                  </to>
                </anchor>
              </controlPr>
            </control>
          </mc:Choice>
        </mc:AlternateContent>
        <mc:AlternateContent xmlns:mc="http://schemas.openxmlformats.org/markup-compatibility/2006">
          <mc:Choice Requires="x14">
            <control shapeId="20603" r:id="rId25" name="Drop Down 123">
              <controlPr defaultSize="0" autoLine="0" autoPict="0">
                <anchor moveWithCells="1" sizeWithCells="1">
                  <from>
                    <xdr:col>8</xdr:col>
                    <xdr:colOff>0</xdr:colOff>
                    <xdr:row>78</xdr:row>
                    <xdr:rowOff>0</xdr:rowOff>
                  </from>
                  <to>
                    <xdr:col>9</xdr:col>
                    <xdr:colOff>0</xdr:colOff>
                    <xdr:row>79</xdr:row>
                    <xdr:rowOff>0</xdr:rowOff>
                  </to>
                </anchor>
              </controlPr>
            </control>
          </mc:Choice>
        </mc:AlternateContent>
        <mc:AlternateContent xmlns:mc="http://schemas.openxmlformats.org/markup-compatibility/2006">
          <mc:Choice Requires="x14">
            <control shapeId="20604" r:id="rId26" name="Drop Down 124">
              <controlPr defaultSize="0" autoLine="0" autoPict="0">
                <anchor moveWithCells="1" sizeWithCells="1">
                  <from>
                    <xdr:col>8</xdr:col>
                    <xdr:colOff>0</xdr:colOff>
                    <xdr:row>79</xdr:row>
                    <xdr:rowOff>0</xdr:rowOff>
                  </from>
                  <to>
                    <xdr:col>9</xdr:col>
                    <xdr:colOff>0</xdr:colOff>
                    <xdr:row>80</xdr:row>
                    <xdr:rowOff>0</xdr:rowOff>
                  </to>
                </anchor>
              </controlPr>
            </control>
          </mc:Choice>
        </mc:AlternateContent>
        <mc:AlternateContent xmlns:mc="http://schemas.openxmlformats.org/markup-compatibility/2006">
          <mc:Choice Requires="x14">
            <control shapeId="20605" r:id="rId27" name="Drop Down 125">
              <controlPr defaultSize="0" autoLine="0" autoPict="0">
                <anchor moveWithCells="1" sizeWithCells="1">
                  <from>
                    <xdr:col>8</xdr:col>
                    <xdr:colOff>0</xdr:colOff>
                    <xdr:row>81</xdr:row>
                    <xdr:rowOff>0</xdr:rowOff>
                  </from>
                  <to>
                    <xdr:col>9</xdr:col>
                    <xdr:colOff>0</xdr:colOff>
                    <xdr:row>82</xdr:row>
                    <xdr:rowOff>0</xdr:rowOff>
                  </to>
                </anchor>
              </controlPr>
            </control>
          </mc:Choice>
        </mc:AlternateContent>
        <mc:AlternateContent xmlns:mc="http://schemas.openxmlformats.org/markup-compatibility/2006">
          <mc:Choice Requires="x14">
            <control shapeId="20613" r:id="rId28" name="Drop Down 133">
              <controlPr defaultSize="0" autoLine="0" autoPict="0">
                <anchor moveWithCells="1" sizeWithCells="1">
                  <from>
                    <xdr:col>2</xdr:col>
                    <xdr:colOff>0</xdr:colOff>
                    <xdr:row>50</xdr:row>
                    <xdr:rowOff>0</xdr:rowOff>
                  </from>
                  <to>
                    <xdr:col>4</xdr:col>
                    <xdr:colOff>0</xdr:colOff>
                    <xdr:row>51</xdr:row>
                    <xdr:rowOff>0</xdr:rowOff>
                  </to>
                </anchor>
              </controlPr>
            </control>
          </mc:Choice>
        </mc:AlternateContent>
        <mc:AlternateContent xmlns:mc="http://schemas.openxmlformats.org/markup-compatibility/2006">
          <mc:Choice Requires="x14">
            <control shapeId="20614" r:id="rId29" name="Drop Down 134">
              <controlPr defaultSize="0" autoLine="0" autoPict="0">
                <anchor moveWithCells="1" sizeWithCells="1">
                  <from>
                    <xdr:col>2</xdr:col>
                    <xdr:colOff>0</xdr:colOff>
                    <xdr:row>51</xdr:row>
                    <xdr:rowOff>0</xdr:rowOff>
                  </from>
                  <to>
                    <xdr:col>4</xdr:col>
                    <xdr:colOff>0</xdr:colOff>
                    <xdr:row>52</xdr:row>
                    <xdr:rowOff>0</xdr:rowOff>
                  </to>
                </anchor>
              </controlPr>
            </control>
          </mc:Choice>
        </mc:AlternateContent>
        <mc:AlternateContent xmlns:mc="http://schemas.openxmlformats.org/markup-compatibility/2006">
          <mc:Choice Requires="x14">
            <control shapeId="20615" r:id="rId30" name="Drop Down 135">
              <controlPr defaultSize="0" autoLine="0" autoPict="0">
                <anchor moveWithCells="1" sizeWithCells="1">
                  <from>
                    <xdr:col>2</xdr:col>
                    <xdr:colOff>0</xdr:colOff>
                    <xdr:row>52</xdr:row>
                    <xdr:rowOff>0</xdr:rowOff>
                  </from>
                  <to>
                    <xdr:col>4</xdr:col>
                    <xdr:colOff>0</xdr:colOff>
                    <xdr:row>53</xdr:row>
                    <xdr:rowOff>0</xdr:rowOff>
                  </to>
                </anchor>
              </controlPr>
            </control>
          </mc:Choice>
        </mc:AlternateContent>
        <mc:AlternateContent xmlns:mc="http://schemas.openxmlformats.org/markup-compatibility/2006">
          <mc:Choice Requires="x14">
            <control shapeId="20617" r:id="rId31" name="Drop Down 137">
              <controlPr defaultSize="0" autoLine="0" autoPict="0">
                <anchor moveWithCells="1" sizeWithCells="1">
                  <from>
                    <xdr:col>2</xdr:col>
                    <xdr:colOff>0</xdr:colOff>
                    <xdr:row>53</xdr:row>
                    <xdr:rowOff>0</xdr:rowOff>
                  </from>
                  <to>
                    <xdr:col>4</xdr:col>
                    <xdr:colOff>0</xdr:colOff>
                    <xdr:row>54</xdr:row>
                    <xdr:rowOff>0</xdr:rowOff>
                  </to>
                </anchor>
              </controlPr>
            </control>
          </mc:Choice>
        </mc:AlternateContent>
        <mc:AlternateContent xmlns:mc="http://schemas.openxmlformats.org/markup-compatibility/2006">
          <mc:Choice Requires="x14">
            <control shapeId="20618" r:id="rId32" name="Drop Down 138">
              <controlPr defaultSize="0" autoLine="0" autoPict="0">
                <anchor moveWithCells="1" sizeWithCells="1">
                  <from>
                    <xdr:col>2</xdr:col>
                    <xdr:colOff>0</xdr:colOff>
                    <xdr:row>54</xdr:row>
                    <xdr:rowOff>0</xdr:rowOff>
                  </from>
                  <to>
                    <xdr:col>4</xdr:col>
                    <xdr:colOff>0</xdr:colOff>
                    <xdr:row>55</xdr:row>
                    <xdr:rowOff>0</xdr:rowOff>
                  </to>
                </anchor>
              </controlPr>
            </control>
          </mc:Choice>
        </mc:AlternateContent>
        <mc:AlternateContent xmlns:mc="http://schemas.openxmlformats.org/markup-compatibility/2006">
          <mc:Choice Requires="x14">
            <control shapeId="20619" r:id="rId33" name="Drop Down 139">
              <controlPr defaultSize="0" autoLine="0" autoPict="0">
                <anchor moveWithCells="1" sizeWithCells="1">
                  <from>
                    <xdr:col>2</xdr:col>
                    <xdr:colOff>0</xdr:colOff>
                    <xdr:row>55</xdr:row>
                    <xdr:rowOff>0</xdr:rowOff>
                  </from>
                  <to>
                    <xdr:col>4</xdr:col>
                    <xdr:colOff>0</xdr:colOff>
                    <xdr:row>56</xdr:row>
                    <xdr:rowOff>0</xdr:rowOff>
                  </to>
                </anchor>
              </controlPr>
            </control>
          </mc:Choice>
        </mc:AlternateContent>
        <mc:AlternateContent xmlns:mc="http://schemas.openxmlformats.org/markup-compatibility/2006">
          <mc:Choice Requires="x14">
            <control shapeId="20620" r:id="rId34" name="Drop Down 140">
              <controlPr defaultSize="0" autoLine="0" autoPict="0">
                <anchor moveWithCells="1" sizeWithCells="1">
                  <from>
                    <xdr:col>2</xdr:col>
                    <xdr:colOff>0</xdr:colOff>
                    <xdr:row>56</xdr:row>
                    <xdr:rowOff>0</xdr:rowOff>
                  </from>
                  <to>
                    <xdr:col>4</xdr:col>
                    <xdr:colOff>0</xdr:colOff>
                    <xdr:row>57</xdr:row>
                    <xdr:rowOff>0</xdr:rowOff>
                  </to>
                </anchor>
              </controlPr>
            </control>
          </mc:Choice>
        </mc:AlternateContent>
        <mc:AlternateContent xmlns:mc="http://schemas.openxmlformats.org/markup-compatibility/2006">
          <mc:Choice Requires="x14">
            <control shapeId="20622" r:id="rId35" name="Drop Down 142">
              <controlPr defaultSize="0" autoLine="0" autoPict="0">
                <anchor moveWithCells="1" sizeWithCells="1">
                  <from>
                    <xdr:col>2</xdr:col>
                    <xdr:colOff>0</xdr:colOff>
                    <xdr:row>57</xdr:row>
                    <xdr:rowOff>0</xdr:rowOff>
                  </from>
                  <to>
                    <xdr:col>4</xdr:col>
                    <xdr:colOff>0</xdr:colOff>
                    <xdr:row>58</xdr:row>
                    <xdr:rowOff>0</xdr:rowOff>
                  </to>
                </anchor>
              </controlPr>
            </control>
          </mc:Choice>
        </mc:AlternateContent>
        <mc:AlternateContent xmlns:mc="http://schemas.openxmlformats.org/markup-compatibility/2006">
          <mc:Choice Requires="x14">
            <control shapeId="20623" r:id="rId36" name="Drop Down 143">
              <controlPr defaultSize="0" autoLine="0" autoPict="0">
                <anchor moveWithCells="1" sizeWithCells="1">
                  <from>
                    <xdr:col>2</xdr:col>
                    <xdr:colOff>0</xdr:colOff>
                    <xdr:row>58</xdr:row>
                    <xdr:rowOff>0</xdr:rowOff>
                  </from>
                  <to>
                    <xdr:col>4</xdr:col>
                    <xdr:colOff>0</xdr:colOff>
                    <xdr:row>59</xdr:row>
                    <xdr:rowOff>0</xdr:rowOff>
                  </to>
                </anchor>
              </controlPr>
            </control>
          </mc:Choice>
        </mc:AlternateContent>
        <mc:AlternateContent xmlns:mc="http://schemas.openxmlformats.org/markup-compatibility/2006">
          <mc:Choice Requires="x14">
            <control shapeId="20624" r:id="rId37" name="Drop Down 144">
              <controlPr defaultSize="0" autoLine="0" autoPict="0">
                <anchor moveWithCells="1" sizeWithCells="1">
                  <from>
                    <xdr:col>2</xdr:col>
                    <xdr:colOff>0</xdr:colOff>
                    <xdr:row>59</xdr:row>
                    <xdr:rowOff>0</xdr:rowOff>
                  </from>
                  <to>
                    <xdr:col>4</xdr:col>
                    <xdr:colOff>0</xdr:colOff>
                    <xdr:row>60</xdr:row>
                    <xdr:rowOff>0</xdr:rowOff>
                  </to>
                </anchor>
              </controlPr>
            </control>
          </mc:Choice>
        </mc:AlternateContent>
        <mc:AlternateContent xmlns:mc="http://schemas.openxmlformats.org/markup-compatibility/2006">
          <mc:Choice Requires="x14">
            <control shapeId="20626" r:id="rId38" name="Drop Down 146">
              <controlPr defaultSize="0" autoLine="0" autoPict="0">
                <anchor moveWithCells="1" sizeWithCells="1">
                  <from>
                    <xdr:col>2</xdr:col>
                    <xdr:colOff>0</xdr:colOff>
                    <xdr:row>60</xdr:row>
                    <xdr:rowOff>0</xdr:rowOff>
                  </from>
                  <to>
                    <xdr:col>4</xdr:col>
                    <xdr:colOff>0</xdr:colOff>
                    <xdr:row>61</xdr:row>
                    <xdr:rowOff>0</xdr:rowOff>
                  </to>
                </anchor>
              </controlPr>
            </control>
          </mc:Choice>
        </mc:AlternateContent>
        <mc:AlternateContent xmlns:mc="http://schemas.openxmlformats.org/markup-compatibility/2006">
          <mc:Choice Requires="x14">
            <control shapeId="20627" r:id="rId39" name="Drop Down 147">
              <controlPr defaultSize="0" autoLine="0" autoPict="0">
                <anchor moveWithCells="1" sizeWithCells="1">
                  <from>
                    <xdr:col>2</xdr:col>
                    <xdr:colOff>0</xdr:colOff>
                    <xdr:row>61</xdr:row>
                    <xdr:rowOff>0</xdr:rowOff>
                  </from>
                  <to>
                    <xdr:col>4</xdr:col>
                    <xdr:colOff>0</xdr:colOff>
                    <xdr:row>62</xdr:row>
                    <xdr:rowOff>0</xdr:rowOff>
                  </to>
                </anchor>
              </controlPr>
            </control>
          </mc:Choice>
        </mc:AlternateContent>
        <mc:AlternateContent xmlns:mc="http://schemas.openxmlformats.org/markup-compatibility/2006">
          <mc:Choice Requires="x14">
            <control shapeId="20628" r:id="rId40" name="Drop Down 148">
              <controlPr defaultSize="0" autoLine="0" autoPict="0">
                <anchor moveWithCells="1" sizeWithCells="1">
                  <from>
                    <xdr:col>2</xdr:col>
                    <xdr:colOff>0</xdr:colOff>
                    <xdr:row>62</xdr:row>
                    <xdr:rowOff>0</xdr:rowOff>
                  </from>
                  <to>
                    <xdr:col>4</xdr:col>
                    <xdr:colOff>0</xdr:colOff>
                    <xdr:row>63</xdr:row>
                    <xdr:rowOff>0</xdr:rowOff>
                  </to>
                </anchor>
              </controlPr>
            </control>
          </mc:Choice>
        </mc:AlternateContent>
        <mc:AlternateContent xmlns:mc="http://schemas.openxmlformats.org/markup-compatibility/2006">
          <mc:Choice Requires="x14">
            <control shapeId="20629" r:id="rId41" name="Drop Down 149">
              <controlPr defaultSize="0" autoLine="0" autoPict="0">
                <anchor moveWithCells="1" sizeWithCells="1">
                  <from>
                    <xdr:col>2</xdr:col>
                    <xdr:colOff>0</xdr:colOff>
                    <xdr:row>63</xdr:row>
                    <xdr:rowOff>0</xdr:rowOff>
                  </from>
                  <to>
                    <xdr:col>4</xdr:col>
                    <xdr:colOff>0</xdr:colOff>
                    <xdr:row>64</xdr:row>
                    <xdr:rowOff>0</xdr:rowOff>
                  </to>
                </anchor>
              </controlPr>
            </control>
          </mc:Choice>
        </mc:AlternateContent>
        <mc:AlternateContent xmlns:mc="http://schemas.openxmlformats.org/markup-compatibility/2006">
          <mc:Choice Requires="x14">
            <control shapeId="20631" r:id="rId42" name="Drop Down 151">
              <controlPr defaultSize="0" autoLine="0" autoPict="0">
                <anchor moveWithCells="1" sizeWithCells="1">
                  <from>
                    <xdr:col>2</xdr:col>
                    <xdr:colOff>0</xdr:colOff>
                    <xdr:row>69</xdr:row>
                    <xdr:rowOff>0</xdr:rowOff>
                  </from>
                  <to>
                    <xdr:col>4</xdr:col>
                    <xdr:colOff>0</xdr:colOff>
                    <xdr:row>70</xdr:row>
                    <xdr:rowOff>0</xdr:rowOff>
                  </to>
                </anchor>
              </controlPr>
            </control>
          </mc:Choice>
        </mc:AlternateContent>
        <mc:AlternateContent xmlns:mc="http://schemas.openxmlformats.org/markup-compatibility/2006">
          <mc:Choice Requires="x14">
            <control shapeId="20636" r:id="rId43" name="Drop Down 156">
              <controlPr defaultSize="0" autoLine="0" autoPict="0">
                <anchor moveWithCells="1" sizeWithCells="1">
                  <from>
                    <xdr:col>5</xdr:col>
                    <xdr:colOff>0</xdr:colOff>
                    <xdr:row>50</xdr:row>
                    <xdr:rowOff>0</xdr:rowOff>
                  </from>
                  <to>
                    <xdr:col>6</xdr:col>
                    <xdr:colOff>0</xdr:colOff>
                    <xdr:row>51</xdr:row>
                    <xdr:rowOff>0</xdr:rowOff>
                  </to>
                </anchor>
              </controlPr>
            </control>
          </mc:Choice>
        </mc:AlternateContent>
        <mc:AlternateContent xmlns:mc="http://schemas.openxmlformats.org/markup-compatibility/2006">
          <mc:Choice Requires="x14">
            <control shapeId="20637" r:id="rId44" name="Drop Down 157">
              <controlPr defaultSize="0" autoLine="0" autoPict="0">
                <anchor moveWithCells="1" sizeWithCells="1">
                  <from>
                    <xdr:col>5</xdr:col>
                    <xdr:colOff>0</xdr:colOff>
                    <xdr:row>51</xdr:row>
                    <xdr:rowOff>0</xdr:rowOff>
                  </from>
                  <to>
                    <xdr:col>6</xdr:col>
                    <xdr:colOff>0</xdr:colOff>
                    <xdr:row>52</xdr:row>
                    <xdr:rowOff>0</xdr:rowOff>
                  </to>
                </anchor>
              </controlPr>
            </control>
          </mc:Choice>
        </mc:AlternateContent>
        <mc:AlternateContent xmlns:mc="http://schemas.openxmlformats.org/markup-compatibility/2006">
          <mc:Choice Requires="x14">
            <control shapeId="20638" r:id="rId45" name="Drop Down 158">
              <controlPr defaultSize="0" autoLine="0" autoPict="0">
                <anchor moveWithCells="1" sizeWithCells="1">
                  <from>
                    <xdr:col>5</xdr:col>
                    <xdr:colOff>0</xdr:colOff>
                    <xdr:row>52</xdr:row>
                    <xdr:rowOff>0</xdr:rowOff>
                  </from>
                  <to>
                    <xdr:col>6</xdr:col>
                    <xdr:colOff>0</xdr:colOff>
                    <xdr:row>53</xdr:row>
                    <xdr:rowOff>0</xdr:rowOff>
                  </to>
                </anchor>
              </controlPr>
            </control>
          </mc:Choice>
        </mc:AlternateContent>
        <mc:AlternateContent xmlns:mc="http://schemas.openxmlformats.org/markup-compatibility/2006">
          <mc:Choice Requires="x14">
            <control shapeId="20640" r:id="rId46" name="Drop Down 160">
              <controlPr defaultSize="0" autoLine="0" autoPict="0">
                <anchor moveWithCells="1" sizeWithCells="1">
                  <from>
                    <xdr:col>5</xdr:col>
                    <xdr:colOff>0</xdr:colOff>
                    <xdr:row>53</xdr:row>
                    <xdr:rowOff>0</xdr:rowOff>
                  </from>
                  <to>
                    <xdr:col>6</xdr:col>
                    <xdr:colOff>0</xdr:colOff>
                    <xdr:row>54</xdr:row>
                    <xdr:rowOff>0</xdr:rowOff>
                  </to>
                </anchor>
              </controlPr>
            </control>
          </mc:Choice>
        </mc:AlternateContent>
        <mc:AlternateContent xmlns:mc="http://schemas.openxmlformats.org/markup-compatibility/2006">
          <mc:Choice Requires="x14">
            <control shapeId="20642" r:id="rId47" name="Drop Down 162">
              <controlPr defaultSize="0" autoLine="0" autoPict="0">
                <anchor moveWithCells="1" sizeWithCells="1">
                  <from>
                    <xdr:col>5</xdr:col>
                    <xdr:colOff>0</xdr:colOff>
                    <xdr:row>54</xdr:row>
                    <xdr:rowOff>0</xdr:rowOff>
                  </from>
                  <to>
                    <xdr:col>6</xdr:col>
                    <xdr:colOff>0</xdr:colOff>
                    <xdr:row>55</xdr:row>
                    <xdr:rowOff>0</xdr:rowOff>
                  </to>
                </anchor>
              </controlPr>
            </control>
          </mc:Choice>
        </mc:AlternateContent>
        <mc:AlternateContent xmlns:mc="http://schemas.openxmlformats.org/markup-compatibility/2006">
          <mc:Choice Requires="x14">
            <control shapeId="20644" r:id="rId48" name="Drop Down 164">
              <controlPr defaultSize="0" autoLine="0" autoPict="0">
                <anchor moveWithCells="1" sizeWithCells="1">
                  <from>
                    <xdr:col>5</xdr:col>
                    <xdr:colOff>0</xdr:colOff>
                    <xdr:row>55</xdr:row>
                    <xdr:rowOff>0</xdr:rowOff>
                  </from>
                  <to>
                    <xdr:col>6</xdr:col>
                    <xdr:colOff>0</xdr:colOff>
                    <xdr:row>56</xdr:row>
                    <xdr:rowOff>0</xdr:rowOff>
                  </to>
                </anchor>
              </controlPr>
            </control>
          </mc:Choice>
        </mc:AlternateContent>
        <mc:AlternateContent xmlns:mc="http://schemas.openxmlformats.org/markup-compatibility/2006">
          <mc:Choice Requires="x14">
            <control shapeId="20646" r:id="rId49" name="Drop Down 166">
              <controlPr defaultSize="0" autoLine="0" autoPict="0">
                <anchor moveWithCells="1" sizeWithCells="1">
                  <from>
                    <xdr:col>5</xdr:col>
                    <xdr:colOff>0</xdr:colOff>
                    <xdr:row>56</xdr:row>
                    <xdr:rowOff>0</xdr:rowOff>
                  </from>
                  <to>
                    <xdr:col>6</xdr:col>
                    <xdr:colOff>0</xdr:colOff>
                    <xdr:row>57</xdr:row>
                    <xdr:rowOff>0</xdr:rowOff>
                  </to>
                </anchor>
              </controlPr>
            </control>
          </mc:Choice>
        </mc:AlternateContent>
        <mc:AlternateContent xmlns:mc="http://schemas.openxmlformats.org/markup-compatibility/2006">
          <mc:Choice Requires="x14">
            <control shapeId="20647" r:id="rId50" name="Drop Down 167">
              <controlPr defaultSize="0" autoLine="0" autoPict="0">
                <anchor moveWithCells="1" sizeWithCells="1">
                  <from>
                    <xdr:col>5</xdr:col>
                    <xdr:colOff>0</xdr:colOff>
                    <xdr:row>57</xdr:row>
                    <xdr:rowOff>0</xdr:rowOff>
                  </from>
                  <to>
                    <xdr:col>6</xdr:col>
                    <xdr:colOff>0</xdr:colOff>
                    <xdr:row>58</xdr:row>
                    <xdr:rowOff>0</xdr:rowOff>
                  </to>
                </anchor>
              </controlPr>
            </control>
          </mc:Choice>
        </mc:AlternateContent>
        <mc:AlternateContent xmlns:mc="http://schemas.openxmlformats.org/markup-compatibility/2006">
          <mc:Choice Requires="x14">
            <control shapeId="20649" r:id="rId51" name="Drop Down 169">
              <controlPr defaultSize="0" autoLine="0" autoPict="0">
                <anchor moveWithCells="1" sizeWithCells="1">
                  <from>
                    <xdr:col>5</xdr:col>
                    <xdr:colOff>0</xdr:colOff>
                    <xdr:row>58</xdr:row>
                    <xdr:rowOff>0</xdr:rowOff>
                  </from>
                  <to>
                    <xdr:col>6</xdr:col>
                    <xdr:colOff>0</xdr:colOff>
                    <xdr:row>59</xdr:row>
                    <xdr:rowOff>0</xdr:rowOff>
                  </to>
                </anchor>
              </controlPr>
            </control>
          </mc:Choice>
        </mc:AlternateContent>
        <mc:AlternateContent xmlns:mc="http://schemas.openxmlformats.org/markup-compatibility/2006">
          <mc:Choice Requires="x14">
            <control shapeId="20651" r:id="rId52" name="Drop Down 171">
              <controlPr defaultSize="0" autoLine="0" autoPict="0">
                <anchor moveWithCells="1" sizeWithCells="1">
                  <from>
                    <xdr:col>5</xdr:col>
                    <xdr:colOff>0</xdr:colOff>
                    <xdr:row>59</xdr:row>
                    <xdr:rowOff>0</xdr:rowOff>
                  </from>
                  <to>
                    <xdr:col>6</xdr:col>
                    <xdr:colOff>0</xdr:colOff>
                    <xdr:row>60</xdr:row>
                    <xdr:rowOff>0</xdr:rowOff>
                  </to>
                </anchor>
              </controlPr>
            </control>
          </mc:Choice>
        </mc:AlternateContent>
        <mc:AlternateContent xmlns:mc="http://schemas.openxmlformats.org/markup-compatibility/2006">
          <mc:Choice Requires="x14">
            <control shapeId="20652" r:id="rId53" name="Drop Down 172">
              <controlPr defaultSize="0" autoLine="0" autoPict="0">
                <anchor moveWithCells="1" sizeWithCells="1">
                  <from>
                    <xdr:col>5</xdr:col>
                    <xdr:colOff>0</xdr:colOff>
                    <xdr:row>60</xdr:row>
                    <xdr:rowOff>0</xdr:rowOff>
                  </from>
                  <to>
                    <xdr:col>6</xdr:col>
                    <xdr:colOff>0</xdr:colOff>
                    <xdr:row>61</xdr:row>
                    <xdr:rowOff>0</xdr:rowOff>
                  </to>
                </anchor>
              </controlPr>
            </control>
          </mc:Choice>
        </mc:AlternateContent>
        <mc:AlternateContent xmlns:mc="http://schemas.openxmlformats.org/markup-compatibility/2006">
          <mc:Choice Requires="x14">
            <control shapeId="20653" r:id="rId54" name="Drop Down 173">
              <controlPr defaultSize="0" autoLine="0" autoPict="0">
                <anchor moveWithCells="1" sizeWithCells="1">
                  <from>
                    <xdr:col>5</xdr:col>
                    <xdr:colOff>0</xdr:colOff>
                    <xdr:row>61</xdr:row>
                    <xdr:rowOff>0</xdr:rowOff>
                  </from>
                  <to>
                    <xdr:col>6</xdr:col>
                    <xdr:colOff>0</xdr:colOff>
                    <xdr:row>62</xdr:row>
                    <xdr:rowOff>0</xdr:rowOff>
                  </to>
                </anchor>
              </controlPr>
            </control>
          </mc:Choice>
        </mc:AlternateContent>
        <mc:AlternateContent xmlns:mc="http://schemas.openxmlformats.org/markup-compatibility/2006">
          <mc:Choice Requires="x14">
            <control shapeId="20654" r:id="rId55" name="Drop Down 174">
              <controlPr defaultSize="0" autoLine="0" autoPict="0">
                <anchor moveWithCells="1" sizeWithCells="1">
                  <from>
                    <xdr:col>5</xdr:col>
                    <xdr:colOff>0</xdr:colOff>
                    <xdr:row>62</xdr:row>
                    <xdr:rowOff>0</xdr:rowOff>
                  </from>
                  <to>
                    <xdr:col>6</xdr:col>
                    <xdr:colOff>0</xdr:colOff>
                    <xdr:row>63</xdr:row>
                    <xdr:rowOff>0</xdr:rowOff>
                  </to>
                </anchor>
              </controlPr>
            </control>
          </mc:Choice>
        </mc:AlternateContent>
        <mc:AlternateContent xmlns:mc="http://schemas.openxmlformats.org/markup-compatibility/2006">
          <mc:Choice Requires="x14">
            <control shapeId="20655" r:id="rId56" name="Drop Down 175">
              <controlPr defaultSize="0" autoLine="0" autoPict="0">
                <anchor moveWithCells="1" sizeWithCells="1">
                  <from>
                    <xdr:col>5</xdr:col>
                    <xdr:colOff>0</xdr:colOff>
                    <xdr:row>63</xdr:row>
                    <xdr:rowOff>0</xdr:rowOff>
                  </from>
                  <to>
                    <xdr:col>6</xdr:col>
                    <xdr:colOff>0</xdr:colOff>
                    <xdr:row>64</xdr:row>
                    <xdr:rowOff>0</xdr:rowOff>
                  </to>
                </anchor>
              </controlPr>
            </control>
          </mc:Choice>
        </mc:AlternateContent>
        <mc:AlternateContent xmlns:mc="http://schemas.openxmlformats.org/markup-compatibility/2006">
          <mc:Choice Requires="x14">
            <control shapeId="20656" r:id="rId57" name="Drop Down 176">
              <controlPr defaultSize="0" autoLine="0" autoPict="0">
                <anchor moveWithCells="1" sizeWithCells="1">
                  <from>
                    <xdr:col>5</xdr:col>
                    <xdr:colOff>0</xdr:colOff>
                    <xdr:row>69</xdr:row>
                    <xdr:rowOff>0</xdr:rowOff>
                  </from>
                  <to>
                    <xdr:col>6</xdr:col>
                    <xdr:colOff>0</xdr:colOff>
                    <xdr:row>70</xdr:row>
                    <xdr:rowOff>0</xdr:rowOff>
                  </to>
                </anchor>
              </controlPr>
            </control>
          </mc:Choice>
        </mc:AlternateContent>
        <mc:AlternateContent xmlns:mc="http://schemas.openxmlformats.org/markup-compatibility/2006">
          <mc:Choice Requires="x14">
            <control shapeId="20657" r:id="rId58" name="Drop Down 177">
              <controlPr defaultSize="0" autoLine="0" autoPict="0">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20658" r:id="rId59" name="Drop Down 178">
              <controlPr defaultSize="0" autoLine="0" autoPict="0">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20660" r:id="rId60" name="Drop Down 180">
              <controlPr defaultSize="0" autoLine="0" autoPict="0">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20662" r:id="rId61" name="Drop Down 182">
              <controlPr defaultSize="0" autoLine="0" autoPict="0">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20663" r:id="rId62" name="Drop Down 183">
              <controlPr defaultSize="0" autoLine="0" autoPict="0">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20664" r:id="rId63" name="Drop Down 184">
              <controlPr defaultSize="0" autoLine="0" autoPict="0">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20665" r:id="rId64" name="Drop Down 185">
              <controlPr defaultSize="0" autoLine="0" autoPict="0">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20666" r:id="rId65" name="Drop Down 186">
              <controlPr defaultSize="0" autoLine="0" autoPict="0">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20667" r:id="rId66" name="Drop Down 187">
              <controlPr defaultSize="0" autoLine="0" autoPict="0">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20668" r:id="rId67" name="Drop Down 188">
              <controlPr defaultSize="0" autoLine="0" autoPict="0">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20669" r:id="rId68" name="Drop Down 189">
              <controlPr defaultSize="0" autoLine="0" autoPict="0">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20671" r:id="rId69" name="Drop Down 191">
              <controlPr defaultSize="0" autoLine="0" autoPict="0">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20672" r:id="rId70" name="Drop Down 192">
              <controlPr defaultSize="0" autoLine="0" autoPict="0">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20673" r:id="rId71" name="Drop Down 193">
              <controlPr defaultSize="0" autoLine="0" autoPict="0">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20675" r:id="rId72" name="Drop Down 195">
              <controlPr defaultSize="0" autoLine="0" autoPict="0">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20688" r:id="rId73" name="Drop Down 208">
              <controlPr defaultSize="0" autoLine="0" autoPict="0">
                <anchor moveWithCells="1" sizeWithCells="1">
                  <from>
                    <xdr:col>8</xdr:col>
                    <xdr:colOff>0</xdr:colOff>
                    <xdr:row>80</xdr:row>
                    <xdr:rowOff>0</xdr:rowOff>
                  </from>
                  <to>
                    <xdr:col>9</xdr:col>
                    <xdr:colOff>0</xdr:colOff>
                    <xdr:row>81</xdr:row>
                    <xdr:rowOff>0</xdr:rowOff>
                  </to>
                </anchor>
              </controlPr>
            </control>
          </mc:Choice>
        </mc:AlternateContent>
        <mc:AlternateContent xmlns:mc="http://schemas.openxmlformats.org/markup-compatibility/2006">
          <mc:Choice Requires="x14">
            <control shapeId="20762" r:id="rId74" name="Drop Down 282">
              <controlPr defaultSize="0" autoLine="0" autoPict="0">
                <anchor moveWithCells="1" sizeWithCells="1">
                  <from>
                    <xdr:col>2</xdr:col>
                    <xdr:colOff>0</xdr:colOff>
                    <xdr:row>64</xdr:row>
                    <xdr:rowOff>0</xdr:rowOff>
                  </from>
                  <to>
                    <xdr:col>4</xdr:col>
                    <xdr:colOff>0</xdr:colOff>
                    <xdr:row>65</xdr:row>
                    <xdr:rowOff>0</xdr:rowOff>
                  </to>
                </anchor>
              </controlPr>
            </control>
          </mc:Choice>
        </mc:AlternateContent>
        <mc:AlternateContent xmlns:mc="http://schemas.openxmlformats.org/markup-compatibility/2006">
          <mc:Choice Requires="x14">
            <control shapeId="20763" r:id="rId75" name="Drop Down 283">
              <controlPr defaultSize="0" autoLine="0" autoPict="0">
                <anchor moveWithCells="1" sizeWithCells="1">
                  <from>
                    <xdr:col>2</xdr:col>
                    <xdr:colOff>0</xdr:colOff>
                    <xdr:row>65</xdr:row>
                    <xdr:rowOff>0</xdr:rowOff>
                  </from>
                  <to>
                    <xdr:col>4</xdr:col>
                    <xdr:colOff>0</xdr:colOff>
                    <xdr:row>66</xdr:row>
                    <xdr:rowOff>0</xdr:rowOff>
                  </to>
                </anchor>
              </controlPr>
            </control>
          </mc:Choice>
        </mc:AlternateContent>
        <mc:AlternateContent xmlns:mc="http://schemas.openxmlformats.org/markup-compatibility/2006">
          <mc:Choice Requires="x14">
            <control shapeId="20764" r:id="rId76" name="Drop Down 284">
              <controlPr defaultSize="0" autoLine="0" autoPict="0">
                <anchor moveWithCells="1" sizeWithCells="1">
                  <from>
                    <xdr:col>5</xdr:col>
                    <xdr:colOff>0</xdr:colOff>
                    <xdr:row>64</xdr:row>
                    <xdr:rowOff>0</xdr:rowOff>
                  </from>
                  <to>
                    <xdr:col>6</xdr:col>
                    <xdr:colOff>0</xdr:colOff>
                    <xdr:row>65</xdr:row>
                    <xdr:rowOff>0</xdr:rowOff>
                  </to>
                </anchor>
              </controlPr>
            </control>
          </mc:Choice>
        </mc:AlternateContent>
        <mc:AlternateContent xmlns:mc="http://schemas.openxmlformats.org/markup-compatibility/2006">
          <mc:Choice Requires="x14">
            <control shapeId="20765" r:id="rId77" name="Drop Down 285">
              <controlPr defaultSize="0" autoLine="0" autoPict="0">
                <anchor moveWithCells="1" sizeWithCells="1">
                  <from>
                    <xdr:col>5</xdr:col>
                    <xdr:colOff>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20766" r:id="rId78" name="Drop Down 286">
              <controlPr defaultSize="0" autoLine="0" autoPict="0">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20767" r:id="rId79" name="Drop Down 287">
              <controlPr defaultSize="0" autoLine="0" autoPict="0">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20768" r:id="rId80" name="Drop Down 288">
              <controlPr defaultSize="0" autoLine="0" autoPict="0">
                <anchor moveWithCells="1" sizeWithCells="1">
                  <from>
                    <xdr:col>2</xdr:col>
                    <xdr:colOff>0</xdr:colOff>
                    <xdr:row>66</xdr:row>
                    <xdr:rowOff>0</xdr:rowOff>
                  </from>
                  <to>
                    <xdr:col>4</xdr:col>
                    <xdr:colOff>0</xdr:colOff>
                    <xdr:row>67</xdr:row>
                    <xdr:rowOff>0</xdr:rowOff>
                  </to>
                </anchor>
              </controlPr>
            </control>
          </mc:Choice>
        </mc:AlternateContent>
        <mc:AlternateContent xmlns:mc="http://schemas.openxmlformats.org/markup-compatibility/2006">
          <mc:Choice Requires="x14">
            <control shapeId="20769" r:id="rId81" name="Drop Down 289">
              <controlPr defaultSize="0" autoLine="0" autoPict="0">
                <anchor moveWithCells="1" sizeWithCells="1">
                  <from>
                    <xdr:col>2</xdr:col>
                    <xdr:colOff>0</xdr:colOff>
                    <xdr:row>67</xdr:row>
                    <xdr:rowOff>0</xdr:rowOff>
                  </from>
                  <to>
                    <xdr:col>4</xdr:col>
                    <xdr:colOff>0</xdr:colOff>
                    <xdr:row>68</xdr:row>
                    <xdr:rowOff>0</xdr:rowOff>
                  </to>
                </anchor>
              </controlPr>
            </control>
          </mc:Choice>
        </mc:AlternateContent>
        <mc:AlternateContent xmlns:mc="http://schemas.openxmlformats.org/markup-compatibility/2006">
          <mc:Choice Requires="x14">
            <control shapeId="20770" r:id="rId82" name="Drop Down 290">
              <controlPr defaultSize="0" autoLine="0" autoPict="0">
                <anchor moveWithCells="1" sizeWithCells="1">
                  <from>
                    <xdr:col>5</xdr:col>
                    <xdr:colOff>0</xdr:colOff>
                    <xdr:row>66</xdr:row>
                    <xdr:rowOff>0</xdr:rowOff>
                  </from>
                  <to>
                    <xdr:col>6</xdr:col>
                    <xdr:colOff>0</xdr:colOff>
                    <xdr:row>67</xdr:row>
                    <xdr:rowOff>0</xdr:rowOff>
                  </to>
                </anchor>
              </controlPr>
            </control>
          </mc:Choice>
        </mc:AlternateContent>
        <mc:AlternateContent xmlns:mc="http://schemas.openxmlformats.org/markup-compatibility/2006">
          <mc:Choice Requires="x14">
            <control shapeId="20771" r:id="rId83" name="Drop Down 291">
              <controlPr defaultSize="0" autoLine="0" autoPict="0">
                <anchor moveWithCells="1" sizeWithCells="1">
                  <from>
                    <xdr:col>5</xdr:col>
                    <xdr:colOff>0</xdr:colOff>
                    <xdr:row>67</xdr:row>
                    <xdr:rowOff>0</xdr:rowOff>
                  </from>
                  <to>
                    <xdr:col>6</xdr:col>
                    <xdr:colOff>0</xdr:colOff>
                    <xdr:row>68</xdr:row>
                    <xdr:rowOff>0</xdr:rowOff>
                  </to>
                </anchor>
              </controlPr>
            </control>
          </mc:Choice>
        </mc:AlternateContent>
        <mc:AlternateContent xmlns:mc="http://schemas.openxmlformats.org/markup-compatibility/2006">
          <mc:Choice Requires="x14">
            <control shapeId="20772" r:id="rId84" name="Drop Down 292">
              <controlPr defaultSize="0" autoLine="0" autoPict="0">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20773" r:id="rId85" name="Drop Down 293">
              <controlPr defaultSize="0" autoLine="0" autoPict="0">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20774" r:id="rId86" name="Drop Down 294">
              <controlPr defaultSize="0" autoLine="0" autoPict="0">
                <anchor moveWithCells="1" sizeWithCells="1">
                  <from>
                    <xdr:col>2</xdr:col>
                    <xdr:colOff>0</xdr:colOff>
                    <xdr:row>68</xdr:row>
                    <xdr:rowOff>0</xdr:rowOff>
                  </from>
                  <to>
                    <xdr:col>4</xdr:col>
                    <xdr:colOff>0</xdr:colOff>
                    <xdr:row>69</xdr:row>
                    <xdr:rowOff>0</xdr:rowOff>
                  </to>
                </anchor>
              </controlPr>
            </control>
          </mc:Choice>
        </mc:AlternateContent>
        <mc:AlternateContent xmlns:mc="http://schemas.openxmlformats.org/markup-compatibility/2006">
          <mc:Choice Requires="x14">
            <control shapeId="20775" r:id="rId87" name="Drop Down 295">
              <controlPr defaultSize="0" autoLine="0" autoPict="0">
                <anchor moveWithCells="1" sizeWithCells="1">
                  <from>
                    <xdr:col>5</xdr:col>
                    <xdr:colOff>0</xdr:colOff>
                    <xdr:row>68</xdr:row>
                    <xdr:rowOff>0</xdr:rowOff>
                  </from>
                  <to>
                    <xdr:col>6</xdr:col>
                    <xdr:colOff>0</xdr:colOff>
                    <xdr:row>69</xdr:row>
                    <xdr:rowOff>0</xdr:rowOff>
                  </to>
                </anchor>
              </controlPr>
            </control>
          </mc:Choice>
        </mc:AlternateContent>
        <mc:AlternateContent xmlns:mc="http://schemas.openxmlformats.org/markup-compatibility/2006">
          <mc:Choice Requires="x14">
            <control shapeId="20776" r:id="rId88" name="Drop Down 296">
              <controlPr defaultSize="0" autoLine="0" autoPict="0">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20780" r:id="rId89" name="Drop Down 300">
              <controlPr defaultSize="0" autoLine="0" autoPict="0">
                <anchor moveWithCells="1" sizeWithCells="1">
                  <from>
                    <xdr:col>4</xdr:col>
                    <xdr:colOff>0</xdr:colOff>
                    <xdr:row>36</xdr:row>
                    <xdr:rowOff>0</xdr:rowOff>
                  </from>
                  <to>
                    <xdr:col>5</xdr:col>
                    <xdr:colOff>0</xdr:colOff>
                    <xdr:row>37</xdr:row>
                    <xdr:rowOff>0</xdr:rowOff>
                  </to>
                </anchor>
              </controlPr>
            </control>
          </mc:Choice>
        </mc:AlternateContent>
        <mc:AlternateContent xmlns:mc="http://schemas.openxmlformats.org/markup-compatibility/2006">
          <mc:Choice Requires="x14">
            <control shapeId="20781" r:id="rId90" name="Drop Down 301">
              <controlPr defaultSize="0" autoLine="0" autoPict="0">
                <anchor moveWithCells="1" sizeWithCells="1">
                  <from>
                    <xdr:col>4</xdr:col>
                    <xdr:colOff>0</xdr:colOff>
                    <xdr:row>37</xdr:row>
                    <xdr:rowOff>0</xdr:rowOff>
                  </from>
                  <to>
                    <xdr:col>5</xdr:col>
                    <xdr:colOff>0</xdr:colOff>
                    <xdr:row>38</xdr:row>
                    <xdr:rowOff>0</xdr:rowOff>
                  </to>
                </anchor>
              </controlPr>
            </control>
          </mc:Choice>
        </mc:AlternateContent>
        <mc:AlternateContent xmlns:mc="http://schemas.openxmlformats.org/markup-compatibility/2006">
          <mc:Choice Requires="x14">
            <control shapeId="20782" r:id="rId91" name="Drop Down 302">
              <controlPr defaultSize="0" autoLine="0" autoPict="0">
                <anchor moveWithCells="1" sizeWithCells="1">
                  <from>
                    <xdr:col>4</xdr:col>
                    <xdr:colOff>0</xdr:colOff>
                    <xdr:row>38</xdr:row>
                    <xdr:rowOff>0</xdr:rowOff>
                  </from>
                  <to>
                    <xdr:col>5</xdr:col>
                    <xdr:colOff>0</xdr:colOff>
                    <xdr:row>39</xdr:row>
                    <xdr:rowOff>0</xdr:rowOff>
                  </to>
                </anchor>
              </controlPr>
            </control>
          </mc:Choice>
        </mc:AlternateContent>
        <mc:AlternateContent xmlns:mc="http://schemas.openxmlformats.org/markup-compatibility/2006">
          <mc:Choice Requires="x14">
            <control shapeId="20783" r:id="rId92" name="Drop Down 303">
              <controlPr defaultSize="0" autoLine="0" autoPict="0">
                <anchor moveWithCells="1" sizeWithCells="1">
                  <from>
                    <xdr:col>4</xdr:col>
                    <xdr:colOff>0</xdr:colOff>
                    <xdr:row>39</xdr:row>
                    <xdr:rowOff>0</xdr:rowOff>
                  </from>
                  <to>
                    <xdr:col>5</xdr:col>
                    <xdr:colOff>0</xdr:colOff>
                    <xdr:row>40</xdr:row>
                    <xdr:rowOff>0</xdr:rowOff>
                  </to>
                </anchor>
              </controlPr>
            </control>
          </mc:Choice>
        </mc:AlternateContent>
        <mc:AlternateContent xmlns:mc="http://schemas.openxmlformats.org/markup-compatibility/2006">
          <mc:Choice Requires="x14">
            <control shapeId="20784" r:id="rId93" name="Drop Down 304">
              <controlPr defaultSize="0" autoLine="0" autoPict="0">
                <anchor moveWithCells="1" sizeWithCells="1">
                  <from>
                    <xdr:col>4</xdr:col>
                    <xdr:colOff>0</xdr:colOff>
                    <xdr:row>40</xdr:row>
                    <xdr:rowOff>0</xdr:rowOff>
                  </from>
                  <to>
                    <xdr:col>5</xdr:col>
                    <xdr:colOff>0</xdr:colOff>
                    <xdr:row>41</xdr:row>
                    <xdr:rowOff>0</xdr:rowOff>
                  </to>
                </anchor>
              </controlPr>
            </control>
          </mc:Choice>
        </mc:AlternateContent>
        <mc:AlternateContent xmlns:mc="http://schemas.openxmlformats.org/markup-compatibility/2006">
          <mc:Choice Requires="x14">
            <control shapeId="20785" r:id="rId94" name="Drop Down 305">
              <controlPr defaultSize="0" autoLine="0" autoPict="0">
                <anchor moveWithCells="1" sizeWithCells="1">
                  <from>
                    <xdr:col>4</xdr:col>
                    <xdr:colOff>0</xdr:colOff>
                    <xdr:row>41</xdr:row>
                    <xdr:rowOff>0</xdr:rowOff>
                  </from>
                  <to>
                    <xdr:col>5</xdr:col>
                    <xdr:colOff>0</xdr:colOff>
                    <xdr:row>42</xdr:row>
                    <xdr:rowOff>0</xdr:rowOff>
                  </to>
                </anchor>
              </controlPr>
            </control>
          </mc:Choice>
        </mc:AlternateContent>
        <mc:AlternateContent xmlns:mc="http://schemas.openxmlformats.org/markup-compatibility/2006">
          <mc:Choice Requires="x14">
            <control shapeId="20786" r:id="rId95" name="Drop Down 306">
              <controlPr defaultSize="0" autoLine="0" autoPict="0">
                <anchor moveWithCells="1" sizeWithCells="1">
                  <from>
                    <xdr:col>4</xdr:col>
                    <xdr:colOff>0</xdr:colOff>
                    <xdr:row>42</xdr:row>
                    <xdr:rowOff>0</xdr:rowOff>
                  </from>
                  <to>
                    <xdr:col>5</xdr:col>
                    <xdr:colOff>0</xdr:colOff>
                    <xdr:row>43</xdr:row>
                    <xdr:rowOff>0</xdr:rowOff>
                  </to>
                </anchor>
              </controlPr>
            </control>
          </mc:Choice>
        </mc:AlternateContent>
        <mc:AlternateContent xmlns:mc="http://schemas.openxmlformats.org/markup-compatibility/2006">
          <mc:Choice Requires="x14">
            <control shapeId="20787" r:id="rId96" name="Drop Down 307">
              <controlPr defaultSize="0" autoLine="0" autoPict="0">
                <anchor moveWithCells="1" sizeWithCells="1">
                  <from>
                    <xdr:col>4</xdr:col>
                    <xdr:colOff>0</xdr:colOff>
                    <xdr:row>43</xdr:row>
                    <xdr:rowOff>0</xdr:rowOff>
                  </from>
                  <to>
                    <xdr:col>5</xdr:col>
                    <xdr:colOff>0</xdr:colOff>
                    <xdr:row>44</xdr:row>
                    <xdr:rowOff>0</xdr:rowOff>
                  </to>
                </anchor>
              </controlPr>
            </control>
          </mc:Choice>
        </mc:AlternateContent>
        <mc:AlternateContent xmlns:mc="http://schemas.openxmlformats.org/markup-compatibility/2006">
          <mc:Choice Requires="x14">
            <control shapeId="20788" r:id="rId97" name="Drop Down 308">
              <controlPr defaultSize="0" autoLine="0" autoPict="0">
                <anchor moveWithCells="1" sizeWithCells="1">
                  <from>
                    <xdr:col>4</xdr:col>
                    <xdr:colOff>0</xdr:colOff>
                    <xdr:row>44</xdr:row>
                    <xdr:rowOff>0</xdr:rowOff>
                  </from>
                  <to>
                    <xdr:col>5</xdr:col>
                    <xdr:colOff>0</xdr:colOff>
                    <xdr:row>45</xdr:row>
                    <xdr:rowOff>0</xdr:rowOff>
                  </to>
                </anchor>
              </controlPr>
            </control>
          </mc:Choice>
        </mc:AlternateContent>
        <mc:AlternateContent xmlns:mc="http://schemas.openxmlformats.org/markup-compatibility/2006">
          <mc:Choice Requires="x14">
            <control shapeId="20789" r:id="rId98" name="Drop Down 309">
              <controlPr defaultSize="0" autoLine="0" autoPict="0">
                <anchor moveWithCells="1" sizeWithCells="1">
                  <from>
                    <xdr:col>4</xdr:col>
                    <xdr:colOff>0</xdr:colOff>
                    <xdr:row>45</xdr:row>
                    <xdr:rowOff>0</xdr:rowOff>
                  </from>
                  <to>
                    <xdr:col>5</xdr:col>
                    <xdr:colOff>0</xdr:colOff>
                    <xdr:row>46</xdr:row>
                    <xdr:rowOff>0</xdr:rowOff>
                  </to>
                </anchor>
              </controlPr>
            </control>
          </mc:Choice>
        </mc:AlternateContent>
        <mc:AlternateContent xmlns:mc="http://schemas.openxmlformats.org/markup-compatibility/2006">
          <mc:Choice Requires="x14">
            <control shapeId="20779" r:id="rId99" name="Drop Down 299">
              <controlPr defaultSize="0" autoLine="0" autoPict="0">
                <anchor moveWithCells="1" sizeWithCells="1">
                  <from>
                    <xdr:col>4</xdr:col>
                    <xdr:colOff>0</xdr:colOff>
                    <xdr:row>34</xdr:row>
                    <xdr:rowOff>0</xdr:rowOff>
                  </from>
                  <to>
                    <xdr:col>5</xdr:col>
                    <xdr:colOff>0</xdr:colOff>
                    <xdr:row>35</xdr:row>
                    <xdr:rowOff>0</xdr:rowOff>
                  </to>
                </anchor>
              </controlPr>
            </control>
          </mc:Choice>
        </mc:AlternateContent>
        <mc:AlternateContent xmlns:mc="http://schemas.openxmlformats.org/markup-compatibility/2006">
          <mc:Choice Requires="x14">
            <control shapeId="20790" r:id="rId100" name="Drop Down 310">
              <controlPr defaultSize="0" autoLine="0" autoPict="0">
                <anchor moveWithCells="1" sizeWithCells="1">
                  <from>
                    <xdr:col>4</xdr:col>
                    <xdr:colOff>0</xdr:colOff>
                    <xdr:row>35</xdr:row>
                    <xdr:rowOff>0</xdr:rowOff>
                  </from>
                  <to>
                    <xdr:col>5</xdr:col>
                    <xdr:colOff>0</xdr:colOff>
                    <xdr:row>36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02D02832-28B6-4747-B60F-FDC43E38C19D}">
          <x14:formula1>
            <xm:f>'Lookup Tables'!$B$206:$B$217</xm:f>
          </x14:formula1>
          <xm:sqref>E17</xm:sqref>
        </x14:dataValidation>
        <x14:dataValidation type="list" allowBlank="1" showInputMessage="1" showErrorMessage="1" xr:uid="{D111F749-CCE9-428C-9247-D5492CB40765}">
          <x14:formula1>
            <xm:f>'Lookup Tables'!$B$190:$B$197</xm:f>
          </x14:formula1>
          <xm:sqref>E18</xm:sqref>
        </x14:dataValidation>
        <x14:dataValidation type="list" allowBlank="1" showInputMessage="1" showErrorMessage="1" xr:uid="{5023F585-E7DB-4FB8-AD9C-F8D32975A2A0}">
          <x14:formula1>
            <xm:f>'Lookup Tables'!$C$190:$C$197</xm:f>
          </x14:formula1>
          <xm:sqref>E19</xm:sqref>
        </x14:dataValidation>
        <x14:dataValidation type="list" allowBlank="1" showInputMessage="1" showErrorMessage="1" xr:uid="{08507467-D13D-4C8C-9B8E-CEC1CC3225DC}">
          <x14:formula1>
            <xm:f>'Lookup Tables'!$C$227:$C$235</xm:f>
          </x14:formula1>
          <xm:sqref>E20:E21</xm:sqref>
        </x14:dataValidation>
        <x14:dataValidation type="list" allowBlank="1" showInputMessage="1" showErrorMessage="1" xr:uid="{6A7C7850-9D70-4691-B1FE-EE8A4F0B919B}">
          <x14:formula1>
            <xm:f>'Lookup Tables'!$B$227:$B$235</xm:f>
          </x14:formula1>
          <xm:sqref>E22:E23 D35:D46</xm:sqref>
        </x14:dataValidation>
        <x14:dataValidation type="list" allowBlank="1" showInputMessage="1" showErrorMessage="1" xr:uid="{084A307F-9BD2-4428-8C66-35671BB7FC14}">
          <x14:formula1>
            <xm:f>'Lookup Tables'!$B$244:$B$251</xm:f>
          </x14:formula1>
          <xm:sqref>E29:E30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561EF-C567-405B-A999-93F077A603BF}">
  <sheetPr>
    <tabColor rgb="FF0070C0"/>
  </sheetPr>
  <dimension ref="A1:BZ89"/>
  <sheetViews>
    <sheetView showGridLines="0" zoomScale="85" zoomScaleNormal="85" workbookViewId="0">
      <selection activeCell="K86" sqref="K86"/>
    </sheetView>
  </sheetViews>
  <sheetFormatPr defaultColWidth="9.1796875" defaultRowHeight="14" x14ac:dyDescent="0.35"/>
  <cols>
    <col min="1" max="1" width="35.26953125" style="257" customWidth="1"/>
    <col min="2" max="2" width="23.81640625" style="257" bestFit="1" customWidth="1"/>
    <col min="3" max="3" width="38.7265625" style="257" customWidth="1"/>
    <col min="4" max="4" width="13.7265625" style="257" customWidth="1"/>
    <col min="5" max="5" width="17.1796875" style="257" customWidth="1"/>
    <col min="6" max="6" width="14.81640625" style="257" customWidth="1"/>
    <col min="7" max="7" width="18.54296875" style="257" customWidth="1"/>
    <col min="8" max="8" width="19.26953125" style="257" customWidth="1"/>
    <col min="9" max="9" width="11.26953125" style="257" bestFit="1" customWidth="1"/>
    <col min="10" max="10" width="18.1796875" style="257" customWidth="1"/>
    <col min="11" max="11" width="18.1796875" style="257" bestFit="1" customWidth="1"/>
    <col min="12" max="12" width="14.7265625" style="257" customWidth="1"/>
    <col min="13" max="13" width="23.54296875" style="257" customWidth="1"/>
    <col min="14" max="14" width="18.81640625" style="257" customWidth="1"/>
    <col min="15" max="15" width="22.1796875" style="257" customWidth="1"/>
    <col min="16" max="16" width="11.1796875" style="257" customWidth="1"/>
    <col min="17" max="17" width="19.1796875" style="257" customWidth="1"/>
    <col min="18" max="18" width="18.54296875" style="257" customWidth="1"/>
    <col min="19" max="19" width="21.81640625" style="257" customWidth="1"/>
    <col min="20" max="20" width="21.1796875" style="257" customWidth="1"/>
    <col min="21" max="21" width="18.81640625" style="257" customWidth="1"/>
    <col min="22" max="22" width="9.26953125" style="257" customWidth="1"/>
    <col min="23" max="23" width="12.1796875" style="257" customWidth="1"/>
    <col min="24" max="24" width="27" style="257" customWidth="1"/>
    <col min="25" max="25" width="31.81640625" style="257" customWidth="1"/>
    <col min="26" max="26" width="46.1796875" style="257" customWidth="1"/>
    <col min="27" max="27" width="9.1796875" style="257" hidden="1" customWidth="1"/>
    <col min="28" max="28" width="21.453125" style="257" hidden="1" customWidth="1"/>
    <col min="29" max="29" width="23.7265625" style="257" hidden="1" customWidth="1"/>
    <col min="30" max="32" width="26.81640625" style="257" hidden="1" customWidth="1"/>
    <col min="33" max="33" width="20.1796875" style="257" hidden="1" customWidth="1"/>
    <col min="34" max="34" width="19.26953125" style="257" hidden="1" customWidth="1"/>
    <col min="35" max="35" width="26.1796875" style="257" hidden="1" customWidth="1"/>
    <col min="36" max="36" width="19.1796875" style="257" hidden="1" customWidth="1"/>
    <col min="37" max="37" width="11.81640625" style="257" hidden="1" customWidth="1"/>
    <col min="38" max="38" width="11.453125" style="257" hidden="1" customWidth="1"/>
    <col min="39" max="39" width="14" style="257" hidden="1" customWidth="1"/>
    <col min="40" max="40" width="26.54296875" style="257" hidden="1" customWidth="1"/>
    <col min="41" max="41" width="21.81640625" style="257" hidden="1" customWidth="1"/>
    <col min="42" max="42" width="16.54296875" style="257" hidden="1" customWidth="1"/>
    <col min="43" max="43" width="17.81640625" style="257" hidden="1" customWidth="1"/>
    <col min="44" max="44" width="13.1796875" style="257" hidden="1" customWidth="1"/>
    <col min="45" max="45" width="9.26953125" style="257" hidden="1" customWidth="1"/>
    <col min="46" max="46" width="13.54296875" style="257" hidden="1" customWidth="1"/>
    <col min="47" max="47" width="16.1796875" style="257" hidden="1" customWidth="1"/>
    <col min="48" max="49" width="13.81640625" style="257" hidden="1" customWidth="1"/>
    <col min="50" max="50" width="10.54296875" style="257" hidden="1" customWidth="1"/>
    <col min="51" max="51" width="12.1796875" style="257" hidden="1" customWidth="1"/>
    <col min="52" max="52" width="16.54296875" style="257" hidden="1" customWidth="1"/>
    <col min="53" max="54" width="16.453125" style="257" hidden="1" customWidth="1"/>
    <col min="55" max="55" width="14.7265625" style="257" hidden="1" customWidth="1"/>
    <col min="56" max="56" width="15.81640625" style="257" hidden="1" customWidth="1"/>
    <col min="57" max="57" width="10.54296875" style="257" hidden="1" customWidth="1"/>
    <col min="58" max="58" width="12.7265625" style="257" hidden="1" customWidth="1"/>
    <col min="59" max="62" width="9.26953125" style="257" hidden="1" customWidth="1"/>
    <col min="63" max="63" width="10.7265625" style="257" hidden="1" customWidth="1"/>
    <col min="64" max="64" width="11.453125" style="257" hidden="1" customWidth="1"/>
    <col min="65" max="65" width="9.81640625" style="257" hidden="1" customWidth="1"/>
    <col min="66" max="66" width="10.7265625" style="257" hidden="1" customWidth="1"/>
    <col min="67" max="67" width="13.26953125" style="257" hidden="1" customWidth="1"/>
    <col min="68" max="68" width="11.1796875" style="257" hidden="1" customWidth="1"/>
    <col min="69" max="69" width="12.7265625" style="257" hidden="1" customWidth="1"/>
    <col min="70" max="70" width="12.26953125" style="257" hidden="1" customWidth="1"/>
    <col min="71" max="71" width="9.26953125" style="257" hidden="1" customWidth="1"/>
    <col min="72" max="72" width="11.7265625" style="257" hidden="1" customWidth="1"/>
    <col min="73" max="73" width="11.54296875" style="257" hidden="1" customWidth="1"/>
    <col min="74" max="77" width="9.1796875" style="358" hidden="1" customWidth="1"/>
    <col min="78" max="78" width="9.1796875" style="257" hidden="1" customWidth="1"/>
    <col min="79" max="81" width="9.1796875" style="257" customWidth="1"/>
    <col min="82" max="16384" width="9.1796875" style="257"/>
  </cols>
  <sheetData>
    <row r="1" spans="1:41" ht="23.25" customHeight="1" x14ac:dyDescent="0.45">
      <c r="A1" s="799" t="str">
        <f ca="1">'Translation Table'!H3062</f>
        <v>"FACILITY-LEVEL FUEL USE" SETUP</v>
      </c>
      <c r="B1" s="799"/>
      <c r="C1" s="799"/>
      <c r="D1" s="800"/>
      <c r="E1" s="800"/>
      <c r="AB1" s="102" t="s">
        <v>3056</v>
      </c>
      <c r="AM1" s="102" t="s">
        <v>3168</v>
      </c>
    </row>
    <row r="3" spans="1:41" ht="15.5" x14ac:dyDescent="0.35">
      <c r="A3" s="755" t="str">
        <f ca="1">'Translation Table'!H3063</f>
        <v>Fuel Type</v>
      </c>
      <c r="B3" s="843"/>
      <c r="C3" s="750" t="str">
        <f ca="1">'Translation Table'!H3066</f>
        <v>Combustion Source Type</v>
      </c>
      <c r="D3" s="836" t="str">
        <f ca="1">'Translation Table'!H3067</f>
        <v>Fuel Consumption</v>
      </c>
      <c r="E3" s="835"/>
      <c r="F3" s="835"/>
      <c r="G3" s="837"/>
      <c r="H3" s="808" t="str">
        <f ca="1">'Translation Table'!H3072</f>
        <v>Error Message</v>
      </c>
      <c r="I3" s="832"/>
      <c r="J3" s="832"/>
      <c r="AB3" s="906" t="s">
        <v>554</v>
      </c>
      <c r="AC3" s="907"/>
      <c r="AD3" s="908" t="s">
        <v>2793</v>
      </c>
      <c r="AE3" s="906" t="s">
        <v>3050</v>
      </c>
      <c r="AF3" s="878"/>
      <c r="AG3" s="878"/>
      <c r="AH3" s="878"/>
      <c r="AI3" s="878"/>
      <c r="AJ3" s="878"/>
      <c r="AK3" s="878"/>
      <c r="AL3" s="878"/>
      <c r="AM3" s="776"/>
      <c r="AN3" s="871" t="s">
        <v>331</v>
      </c>
      <c r="AO3" s="871" t="s">
        <v>3169</v>
      </c>
    </row>
    <row r="4" spans="1:41" ht="28" x14ac:dyDescent="0.35">
      <c r="A4" s="750" t="str">
        <f ca="1">'Translation Table'!H3064</f>
        <v>Category</v>
      </c>
      <c r="B4" s="750" t="str">
        <f ca="1">'Translation Table'!H3065</f>
        <v>Subcategory</v>
      </c>
      <c r="C4" s="813"/>
      <c r="D4" s="838" t="str">
        <f ca="1">'Translation Table'!H3068</f>
        <v>Measured or Reported</v>
      </c>
      <c r="E4" s="807" t="str">
        <f ca="1">'Translation Table'!H3069</f>
        <v>Corrected 
Estimates</v>
      </c>
      <c r="F4" s="838" t="str">
        <f ca="1">'Translation Table'!H3070</f>
        <v>Value Used</v>
      </c>
      <c r="G4" s="807" t="str">
        <f ca="1">'Translation Table'!H3071</f>
        <v>Units of Measure</v>
      </c>
      <c r="H4" s="833"/>
      <c r="I4" s="832"/>
      <c r="J4" s="832"/>
      <c r="AB4" s="908" t="s">
        <v>2769</v>
      </c>
      <c r="AC4" s="908" t="s">
        <v>46</v>
      </c>
      <c r="AD4" s="909"/>
      <c r="AE4" s="386" t="s">
        <v>3052</v>
      </c>
      <c r="AF4" s="905" t="s">
        <v>3053</v>
      </c>
      <c r="AG4" s="905" t="s">
        <v>3057</v>
      </c>
      <c r="AH4" s="905" t="s">
        <v>3058</v>
      </c>
      <c r="AI4" s="905" t="s">
        <v>3061</v>
      </c>
      <c r="AJ4" s="905" t="s">
        <v>3059</v>
      </c>
      <c r="AK4" s="387" t="s">
        <v>3055</v>
      </c>
      <c r="AL4" s="387" t="s">
        <v>3054</v>
      </c>
      <c r="AM4" s="387" t="s">
        <v>3064</v>
      </c>
      <c r="AN4" s="904"/>
      <c r="AO4" s="904"/>
    </row>
    <row r="5" spans="1:41" ht="15.5" x14ac:dyDescent="0.35">
      <c r="A5" s="844"/>
      <c r="B5" s="844"/>
      <c r="C5" s="751"/>
      <c r="D5" s="839"/>
      <c r="E5" s="807"/>
      <c r="F5" s="839"/>
      <c r="G5" s="807"/>
      <c r="H5" s="834"/>
      <c r="I5" s="835"/>
      <c r="J5" s="835"/>
      <c r="AB5" s="911"/>
      <c r="AC5" s="911"/>
      <c r="AD5" s="910"/>
      <c r="AE5" s="388"/>
      <c r="AF5" s="872"/>
      <c r="AG5" s="872"/>
      <c r="AH5" s="872"/>
      <c r="AI5" s="872"/>
      <c r="AJ5" s="872"/>
      <c r="AK5" s="389"/>
      <c r="AL5" s="389"/>
      <c r="AM5" s="389"/>
      <c r="AN5" s="880"/>
      <c r="AO5" s="880"/>
    </row>
    <row r="6" spans="1:41" x14ac:dyDescent="0.35">
      <c r="A6" s="854" t="str">
        <f ca="1">'Translation Table'!H3073</f>
        <v>Solid Fuels</v>
      </c>
      <c r="B6" s="268" t="str">
        <f ca="1">'Translation Table'!H3076</f>
        <v>Anthracite</v>
      </c>
      <c r="C6" s="854" t="str">
        <f ca="1">'Translation Table'!H3093</f>
        <v>All</v>
      </c>
      <c r="D6" s="291"/>
      <c r="E6" s="294">
        <f ca="1">IF(ISTEXT($G$6),F6-D6,"")</f>
        <v>0</v>
      </c>
      <c r="F6" s="391">
        <f ca="1">IF(ISTEXT($G$6),IF(NOT(ISBLANK($AM6)),AM6/kg_per_h_to_tonne_per_y/_xlfn.XLOOKUP($G$6,'Lookup Tables'!$B$173:$B$180,'Lookup Tables'!$F$173:$F$180,,0,1),0),"")</f>
        <v>0</v>
      </c>
      <c r="G6" s="826" t="s">
        <v>2439</v>
      </c>
      <c r="H6" s="840" t="str">
        <f t="shared" ref="H6:H13" si="0">IF(AND(D6&lt;&gt;0,$G$6=""),LOOKUP("Err14",TblErrorMsg),"")</f>
        <v/>
      </c>
      <c r="I6" s="841"/>
      <c r="J6" s="842"/>
      <c r="N6" s="297"/>
      <c r="AB6" s="237" t="str">
        <f ca="1">'Translation Table'!H2872</f>
        <v>Solid</v>
      </c>
      <c r="AC6" s="296" t="str">
        <f ca="1">'Translation Table'!H2878</f>
        <v>Anthracite</v>
      </c>
      <c r="AD6" s="857" t="str">
        <f ca="1">'Translation Table'!H3093</f>
        <v>All</v>
      </c>
      <c r="AE6" s="260">
        <f>IF(N($D6)&gt;0,D6*_xlfn.XLOOKUP($G$6,'Lookup Tables'!$B$173:$B$180,'Lookup Tables'!$F$173:$F$180,,0,1)*kg_per_h_to_tonne_per_y,0)</f>
        <v>0</v>
      </c>
      <c r="AF6" s="292">
        <f t="shared" ref="AF6:AF13" ca="1" si="1">SUMIFS(AD$40:AD$50,AB$40:AB$50,AB6,AC$40:AC$50,AC6)*kg_per_h_to_tonne_per_y</f>
        <v>0</v>
      </c>
      <c r="AG6" s="292">
        <f t="shared" ref="AG6:AG13" ca="1" si="2">SUMIFS(AE$40:AE$50,AB$40:AB$50,AB6,AC$40:AC$50,AC6)*kg_per_h_to_tonne_per_y</f>
        <v>0</v>
      </c>
      <c r="AH6" s="292">
        <f t="shared" ref="AH6:AH23" ca="1" si="3">AG6*AO6</f>
        <v>0</v>
      </c>
      <c r="AI6" s="292">
        <f t="shared" ref="AI6:AI19" ca="1" si="4">IF(AE6&gt;0,0,AG6)</f>
        <v>0</v>
      </c>
      <c r="AJ6" s="292">
        <f t="shared" ref="AJ6:AJ23" ca="1" si="5">AH6</f>
        <v>0</v>
      </c>
      <c r="AK6" s="260">
        <f t="shared" ref="AK6:AK13" ca="1" si="6">IF(AE6&gt;0,AE6,SUMIFS(AH$40:AH$50,AB$40:AB$50,AB6,AC$40:AC$50,AC6))</f>
        <v>0</v>
      </c>
      <c r="AL6" s="260">
        <f t="shared" ref="AL6:AL23" ca="1" si="7">IF(AE6&gt;0,AE6,AF6+AJ6)</f>
        <v>0</v>
      </c>
      <c r="AM6" s="260">
        <f t="shared" ref="AM6:AM23" ca="1" si="8">AL6</f>
        <v>0</v>
      </c>
      <c r="AN6" s="237" t="str">
        <f t="shared" ref="AN6:AN30" ca="1" si="9">IF(AB6=Solid,"tonne/y",IF(AB6=Liquid,"m3/y",IF(AB6=Gaseous,"E3 m3/y","")))</f>
        <v>tonne/y</v>
      </c>
      <c r="AO6" s="298">
        <f t="shared" ref="AO6:AO24" ca="1" si="10">IF(AND((AE6-AF6)&gt;0,AG6&gt;0),(AE6-AF6)/AG6,1)</f>
        <v>1</v>
      </c>
    </row>
    <row r="7" spans="1:41" x14ac:dyDescent="0.35">
      <c r="A7" s="855"/>
      <c r="B7" s="237" t="str">
        <f ca="1">'Translation Table'!H3077</f>
        <v>Bituminous</v>
      </c>
      <c r="C7" s="855"/>
      <c r="D7" s="291"/>
      <c r="E7" s="260">
        <f t="shared" ref="E7:E13" ca="1" si="11">IF(ISTEXT($G$6),F7-D7,"")</f>
        <v>0</v>
      </c>
      <c r="F7" s="392">
        <f ca="1">IF(ISTEXT($G$6),IF(NOT(ISBLANK($AM7)),AM7/kg_per_h_to_tonne_per_y/_xlfn.XLOOKUP($G$6,'Lookup Tables'!$B$173:$B$180,'Lookup Tables'!$F$173:$F$180,,0,1),0),"")</f>
        <v>0</v>
      </c>
      <c r="G7" s="827"/>
      <c r="H7" s="840" t="str">
        <f t="shared" si="0"/>
        <v/>
      </c>
      <c r="I7" s="841"/>
      <c r="J7" s="842"/>
      <c r="AB7" s="237" t="str">
        <f ca="1">'Translation Table'!H2872</f>
        <v>Solid</v>
      </c>
      <c r="AC7" s="296" t="str">
        <f ca="1">'Translation Table'!H2879</f>
        <v>Bituminous</v>
      </c>
      <c r="AD7" s="858"/>
      <c r="AE7" s="260">
        <f>IF(N($D7)&gt;0,D7*_xlfn.XLOOKUP($G$6,'Lookup Tables'!$B$173:$B$180,'Lookup Tables'!$F$173:$F$180,,0,1)*kg_per_h_to_tonne_per_y,0)</f>
        <v>0</v>
      </c>
      <c r="AF7" s="292">
        <f t="shared" ca="1" si="1"/>
        <v>0</v>
      </c>
      <c r="AG7" s="292">
        <f t="shared" ca="1" si="2"/>
        <v>0</v>
      </c>
      <c r="AH7" s="292">
        <f t="shared" ca="1" si="3"/>
        <v>0</v>
      </c>
      <c r="AI7" s="292">
        <f t="shared" ca="1" si="4"/>
        <v>0</v>
      </c>
      <c r="AJ7" s="292">
        <f t="shared" ca="1" si="5"/>
        <v>0</v>
      </c>
      <c r="AK7" s="260">
        <f t="shared" ca="1" si="6"/>
        <v>0</v>
      </c>
      <c r="AL7" s="260">
        <f t="shared" ca="1" si="7"/>
        <v>0</v>
      </c>
      <c r="AM7" s="260">
        <f t="shared" ca="1" si="8"/>
        <v>0</v>
      </c>
      <c r="AN7" s="237" t="str">
        <f t="shared" ca="1" si="9"/>
        <v>tonne/y</v>
      </c>
      <c r="AO7" s="298">
        <f t="shared" ca="1" si="10"/>
        <v>1</v>
      </c>
    </row>
    <row r="8" spans="1:41" x14ac:dyDescent="0.35">
      <c r="A8" s="855"/>
      <c r="B8" s="268" t="str">
        <f ca="1">'Translation Table'!H3078</f>
        <v>Lignite</v>
      </c>
      <c r="C8" s="855"/>
      <c r="D8" s="291"/>
      <c r="E8" s="294">
        <f t="shared" ca="1" si="11"/>
        <v>0</v>
      </c>
      <c r="F8" s="391">
        <f ca="1">IF(ISTEXT($G$6),IF(NOT(ISBLANK($AM8)),AM8/kg_per_h_to_tonne_per_y/_xlfn.XLOOKUP($G$6,'Lookup Tables'!$B$173:$B$180,'Lookup Tables'!$F$173:$F$180,,0,1),0),"")</f>
        <v>0</v>
      </c>
      <c r="G8" s="827"/>
      <c r="H8" s="840" t="str">
        <f t="shared" si="0"/>
        <v/>
      </c>
      <c r="I8" s="841"/>
      <c r="J8" s="842"/>
      <c r="AB8" s="237" t="str">
        <f ca="1">'Translation Table'!H2872</f>
        <v>Solid</v>
      </c>
      <c r="AC8" s="296" t="str">
        <f ca="1">'Translation Table'!H2880</f>
        <v>Lignite</v>
      </c>
      <c r="AD8" s="858"/>
      <c r="AE8" s="260">
        <f>IF(N($D8)&gt;0,D8*_xlfn.XLOOKUP($G$6,'Lookup Tables'!$B$173:$B$180,'Lookup Tables'!$F$173:$F$180,,0,1)*kg_per_h_to_tonne_per_y,0)</f>
        <v>0</v>
      </c>
      <c r="AF8" s="292">
        <f t="shared" ca="1" si="1"/>
        <v>0</v>
      </c>
      <c r="AG8" s="292">
        <f t="shared" ca="1" si="2"/>
        <v>0</v>
      </c>
      <c r="AH8" s="292">
        <f t="shared" ca="1" si="3"/>
        <v>0</v>
      </c>
      <c r="AI8" s="292">
        <f t="shared" ca="1" si="4"/>
        <v>0</v>
      </c>
      <c r="AJ8" s="292">
        <f t="shared" ca="1" si="5"/>
        <v>0</v>
      </c>
      <c r="AK8" s="260">
        <f t="shared" ca="1" si="6"/>
        <v>0</v>
      </c>
      <c r="AL8" s="260">
        <f t="shared" ca="1" si="7"/>
        <v>0</v>
      </c>
      <c r="AM8" s="260">
        <f t="shared" ca="1" si="8"/>
        <v>0</v>
      </c>
      <c r="AN8" s="237" t="str">
        <f t="shared" ca="1" si="9"/>
        <v>tonne/y</v>
      </c>
      <c r="AO8" s="298">
        <f t="shared" ca="1" si="10"/>
        <v>1</v>
      </c>
    </row>
    <row r="9" spans="1:41" x14ac:dyDescent="0.35">
      <c r="A9" s="855"/>
      <c r="B9" s="109" t="str">
        <f ca="1">'Translation Table'!H3079</f>
        <v>Cleaned Coal</v>
      </c>
      <c r="C9" s="855"/>
      <c r="D9" s="291"/>
      <c r="E9" s="260">
        <f t="shared" ca="1" si="11"/>
        <v>0</v>
      </c>
      <c r="F9" s="392">
        <f ca="1">IF(ISTEXT($G$6),IF(NOT(ISBLANK($AM9)),AM9/kg_per_h_to_tonne_per_y/_xlfn.XLOOKUP($G$6,'Lookup Tables'!$B$173:$B$180,'Lookup Tables'!$F$173:$F$180,,0,1),0),"")</f>
        <v>0</v>
      </c>
      <c r="G9" s="827"/>
      <c r="H9" s="840" t="str">
        <f t="shared" si="0"/>
        <v/>
      </c>
      <c r="I9" s="841"/>
      <c r="J9" s="842"/>
      <c r="AB9" s="237" t="str">
        <f ca="1">'Translation Table'!H2872</f>
        <v>Solid</v>
      </c>
      <c r="AC9" s="296" t="str">
        <f ca="1">'Translation Table'!H2881</f>
        <v>Cleaned Coal</v>
      </c>
      <c r="AD9" s="858"/>
      <c r="AE9" s="260">
        <f>IF(N($D9)&gt;0,D9*_xlfn.XLOOKUP($G$6,'Lookup Tables'!$B$173:$B$180,'Lookup Tables'!$F$173:$F$180,,0,1)*kg_per_h_to_tonne_per_y,0)</f>
        <v>0</v>
      </c>
      <c r="AF9" s="292">
        <f t="shared" ca="1" si="1"/>
        <v>0</v>
      </c>
      <c r="AG9" s="292">
        <f t="shared" ca="1" si="2"/>
        <v>0</v>
      </c>
      <c r="AH9" s="292">
        <f t="shared" ca="1" si="3"/>
        <v>0</v>
      </c>
      <c r="AI9" s="292">
        <f t="shared" ca="1" si="4"/>
        <v>0</v>
      </c>
      <c r="AJ9" s="292">
        <f t="shared" ca="1" si="5"/>
        <v>0</v>
      </c>
      <c r="AK9" s="260">
        <f t="shared" ca="1" si="6"/>
        <v>0</v>
      </c>
      <c r="AL9" s="260">
        <f t="shared" ca="1" si="7"/>
        <v>0</v>
      </c>
      <c r="AM9" s="260">
        <f t="shared" ca="1" si="8"/>
        <v>0</v>
      </c>
      <c r="AN9" s="237" t="str">
        <f t="shared" ca="1" si="9"/>
        <v>tonne/y</v>
      </c>
      <c r="AO9" s="298">
        <f t="shared" ca="1" si="10"/>
        <v>1</v>
      </c>
    </row>
    <row r="10" spans="1:41" x14ac:dyDescent="0.35">
      <c r="A10" s="855"/>
      <c r="B10" s="268" t="str">
        <f ca="1">'Translation Table'!H3080</f>
        <v>Other Washed Coal</v>
      </c>
      <c r="C10" s="855"/>
      <c r="D10" s="291"/>
      <c r="E10" s="294">
        <f t="shared" ca="1" si="11"/>
        <v>0</v>
      </c>
      <c r="F10" s="391">
        <f ca="1">IF(ISTEXT($G$6),IF(NOT(ISBLANK($AM10)),AM10/kg_per_h_to_tonne_per_y/_xlfn.XLOOKUP($G$6,'Lookup Tables'!$B$173:$B$180,'Lookup Tables'!$F$173:$F$180,,0,1),0),"")</f>
        <v>0</v>
      </c>
      <c r="G10" s="827"/>
      <c r="H10" s="840" t="str">
        <f t="shared" si="0"/>
        <v/>
      </c>
      <c r="I10" s="841"/>
      <c r="J10" s="842"/>
      <c r="AB10" s="237" t="str">
        <f ca="1">'Translation Table'!H2872</f>
        <v>Solid</v>
      </c>
      <c r="AC10" s="296" t="str">
        <f ca="1">'Translation Table'!H2882</f>
        <v>Other Washed Coal</v>
      </c>
      <c r="AD10" s="858"/>
      <c r="AE10" s="260">
        <f>IF(N($D10)&gt;0,D10*_xlfn.XLOOKUP($G$6,'Lookup Tables'!$B$173:$B$180,'Lookup Tables'!$F$173:$F$180,,0,1)*kg_per_h_to_tonne_per_y,0)</f>
        <v>0</v>
      </c>
      <c r="AF10" s="292">
        <f t="shared" ca="1" si="1"/>
        <v>0</v>
      </c>
      <c r="AG10" s="292">
        <f t="shared" ca="1" si="2"/>
        <v>0</v>
      </c>
      <c r="AH10" s="292">
        <f t="shared" ca="1" si="3"/>
        <v>0</v>
      </c>
      <c r="AI10" s="292">
        <f t="shared" ca="1" si="4"/>
        <v>0</v>
      </c>
      <c r="AJ10" s="292">
        <f t="shared" ca="1" si="5"/>
        <v>0</v>
      </c>
      <c r="AK10" s="260">
        <f t="shared" ca="1" si="6"/>
        <v>0</v>
      </c>
      <c r="AL10" s="260">
        <f t="shared" ca="1" si="7"/>
        <v>0</v>
      </c>
      <c r="AM10" s="260">
        <f t="shared" ca="1" si="8"/>
        <v>0</v>
      </c>
      <c r="AN10" s="237" t="str">
        <f t="shared" ca="1" si="9"/>
        <v>tonne/y</v>
      </c>
      <c r="AO10" s="298">
        <f t="shared" ca="1" si="10"/>
        <v>1</v>
      </c>
    </row>
    <row r="11" spans="1:41" x14ac:dyDescent="0.35">
      <c r="A11" s="855"/>
      <c r="B11" s="237" t="str">
        <f ca="1">'Translation Table'!H3081</f>
        <v>Briquette Coal</v>
      </c>
      <c r="C11" s="855"/>
      <c r="D11" s="291"/>
      <c r="E11" s="260">
        <f t="shared" ca="1" si="11"/>
        <v>0</v>
      </c>
      <c r="F11" s="392">
        <f ca="1">IF(ISTEXT($G$6),IF(NOT(ISBLANK($AM11)),AM11/kg_per_h_to_tonne_per_y/_xlfn.XLOOKUP($G$6,'Lookup Tables'!$B$173:$B$180,'Lookup Tables'!$F$173:$F$180,,0,1),0),"")</f>
        <v>0</v>
      </c>
      <c r="G11" s="828"/>
      <c r="H11" s="840" t="str">
        <f t="shared" si="0"/>
        <v/>
      </c>
      <c r="I11" s="841"/>
      <c r="J11" s="842"/>
      <c r="AB11" s="237" t="str">
        <f ca="1">'Translation Table'!H2872</f>
        <v>Solid</v>
      </c>
      <c r="AC11" s="296" t="str">
        <f ca="1">'Translation Table'!H2883</f>
        <v>Briquette Coal</v>
      </c>
      <c r="AD11" s="858"/>
      <c r="AE11" s="260">
        <f>IF(N($D11)&gt;0,D11*_xlfn.XLOOKUP($G$6,'Lookup Tables'!$B$173:$B$180,'Lookup Tables'!$F$173:$F$180,,0,1)*kg_per_h_to_tonne_per_y,0)</f>
        <v>0</v>
      </c>
      <c r="AF11" s="292">
        <f t="shared" ca="1" si="1"/>
        <v>0</v>
      </c>
      <c r="AG11" s="292">
        <f t="shared" ca="1" si="2"/>
        <v>0</v>
      </c>
      <c r="AH11" s="292">
        <f t="shared" ca="1" si="3"/>
        <v>0</v>
      </c>
      <c r="AI11" s="292">
        <f t="shared" ca="1" si="4"/>
        <v>0</v>
      </c>
      <c r="AJ11" s="292">
        <f t="shared" ca="1" si="5"/>
        <v>0</v>
      </c>
      <c r="AK11" s="260">
        <f t="shared" ca="1" si="6"/>
        <v>0</v>
      </c>
      <c r="AL11" s="260">
        <f t="shared" ca="1" si="7"/>
        <v>0</v>
      </c>
      <c r="AM11" s="260">
        <f t="shared" ca="1" si="8"/>
        <v>0</v>
      </c>
      <c r="AN11" s="237" t="str">
        <f t="shared" ca="1" si="9"/>
        <v>tonne/y</v>
      </c>
      <c r="AO11" s="298">
        <f t="shared" ca="1" si="10"/>
        <v>1</v>
      </c>
    </row>
    <row r="12" spans="1:41" x14ac:dyDescent="0.35">
      <c r="A12" s="855"/>
      <c r="B12" s="268" t="str">
        <f ca="1">'Translation Table'!H3082</f>
        <v>Coke</v>
      </c>
      <c r="C12" s="855"/>
      <c r="D12" s="291"/>
      <c r="E12" s="294">
        <f t="shared" ca="1" si="11"/>
        <v>0</v>
      </c>
      <c r="F12" s="391">
        <f ca="1">IF(ISTEXT($G$6),IF(NOT(ISBLANK($AM12)),AM12/kg_per_h_to_tonne_per_y/_xlfn.XLOOKUP($G$6,'Lookup Tables'!$B$173:$B$180,'Lookup Tables'!$F$173:$F$180,,0,1),0),"")</f>
        <v>0</v>
      </c>
      <c r="G12" s="828"/>
      <c r="H12" s="840" t="str">
        <f t="shared" si="0"/>
        <v/>
      </c>
      <c r="I12" s="841"/>
      <c r="J12" s="842"/>
      <c r="AB12" s="237" t="str">
        <f ca="1">'Translation Table'!H2872</f>
        <v>Solid</v>
      </c>
      <c r="AC12" s="296" t="str">
        <f ca="1">'Translation Table'!H2884</f>
        <v>Coke</v>
      </c>
      <c r="AD12" s="858"/>
      <c r="AE12" s="260">
        <f>IF(N($D12)&gt;0,D12*_xlfn.XLOOKUP($G$6,'Lookup Tables'!$B$173:$B$180,'Lookup Tables'!$F$173:$F$180,,0,1)*kg_per_h_to_tonne_per_y,0)</f>
        <v>0</v>
      </c>
      <c r="AF12" s="292">
        <f t="shared" ca="1" si="1"/>
        <v>0</v>
      </c>
      <c r="AG12" s="292">
        <f t="shared" ca="1" si="2"/>
        <v>0</v>
      </c>
      <c r="AH12" s="292">
        <f t="shared" ca="1" si="3"/>
        <v>0</v>
      </c>
      <c r="AI12" s="292">
        <f t="shared" ca="1" si="4"/>
        <v>0</v>
      </c>
      <c r="AJ12" s="292">
        <f t="shared" ca="1" si="5"/>
        <v>0</v>
      </c>
      <c r="AK12" s="260">
        <f t="shared" ca="1" si="6"/>
        <v>0</v>
      </c>
      <c r="AL12" s="260">
        <f t="shared" ca="1" si="7"/>
        <v>0</v>
      </c>
      <c r="AM12" s="260">
        <f t="shared" ca="1" si="8"/>
        <v>0</v>
      </c>
      <c r="AN12" s="237" t="str">
        <f t="shared" ca="1" si="9"/>
        <v>tonne/y</v>
      </c>
      <c r="AO12" s="298">
        <f t="shared" ca="1" si="10"/>
        <v>1</v>
      </c>
    </row>
    <row r="13" spans="1:41" x14ac:dyDescent="0.35">
      <c r="A13" s="856"/>
      <c r="B13" s="237" t="str">
        <f ca="1">'Translation Table'!H3083</f>
        <v>Petroleum Coke</v>
      </c>
      <c r="C13" s="856"/>
      <c r="D13" s="291"/>
      <c r="E13" s="260">
        <f t="shared" ca="1" si="11"/>
        <v>0</v>
      </c>
      <c r="F13" s="392">
        <f ca="1">IF(ISTEXT($G$6),IF(NOT(ISBLANK($AM13)),AM13/kg_per_h_to_tonne_per_y/_xlfn.XLOOKUP($G$6,'Lookup Tables'!$B$173:$B$180,'Lookup Tables'!$F$173:$F$180,,0,1),0),"")</f>
        <v>0</v>
      </c>
      <c r="G13" s="829"/>
      <c r="H13" s="840" t="str">
        <f t="shared" si="0"/>
        <v/>
      </c>
      <c r="I13" s="841"/>
      <c r="J13" s="842"/>
      <c r="AB13" s="237" t="str">
        <f ca="1">'Translation Table'!H2872</f>
        <v>Solid</v>
      </c>
      <c r="AC13" s="296" t="str">
        <f ca="1">'Translation Table'!H2885</f>
        <v>Petroleum Coke</v>
      </c>
      <c r="AD13" s="890"/>
      <c r="AE13" s="260">
        <f>IF(N($D13)&gt;0,D13*_xlfn.XLOOKUP($G$6,'Lookup Tables'!$B$173:$B$180,'Lookup Tables'!$F$173:$F$180,,0,1)*kg_per_h_to_tonne_per_y,0)</f>
        <v>0</v>
      </c>
      <c r="AF13" s="292">
        <f t="shared" ca="1" si="1"/>
        <v>0</v>
      </c>
      <c r="AG13" s="292">
        <f t="shared" ca="1" si="2"/>
        <v>0</v>
      </c>
      <c r="AH13" s="292">
        <f t="shared" ca="1" si="3"/>
        <v>0</v>
      </c>
      <c r="AI13" s="292">
        <f t="shared" ca="1" si="4"/>
        <v>0</v>
      </c>
      <c r="AJ13" s="292">
        <f t="shared" ca="1" si="5"/>
        <v>0</v>
      </c>
      <c r="AK13" s="260">
        <f t="shared" ca="1" si="6"/>
        <v>0</v>
      </c>
      <c r="AL13" s="260">
        <f t="shared" ca="1" si="7"/>
        <v>0</v>
      </c>
      <c r="AM13" s="260">
        <f t="shared" ca="1" si="8"/>
        <v>0</v>
      </c>
      <c r="AN13" s="237" t="str">
        <f t="shared" ca="1" si="9"/>
        <v>tonne/y</v>
      </c>
      <c r="AO13" s="298">
        <f t="shared" ca="1" si="10"/>
        <v>1</v>
      </c>
    </row>
    <row r="14" spans="1:41" x14ac:dyDescent="0.35">
      <c r="A14" s="857" t="str">
        <f ca="1">'Translation Table'!H3074</f>
        <v>Liquid Fuels</v>
      </c>
      <c r="B14" s="268" t="str">
        <f ca="1">'Translation Table'!H3084</f>
        <v>Crude Oil</v>
      </c>
      <c r="C14" s="857" t="str">
        <f ca="1">'Translation Table'!H3093</f>
        <v>All</v>
      </c>
      <c r="D14" s="291"/>
      <c r="E14" s="294">
        <f ca="1">IF(ISTEXT($G$14),F14-D14,"")</f>
        <v>0</v>
      </c>
      <c r="F14" s="391">
        <f ca="1">IF(ISTEXT($G$14),IF(NOT(ISBLANK($AM14)),AM14/m3_per_h_to_m3_per_y/_xlfn.XLOOKUP($G$14,'Lookup Tables'!$C$173:$C$180,'Lookup Tables'!$G$173:$G$180,,0,1),0),"")</f>
        <v>0</v>
      </c>
      <c r="G14" s="830" t="s">
        <v>2845</v>
      </c>
      <c r="H14" s="840" t="str">
        <f t="shared" ref="H14:H23" si="12">IF(AND(D14&lt;&gt;0,$G$14=""),LOOKUP("Err14",TblErrorMsg),"")</f>
        <v/>
      </c>
      <c r="I14" s="841"/>
      <c r="J14" s="842"/>
      <c r="AB14" s="237" t="str">
        <f ca="1">'Translation Table'!H2873</f>
        <v>Liquid</v>
      </c>
      <c r="AC14" s="296" t="str">
        <f ca="1">'Translation Table'!H2887</f>
        <v>Crude Oil</v>
      </c>
      <c r="AD14" s="857" t="str">
        <f ca="1">'Translation Table'!H3093</f>
        <v>All</v>
      </c>
      <c r="AE14" s="260">
        <f>IF(N($D14)&gt;0,D14*_xlfn.XLOOKUP($G$14,'Lookup Tables'!$C$173:$C$180,'Lookup Tables'!$G$173:$G$180,,0,1)*m3_per_h_to_m3_per_y,0)</f>
        <v>0</v>
      </c>
      <c r="AF14" s="292">
        <f t="shared" ref="AF14:AF23" ca="1" si="13">(SUMIFS(AD$40:AD$50,AB$40:AB$50,AB14,AC$40:AC$50,AC14)+SUMIFS(AD$58:AD$67,AB$58:AB$67,AB14,AC$58:AC$67,AC14)+SUMIFS(AD$76:AD$85,AB$76:AB$85,AB14,AC$76:AC$85,AC14))*m3_per_h_to_m3_per_y</f>
        <v>0</v>
      </c>
      <c r="AG14" s="292">
        <f t="shared" ref="AG14:AG23" ca="1" si="14">(SUMIFS(AE$40:AE$50,AB$40:AB$50,AB14,AC$40:AC$50,AC14)+SUMIFS(AE$58:AE$67,AB$58:AB$67,AB14,AC$58:AC$67,AC14)+SUMIFS(AE$76:AE$85,AB$76:AB$85,AB14,AC$76:AC$85,AC14))*m3_per_h_to_m3_per_y</f>
        <v>0</v>
      </c>
      <c r="AH14" s="292">
        <f t="shared" ca="1" si="3"/>
        <v>0</v>
      </c>
      <c r="AI14" s="292">
        <f t="shared" ca="1" si="4"/>
        <v>0</v>
      </c>
      <c r="AJ14" s="292">
        <f t="shared" ca="1" si="5"/>
        <v>0</v>
      </c>
      <c r="AK14" s="260">
        <f t="shared" ref="AK14:AK23" ca="1" si="15">IF(AE14&gt;0,AE14,SUMIFS(AH$40:AH$50,AB$40:AB$50,AB14,AC$40:AC$50,AC14)+SUMIFS(AH$58:AH$67,AB$58:AB$67,AB14,AC$58:AC$67,AC14)+SUMIFS(AH$76:AH$85,AB$76:AB$85,AB14,AC$76:AC$85,AC14))</f>
        <v>0</v>
      </c>
      <c r="AL14" s="260">
        <f t="shared" ca="1" si="7"/>
        <v>0</v>
      </c>
      <c r="AM14" s="260">
        <f t="shared" ca="1" si="8"/>
        <v>0</v>
      </c>
      <c r="AN14" s="237" t="str">
        <f t="shared" ca="1" si="9"/>
        <v>m3/y</v>
      </c>
      <c r="AO14" s="298">
        <f t="shared" ca="1" si="10"/>
        <v>1</v>
      </c>
    </row>
    <row r="15" spans="1:41" x14ac:dyDescent="0.35">
      <c r="A15" s="858"/>
      <c r="B15" s="237" t="str">
        <f ca="1">'Translation Table'!H3085</f>
        <v>Fuel Oil</v>
      </c>
      <c r="C15" s="858"/>
      <c r="D15" s="291"/>
      <c r="E15" s="260">
        <f t="shared" ref="E15:E23" ca="1" si="16">IF(ISTEXT($G$14),F15-D15,"")</f>
        <v>0</v>
      </c>
      <c r="F15" s="392">
        <f ca="1">IF(ISTEXT($G$14),IF(NOT(ISBLANK($AM15)),AM15/m3_per_h_to_m3_per_y/_xlfn.XLOOKUP($G$14,'Lookup Tables'!$C$173:$C$180,'Lookup Tables'!$G$173:$G$180,,0,1),0),"")</f>
        <v>0</v>
      </c>
      <c r="G15" s="831"/>
      <c r="H15" s="840" t="str">
        <f t="shared" si="12"/>
        <v/>
      </c>
      <c r="I15" s="841"/>
      <c r="J15" s="842"/>
      <c r="AB15" s="237" t="str">
        <f ca="1">'Translation Table'!H2873</f>
        <v>Liquid</v>
      </c>
      <c r="AC15" s="296" t="str">
        <f ca="1">'Translation Table'!H2888</f>
        <v>Fuel Oil</v>
      </c>
      <c r="AD15" s="858"/>
      <c r="AE15" s="260">
        <f>IF(N($D15)&gt;0,D15*_xlfn.XLOOKUP($G$14,'Lookup Tables'!$C$173:$C$180,'Lookup Tables'!$G$173:$G$180,,0,1)*m3_per_h_to_m3_per_y,0)</f>
        <v>0</v>
      </c>
      <c r="AF15" s="292">
        <f t="shared" ca="1" si="13"/>
        <v>0</v>
      </c>
      <c r="AG15" s="292">
        <f t="shared" ca="1" si="14"/>
        <v>0</v>
      </c>
      <c r="AH15" s="292">
        <f t="shared" ca="1" si="3"/>
        <v>0</v>
      </c>
      <c r="AI15" s="292">
        <f t="shared" ca="1" si="4"/>
        <v>0</v>
      </c>
      <c r="AJ15" s="292">
        <f t="shared" ca="1" si="5"/>
        <v>0</v>
      </c>
      <c r="AK15" s="260">
        <f t="shared" ca="1" si="15"/>
        <v>0</v>
      </c>
      <c r="AL15" s="260">
        <f t="shared" ca="1" si="7"/>
        <v>0</v>
      </c>
      <c r="AM15" s="260">
        <f t="shared" ca="1" si="8"/>
        <v>0</v>
      </c>
      <c r="AN15" s="237" t="str">
        <f t="shared" ca="1" si="9"/>
        <v>m3/y</v>
      </c>
      <c r="AO15" s="298">
        <f t="shared" ca="1" si="10"/>
        <v>1</v>
      </c>
    </row>
    <row r="16" spans="1:41" x14ac:dyDescent="0.35">
      <c r="A16" s="858"/>
      <c r="B16" s="268" t="str">
        <f ca="1">'Translation Table'!H3086</f>
        <v>Gasoline</v>
      </c>
      <c r="C16" s="858"/>
      <c r="D16" s="291"/>
      <c r="E16" s="294">
        <f t="shared" ca="1" si="16"/>
        <v>0</v>
      </c>
      <c r="F16" s="391">
        <f ca="1">IF(ISTEXT($G$14),IF(NOT(ISBLANK($AM16)),AM16/m3_per_h_to_m3_per_y/_xlfn.XLOOKUP($G$14,'Lookup Tables'!$C$173:$C$180,'Lookup Tables'!$G$173:$G$180,,0,1),0),"")</f>
        <v>0</v>
      </c>
      <c r="G16" s="831"/>
      <c r="H16" s="840" t="str">
        <f t="shared" si="12"/>
        <v/>
      </c>
      <c r="I16" s="841"/>
      <c r="J16" s="842"/>
      <c r="AB16" s="237" t="str">
        <f ca="1">'Translation Table'!H2873</f>
        <v>Liquid</v>
      </c>
      <c r="AC16" s="296" t="str">
        <f ca="1">'Translation Table'!H2889</f>
        <v>Gasoline</v>
      </c>
      <c r="AD16" s="858"/>
      <c r="AE16" s="260">
        <f>IF(N($D16)&gt;0,D16*_xlfn.XLOOKUP($G$14,'Lookup Tables'!$C$173:$C$180,'Lookup Tables'!$G$173:$G$180,,0,1)*m3_per_h_to_m3_per_y,0)</f>
        <v>0</v>
      </c>
      <c r="AF16" s="292">
        <f t="shared" ca="1" si="13"/>
        <v>0</v>
      </c>
      <c r="AG16" s="292">
        <f t="shared" ca="1" si="14"/>
        <v>0</v>
      </c>
      <c r="AH16" s="292">
        <f t="shared" ca="1" si="3"/>
        <v>0</v>
      </c>
      <c r="AI16" s="292">
        <f t="shared" ca="1" si="4"/>
        <v>0</v>
      </c>
      <c r="AJ16" s="292">
        <f t="shared" ca="1" si="5"/>
        <v>0</v>
      </c>
      <c r="AK16" s="260">
        <f t="shared" ca="1" si="15"/>
        <v>0</v>
      </c>
      <c r="AL16" s="260">
        <f t="shared" ca="1" si="7"/>
        <v>0</v>
      </c>
      <c r="AM16" s="260">
        <f t="shared" ca="1" si="8"/>
        <v>0</v>
      </c>
      <c r="AN16" s="237" t="str">
        <f t="shared" ca="1" si="9"/>
        <v>m3/y</v>
      </c>
      <c r="AO16" s="298">
        <f t="shared" ca="1" si="10"/>
        <v>1</v>
      </c>
    </row>
    <row r="17" spans="1:44" x14ac:dyDescent="0.35">
      <c r="A17" s="858"/>
      <c r="B17" s="237" t="str">
        <f ca="1">'Translation Table'!H3087</f>
        <v>Diesel</v>
      </c>
      <c r="C17" s="858"/>
      <c r="D17" s="291"/>
      <c r="E17" s="260">
        <f t="shared" ca="1" si="16"/>
        <v>0</v>
      </c>
      <c r="F17" s="392">
        <f ca="1">IF(ISTEXT($G$14),IF(NOT(ISBLANK($AM17)),AM17/m3_per_h_to_m3_per_y/_xlfn.XLOOKUP($G$14,'Lookup Tables'!$C$173:$C$180,'Lookup Tables'!$G$173:$G$180,,0,1),0),"")</f>
        <v>0</v>
      </c>
      <c r="G17" s="831"/>
      <c r="H17" s="840" t="str">
        <f t="shared" si="12"/>
        <v/>
      </c>
      <c r="I17" s="841"/>
      <c r="J17" s="842"/>
      <c r="AB17" s="237" t="str">
        <f ca="1">'Translation Table'!H2873</f>
        <v>Liquid</v>
      </c>
      <c r="AC17" s="296" t="str">
        <f ca="1">'Translation Table'!H2890</f>
        <v>Diesel</v>
      </c>
      <c r="AD17" s="858"/>
      <c r="AE17" s="260">
        <f>IF(N($D17)&gt;0,D17*_xlfn.XLOOKUP($G$14,'Lookup Tables'!$C$173:$C$180,'Lookup Tables'!$G$173:$G$180,,0,1)*m3_per_h_to_m3_per_y,0)</f>
        <v>0</v>
      </c>
      <c r="AF17" s="292">
        <f t="shared" ca="1" si="13"/>
        <v>0</v>
      </c>
      <c r="AG17" s="292">
        <f t="shared" ca="1" si="14"/>
        <v>0</v>
      </c>
      <c r="AH17" s="292">
        <f t="shared" ca="1" si="3"/>
        <v>0</v>
      </c>
      <c r="AI17" s="292">
        <f t="shared" ca="1" si="4"/>
        <v>0</v>
      </c>
      <c r="AJ17" s="292">
        <f t="shared" ca="1" si="5"/>
        <v>0</v>
      </c>
      <c r="AK17" s="260">
        <f t="shared" ca="1" si="15"/>
        <v>0</v>
      </c>
      <c r="AL17" s="260">
        <f t="shared" ca="1" si="7"/>
        <v>0</v>
      </c>
      <c r="AM17" s="260">
        <f t="shared" ca="1" si="8"/>
        <v>0</v>
      </c>
      <c r="AN17" s="237" t="str">
        <f t="shared" ca="1" si="9"/>
        <v>m3/y</v>
      </c>
      <c r="AO17" s="298">
        <f t="shared" ca="1" si="10"/>
        <v>1</v>
      </c>
    </row>
    <row r="18" spans="1:44" x14ac:dyDescent="0.35">
      <c r="A18" s="858"/>
      <c r="B18" s="268" t="str">
        <f ca="1">'Translation Table'!H3089</f>
        <v>Aviation Kerosene</v>
      </c>
      <c r="C18" s="858"/>
      <c r="D18" s="291"/>
      <c r="E18" s="294">
        <f t="shared" ca="1" si="16"/>
        <v>0</v>
      </c>
      <c r="F18" s="391">
        <f ca="1">IF(ISTEXT($G$14),IF(NOT(ISBLANK($AM18)),AM18/m3_per_h_to_m3_per_y/_xlfn.XLOOKUP($G$14,'Lookup Tables'!$C$173:$C$180,'Lookup Tables'!$G$173:$G$180,,0,1),0),"")</f>
        <v>0</v>
      </c>
      <c r="G18" s="831"/>
      <c r="H18" s="840" t="str">
        <f t="shared" si="12"/>
        <v/>
      </c>
      <c r="I18" s="841"/>
      <c r="J18" s="842"/>
      <c r="AB18" s="237" t="str">
        <f ca="1">'Translation Table'!H2873</f>
        <v>Liquid</v>
      </c>
      <c r="AC18" s="296" t="str">
        <f ca="1">'Translation Table'!H2891</f>
        <v>Aviation Kerosene</v>
      </c>
      <c r="AD18" s="858"/>
      <c r="AE18" s="260">
        <f>IF(N($D18)&gt;0,D18*_xlfn.XLOOKUP($G$14,'Lookup Tables'!$C$173:$C$180,'Lookup Tables'!$G$173:$G$180,,0,1)*m3_per_h_to_m3_per_y,0)</f>
        <v>0</v>
      </c>
      <c r="AF18" s="292">
        <f t="shared" ca="1" si="13"/>
        <v>0</v>
      </c>
      <c r="AG18" s="292">
        <f t="shared" ca="1" si="14"/>
        <v>0</v>
      </c>
      <c r="AH18" s="292">
        <f t="shared" ca="1" si="3"/>
        <v>0</v>
      </c>
      <c r="AI18" s="292">
        <f t="shared" ca="1" si="4"/>
        <v>0</v>
      </c>
      <c r="AJ18" s="292">
        <f t="shared" ca="1" si="5"/>
        <v>0</v>
      </c>
      <c r="AK18" s="260">
        <f t="shared" ca="1" si="15"/>
        <v>0</v>
      </c>
      <c r="AL18" s="260">
        <f t="shared" ca="1" si="7"/>
        <v>0</v>
      </c>
      <c r="AM18" s="260">
        <f t="shared" ca="1" si="8"/>
        <v>0</v>
      </c>
      <c r="AN18" s="237" t="str">
        <f t="shared" ca="1" si="9"/>
        <v>m3/y</v>
      </c>
      <c r="AO18" s="298">
        <f t="shared" ca="1" si="10"/>
        <v>1</v>
      </c>
      <c r="AP18" s="903" t="s">
        <v>3060</v>
      </c>
      <c r="AQ18" s="903" t="s">
        <v>3062</v>
      </c>
      <c r="AR18" s="903" t="s">
        <v>3063</v>
      </c>
    </row>
    <row r="19" spans="1:44" ht="16.5" customHeight="1" x14ac:dyDescent="0.35">
      <c r="A19" s="858"/>
      <c r="B19" s="237" t="str">
        <f ca="1">'Translation Table'!H3090</f>
        <v>Common Kerosene</v>
      </c>
      <c r="C19" s="858"/>
      <c r="D19" s="291"/>
      <c r="E19" s="260">
        <f t="shared" ca="1" si="16"/>
        <v>0</v>
      </c>
      <c r="F19" s="392">
        <f ca="1">IF(ISTEXT($G$14),IF(NOT(ISBLANK($AM19)),AM19/m3_per_h_to_m3_per_y/_xlfn.XLOOKUP($G$14,'Lookup Tables'!$C$173:$C$180,'Lookup Tables'!$G$173:$G$180,,0,1),0),"")</f>
        <v>0</v>
      </c>
      <c r="G19" s="831"/>
      <c r="H19" s="840" t="str">
        <f t="shared" si="12"/>
        <v/>
      </c>
      <c r="I19" s="841"/>
      <c r="J19" s="842"/>
      <c r="AB19" s="237" t="str">
        <f ca="1">'Translation Table'!H2873</f>
        <v>Liquid</v>
      </c>
      <c r="AC19" s="296" t="str">
        <f ca="1">'Translation Table'!H2892</f>
        <v>Common Kerosene</v>
      </c>
      <c r="AD19" s="858"/>
      <c r="AE19" s="260">
        <f>IF(N($D19)&gt;0,D19*_xlfn.XLOOKUP($G$14,'Lookup Tables'!$C$173:$C$180,'Lookup Tables'!$G$173:$G$180,,0,1)*m3_per_h_to_m3_per_y,0)</f>
        <v>0</v>
      </c>
      <c r="AF19" s="292">
        <f t="shared" ca="1" si="13"/>
        <v>0</v>
      </c>
      <c r="AG19" s="292">
        <f t="shared" ca="1" si="14"/>
        <v>0</v>
      </c>
      <c r="AH19" s="292">
        <f t="shared" ca="1" si="3"/>
        <v>0</v>
      </c>
      <c r="AI19" s="292">
        <f t="shared" ca="1" si="4"/>
        <v>0</v>
      </c>
      <c r="AJ19" s="292">
        <f t="shared" ca="1" si="5"/>
        <v>0</v>
      </c>
      <c r="AK19" s="260">
        <f t="shared" ca="1" si="15"/>
        <v>0</v>
      </c>
      <c r="AL19" s="260">
        <f t="shared" ca="1" si="7"/>
        <v>0</v>
      </c>
      <c r="AM19" s="260">
        <f t="shared" ca="1" si="8"/>
        <v>0</v>
      </c>
      <c r="AN19" s="237" t="str">
        <f t="shared" ca="1" si="9"/>
        <v>m3/y</v>
      </c>
      <c r="AO19" s="298">
        <f t="shared" ca="1" si="10"/>
        <v>1</v>
      </c>
      <c r="AP19" s="903"/>
      <c r="AQ19" s="903"/>
      <c r="AR19" s="903"/>
    </row>
    <row r="20" spans="1:44" ht="16.5" customHeight="1" x14ac:dyDescent="0.35">
      <c r="A20" s="858"/>
      <c r="B20" s="268" t="str">
        <f ca="1">'Translation Table'!H3088</f>
        <v>Naphtha</v>
      </c>
      <c r="C20" s="858"/>
      <c r="D20" s="291"/>
      <c r="E20" s="294">
        <f t="shared" ca="1" si="16"/>
        <v>0</v>
      </c>
      <c r="F20" s="391">
        <f ca="1">IF(ISTEXT($G$14),IF(NOT(ISBLANK($AM20)),AM20/m3_per_h_to_m3_per_y/_xlfn.XLOOKUP($G$14,'Lookup Tables'!$C$173:$C$180,'Lookup Tables'!$G$173:$G$180,,0,1),0),"")</f>
        <v>0</v>
      </c>
      <c r="G20" s="831"/>
      <c r="H20" s="840" t="str">
        <f t="shared" si="12"/>
        <v/>
      </c>
      <c r="I20" s="841"/>
      <c r="J20" s="842"/>
      <c r="AB20" s="237" t="str">
        <f ca="1">'Translation Table'!H2873</f>
        <v>Liquid</v>
      </c>
      <c r="AC20" s="296" t="str">
        <f ca="1">'Translation Table'!H2893</f>
        <v>Naphtha</v>
      </c>
      <c r="AD20" s="858"/>
      <c r="AE20" s="260">
        <f>IF(N($D20)&gt;0,D20*_xlfn.XLOOKUP($G$14,'Lookup Tables'!$C$173:$C$180,'Lookup Tables'!$G$173:$G$180,,0,1)*m3_per_h_to_m3_per_y,0)</f>
        <v>0</v>
      </c>
      <c r="AF20" s="292">
        <f t="shared" ca="1" si="13"/>
        <v>0</v>
      </c>
      <c r="AG20" s="292">
        <f t="shared" ca="1" si="14"/>
        <v>0</v>
      </c>
      <c r="AH20" s="292">
        <f t="shared" ca="1" si="3"/>
        <v>0</v>
      </c>
      <c r="AI20" s="292">
        <f ca="1">IF(AE20&gt;0,0,AG20)</f>
        <v>0</v>
      </c>
      <c r="AJ20" s="292">
        <f t="shared" ca="1" si="5"/>
        <v>0</v>
      </c>
      <c r="AK20" s="260">
        <f t="shared" ca="1" si="15"/>
        <v>0</v>
      </c>
      <c r="AL20" s="260">
        <f t="shared" ca="1" si="7"/>
        <v>0</v>
      </c>
      <c r="AM20" s="260">
        <f t="shared" ca="1" si="8"/>
        <v>0</v>
      </c>
      <c r="AN20" s="237" t="str">
        <f t="shared" ca="1" si="9"/>
        <v>m3/y</v>
      </c>
      <c r="AO20" s="298">
        <f t="shared" ca="1" si="10"/>
        <v>1</v>
      </c>
      <c r="AP20" s="903"/>
      <c r="AQ20" s="903"/>
      <c r="AR20" s="903"/>
    </row>
    <row r="21" spans="1:44" ht="16.5" customHeight="1" x14ac:dyDescent="0.35">
      <c r="A21" s="858"/>
      <c r="B21" s="237" t="str">
        <f ca="1">'Translation Table'!H3091</f>
        <v>Liquefied Petroleum Gas</v>
      </c>
      <c r="C21" s="858"/>
      <c r="D21" s="291"/>
      <c r="E21" s="260">
        <f t="shared" ca="1" si="16"/>
        <v>0</v>
      </c>
      <c r="F21" s="392">
        <f ca="1">IF(ISTEXT($G$14),IF(NOT(ISBLANK($AM21)),AM21/m3_per_h_to_m3_per_y/_xlfn.XLOOKUP($G$14,'Lookup Tables'!$C$173:$C$180,'Lookup Tables'!$G$173:$G$180,,0,1),0),"")</f>
        <v>0</v>
      </c>
      <c r="G21" s="831"/>
      <c r="H21" s="840" t="str">
        <f t="shared" si="12"/>
        <v/>
      </c>
      <c r="I21" s="841"/>
      <c r="J21" s="842"/>
      <c r="AB21" s="237" t="str">
        <f ca="1">'Translation Table'!H2873</f>
        <v>Liquid</v>
      </c>
      <c r="AC21" s="296" t="str">
        <f ca="1">'Translation Table'!H2894</f>
        <v>Liquefied Petroleum Gas</v>
      </c>
      <c r="AD21" s="858"/>
      <c r="AE21" s="260">
        <f>IF(N($D21)&gt;0,D21*_xlfn.XLOOKUP($G$14,'Lookup Tables'!$C$173:$C$180,'Lookup Tables'!$G$173:$G$180,,0,1)*m3_per_h_to_m3_per_y,0)</f>
        <v>0</v>
      </c>
      <c r="AF21" s="292">
        <f t="shared" ca="1" si="13"/>
        <v>0</v>
      </c>
      <c r="AG21" s="292">
        <f t="shared" ca="1" si="14"/>
        <v>0</v>
      </c>
      <c r="AH21" s="292">
        <f t="shared" ca="1" si="3"/>
        <v>0</v>
      </c>
      <c r="AI21" s="292">
        <f ca="1">IF(AE21&gt;0,0,AG21)</f>
        <v>0</v>
      </c>
      <c r="AJ21" s="292">
        <f t="shared" ca="1" si="5"/>
        <v>0</v>
      </c>
      <c r="AK21" s="260">
        <f t="shared" ca="1" si="15"/>
        <v>0</v>
      </c>
      <c r="AL21" s="260">
        <f t="shared" ca="1" si="7"/>
        <v>0</v>
      </c>
      <c r="AM21" s="260">
        <f t="shared" ca="1" si="8"/>
        <v>0</v>
      </c>
      <c r="AN21" s="237" t="str">
        <f t="shared" ca="1" si="9"/>
        <v>m3/y</v>
      </c>
      <c r="AO21" s="298">
        <f t="shared" ca="1" si="10"/>
        <v>1</v>
      </c>
      <c r="AP21" s="903"/>
      <c r="AQ21" s="903"/>
      <c r="AR21" s="903"/>
    </row>
    <row r="22" spans="1:44" ht="16.5" customHeight="1" x14ac:dyDescent="0.35">
      <c r="A22" s="858"/>
      <c r="B22" s="268" t="str">
        <f ca="1">'Translation Table'!H3092</f>
        <v>Liquefied Natural Gas</v>
      </c>
      <c r="C22" s="858"/>
      <c r="D22" s="291"/>
      <c r="E22" s="294">
        <f t="shared" ca="1" si="16"/>
        <v>0</v>
      </c>
      <c r="F22" s="391">
        <f ca="1">IF(ISTEXT($G$14),IF(NOT(ISBLANK($AM22)),AM22/m3_per_h_to_m3_per_y/_xlfn.XLOOKUP($G$14,'Lookup Tables'!$C$173:$C$180,'Lookup Tables'!$G$173:$G$180,,0,1),0),"")</f>
        <v>0</v>
      </c>
      <c r="G22" s="831"/>
      <c r="H22" s="840" t="str">
        <f t="shared" si="12"/>
        <v/>
      </c>
      <c r="I22" s="841"/>
      <c r="J22" s="842"/>
      <c r="AB22" s="237" t="str">
        <f ca="1">'Translation Table'!H2873</f>
        <v>Liquid</v>
      </c>
      <c r="AC22" s="296" t="str">
        <f ca="1">'Translation Table'!H2895</f>
        <v>Liquefied Natural Gas</v>
      </c>
      <c r="AD22" s="858"/>
      <c r="AE22" s="260">
        <f>IF(N($D22)&gt;0,D22*_xlfn.XLOOKUP($G$14,'Lookup Tables'!$C$173:$C$180,'Lookup Tables'!$G$173:$G$180,,0,1)*m3_per_h_to_m3_per_y,0)</f>
        <v>0</v>
      </c>
      <c r="AF22" s="292">
        <f t="shared" ca="1" si="13"/>
        <v>0</v>
      </c>
      <c r="AG22" s="292">
        <f t="shared" ca="1" si="14"/>
        <v>0</v>
      </c>
      <c r="AH22" s="292">
        <f ca="1">AG22*AO22</f>
        <v>0</v>
      </c>
      <c r="AI22" s="292">
        <f ca="1">IF(AE22&gt;0,0,AG22)</f>
        <v>0</v>
      </c>
      <c r="AJ22" s="292">
        <f ca="1">AH22</f>
        <v>0</v>
      </c>
      <c r="AK22" s="260">
        <f t="shared" ca="1" si="15"/>
        <v>0</v>
      </c>
      <c r="AL22" s="260">
        <f ca="1">IF(AE22&gt;0,AE22,AF22+AJ22)</f>
        <v>0</v>
      </c>
      <c r="AM22" s="260">
        <f ca="1">AL22</f>
        <v>0</v>
      </c>
      <c r="AN22" s="237" t="str">
        <f ca="1">IF(AB22=Solid,"tonne/y",IF(AB22=Liquid,"m3/y",IF(AB22=Gaseous,"E3 m3/y","")))</f>
        <v>m3/y</v>
      </c>
      <c r="AO22" s="298">
        <f ca="1">IF(AND((AE22-AF22)&gt;0,AG22&gt;0),(AE22-AF22)/AG22,1)</f>
        <v>1</v>
      </c>
      <c r="AP22" s="903"/>
      <c r="AQ22" s="903"/>
      <c r="AR22" s="903"/>
    </row>
    <row r="23" spans="1:44" x14ac:dyDescent="0.35">
      <c r="A23" s="858"/>
      <c r="B23" s="257" t="str">
        <f ca="1">'Translation Table'!H358</f>
        <v>Propane (liquid)</v>
      </c>
      <c r="C23" s="858"/>
      <c r="D23" s="291"/>
      <c r="E23" s="260">
        <f t="shared" ca="1" si="16"/>
        <v>0</v>
      </c>
      <c r="F23" s="392">
        <f ca="1">IF(ISTEXT($G$14),IF(NOT(ISBLANK($AM23)),AM23/m3_per_h_to_m3_per_y/_xlfn.XLOOKUP($G$14,'Lookup Tables'!$C$173:$C$180,'Lookup Tables'!$G$173:$G$180,,0,1),0),"")</f>
        <v>0</v>
      </c>
      <c r="G23" s="831"/>
      <c r="H23" s="840" t="str">
        <f t="shared" si="12"/>
        <v/>
      </c>
      <c r="I23" s="841"/>
      <c r="J23" s="842"/>
      <c r="AB23" s="237" t="str">
        <f ca="1">'Translation Table'!H2873</f>
        <v>Liquid</v>
      </c>
      <c r="AC23" s="296" t="str">
        <f ca="1">'Translation Table'!H2896</f>
        <v>Propane (liquid)</v>
      </c>
      <c r="AD23" s="858"/>
      <c r="AE23" s="260">
        <f>IF(N($D23)&gt;0,D23*_xlfn.XLOOKUP($G$14,'Lookup Tables'!$C$173:$C$180,'Lookup Tables'!$G$173:$G$180,,0,1)*m3_per_h_to_m3_per_y,0)</f>
        <v>0</v>
      </c>
      <c r="AF23" s="292">
        <f t="shared" ca="1" si="13"/>
        <v>0</v>
      </c>
      <c r="AG23" s="292">
        <f t="shared" ca="1" si="14"/>
        <v>0</v>
      </c>
      <c r="AH23" s="292">
        <f t="shared" ca="1" si="3"/>
        <v>0</v>
      </c>
      <c r="AI23" s="292">
        <f ca="1">IF(AE23&gt;0,0,AG23)</f>
        <v>0</v>
      </c>
      <c r="AJ23" s="292">
        <f t="shared" ca="1" si="5"/>
        <v>0</v>
      </c>
      <c r="AK23" s="260">
        <f t="shared" ca="1" si="15"/>
        <v>0</v>
      </c>
      <c r="AL23" s="260">
        <f t="shared" ca="1" si="7"/>
        <v>0</v>
      </c>
      <c r="AM23" s="260">
        <f t="shared" ca="1" si="8"/>
        <v>0</v>
      </c>
      <c r="AN23" s="237" t="str">
        <f t="shared" ca="1" si="9"/>
        <v>m3/y</v>
      </c>
      <c r="AO23" s="298">
        <f t="shared" ca="1" si="10"/>
        <v>1</v>
      </c>
      <c r="AP23" s="903"/>
      <c r="AQ23" s="903"/>
      <c r="AR23" s="903"/>
    </row>
    <row r="24" spans="1:44" x14ac:dyDescent="0.35">
      <c r="A24" s="859" t="str">
        <f ca="1">'Translation Table'!H3075</f>
        <v>Gaseous Fuels</v>
      </c>
      <c r="B24" s="860"/>
      <c r="C24" s="268" t="str">
        <f ca="1">'Translation Table'!H3094</f>
        <v>Total Facility</v>
      </c>
      <c r="D24" s="291"/>
      <c r="E24" s="294">
        <f ca="1">IF(ISTEXT($G$24),SUM(E25:E30),"")</f>
        <v>0</v>
      </c>
      <c r="F24" s="391">
        <f ca="1">IF(ISTEXT($G$24),IF(NOT(ISBLANK($AM24)),AM24/m3_per_h_to_E3m3_per_y/_xlfn.XLOOKUP($G$24,'Lookup Tables'!$D$173:$D$180,'Lookup Tables'!$H$173:$H$180,,0,1),0),"")</f>
        <v>0</v>
      </c>
      <c r="G24" s="830" t="s">
        <v>2443</v>
      </c>
      <c r="H24" s="840" t="str">
        <f t="shared" ref="H24:H30" si="17">IF(AND(D24&lt;&gt;0,$G$24=""),LOOKUP("Err14",TblErrorMsg),"")</f>
        <v/>
      </c>
      <c r="I24" s="841"/>
      <c r="J24" s="842"/>
      <c r="AB24" s="237" t="str">
        <f ca="1">'Translation Table'!H2874</f>
        <v>Gaseous</v>
      </c>
      <c r="AC24" s="912" t="str">
        <f ca="1">'Translation Table'!H254</f>
        <v>Fuel Gas</v>
      </c>
      <c r="AD24" s="237" t="str">
        <f ca="1">'Translation Table'!H3094</f>
        <v>Total Facility</v>
      </c>
      <c r="AE24" s="260">
        <f>IF(N($D24)&gt;0,D24*_xlfn.XLOOKUP($G$24,'Lookup Tables'!$D$173:$D$180,'Lookup Tables'!$H$173:$H$180,,0,1)*m3_per_h_to_E3m3_per_y,0)</f>
        <v>0</v>
      </c>
      <c r="AF24" s="260">
        <f t="shared" ref="AF24:AM24" ca="1" si="18">SUM(AF25:AF30)</f>
        <v>0</v>
      </c>
      <c r="AG24" s="260">
        <f t="shared" ca="1" si="18"/>
        <v>0</v>
      </c>
      <c r="AH24" s="260">
        <f t="shared" ca="1" si="18"/>
        <v>0</v>
      </c>
      <c r="AI24" s="292">
        <f t="shared" ca="1" si="18"/>
        <v>0</v>
      </c>
      <c r="AJ24" s="260">
        <f t="shared" ca="1" si="18"/>
        <v>0</v>
      </c>
      <c r="AK24" s="260">
        <f t="shared" ca="1" si="18"/>
        <v>0</v>
      </c>
      <c r="AL24" s="260">
        <f t="shared" ca="1" si="18"/>
        <v>0</v>
      </c>
      <c r="AM24" s="260">
        <f t="shared" ca="1" si="18"/>
        <v>0</v>
      </c>
      <c r="AN24" s="237" t="str">
        <f t="shared" ca="1" si="9"/>
        <v>E3 m3/y</v>
      </c>
      <c r="AO24" s="298">
        <f t="shared" ca="1" si="10"/>
        <v>1</v>
      </c>
      <c r="AP24" s="298">
        <f>IF(AE24=0,1,IF(AI24&gt;0,IF((AE24-(AK24-AI24))/AI24&gt;0,(AE24-(AK24-AI24))/AI24,1),1))</f>
        <v>1</v>
      </c>
      <c r="AQ24" s="393">
        <f>IF(AE24=0,1,IF(AI24&gt;0,AE24/AL24,1))</f>
        <v>1</v>
      </c>
      <c r="AR24" s="237">
        <f ca="1">IF(AL24&gt;0,IF(AE24&gt;0,AE24/AL24,1),1)</f>
        <v>1</v>
      </c>
    </row>
    <row r="25" spans="1:44" x14ac:dyDescent="0.3">
      <c r="A25" s="861"/>
      <c r="B25" s="862"/>
      <c r="C25" s="237" t="str">
        <f ca="1">'Translation Table'!H3095</f>
        <v xml:space="preserve">  -  Turbine</v>
      </c>
      <c r="D25" s="291"/>
      <c r="E25" s="260">
        <f t="shared" ref="E25:E30" ca="1" si="19">IF(ISTEXT($G$24),F25-D25,"")</f>
        <v>0</v>
      </c>
      <c r="F25" s="392">
        <f ca="1">IF(ISTEXT($G$24),IF(NOT(ISBLANK($AM25)),AM25/m3_per_h_to_E3m3_per_y/_xlfn.XLOOKUP($G$24,'Lookup Tables'!$D$173:$D$180,'Lookup Tables'!$H$173:$H$180,,0,1),0),"")</f>
        <v>0</v>
      </c>
      <c r="G25" s="831"/>
      <c r="H25" s="840" t="str">
        <f t="shared" si="17"/>
        <v/>
      </c>
      <c r="I25" s="841"/>
      <c r="J25" s="842"/>
      <c r="AB25" s="237" t="str">
        <f ca="1">'Translation Table'!H2874</f>
        <v>Gaseous</v>
      </c>
      <c r="AC25" s="913"/>
      <c r="AD25" s="193" t="str">
        <f ca="1">'Translation Table'!H2905</f>
        <v>Turbine</v>
      </c>
      <c r="AE25" s="260">
        <f>IF(N($D25)&gt;0,D25*_xlfn.XLOOKUP($G$24,'Lookup Tables'!$D$173:$D$180,'Lookup Tables'!$H$173:$H$180,,0,1)*m3_per_h_to_E3m3_per_y,0)</f>
        <v>0</v>
      </c>
      <c r="AF25" s="394">
        <f t="shared" ref="AF25:AF30" ca="1" si="20">(SUMIFS(AD$40:AD$50,AB$40:AB$50,AB25,A$40:A$50,AD25)+SUMIFS(AD$58:AD$67,AB$58:AB$67,AB25,A$58:A$67,AD25)+SUMIFS(AD$76:AD$85,AB$76:AB$85,AB25,A$76:A$85,AD25))*m3_per_h_to_E3m3_per_y</f>
        <v>0</v>
      </c>
      <c r="AG25" s="292">
        <f t="shared" ref="AG25:AG30" ca="1" si="21">(SUMIFS(AE$40:AE$50,AB$40:AB$50,AB25,A$40:A$50,AD25)+SUMIFS(AE$58:AE$67,AB$58:AB$67,AB25,A$58:A$67,AD25)+SUMIFS(AE$76:AE$85,AB$76:AB$85,AB25,A$76:A$85,AD25))*m3_per_h_to_E3m3_per_y</f>
        <v>0</v>
      </c>
      <c r="AH25" s="292">
        <f t="shared" ref="AH25:AH30" ca="1" si="22">AG25*AO25</f>
        <v>0</v>
      </c>
      <c r="AI25" s="292">
        <f t="shared" ref="AI25:AI30" ca="1" si="23">IF(AE25&gt;0,0,AG25)</f>
        <v>0</v>
      </c>
      <c r="AJ25" s="292">
        <f t="shared" ref="AJ25:AJ30" ca="1" si="24">AH25*AP25</f>
        <v>0</v>
      </c>
      <c r="AK25" s="292">
        <f t="shared" ref="AK25:AK30" ca="1" si="25">IF(AE25&gt;0,AE25,SUMIFS(AH$40:AH$50,AB$40:AB$50,AB25,A$40:A$50,AD25)+SUMIFS(AH$58:AH$67,AB$58:AB$67,AB25,A$58:A$67,AD25)+SUMIFS(AH$76:AH$85,AB$76:AB$85,AB25,A$76:A$85,AD25))</f>
        <v>0</v>
      </c>
      <c r="AL25" s="260">
        <f t="shared" ref="AL25:AL30" ca="1" si="26">IF(AE25&gt;0,AE25,AF25+AJ25)</f>
        <v>0</v>
      </c>
      <c r="AM25" s="260">
        <f t="shared" ref="AM25:AM30" ca="1" si="27">AL25*AR25</f>
        <v>0</v>
      </c>
      <c r="AN25" s="237" t="str">
        <f t="shared" ca="1" si="9"/>
        <v>E3 m3/y</v>
      </c>
      <c r="AO25" s="298">
        <f t="shared" ref="AO25:AO30" ca="1" si="28">IF(AND((AE25-AF25)&gt;0,AG25&gt;0),(AE25-AF25)/AG25,1)</f>
        <v>1</v>
      </c>
      <c r="AP25" s="298">
        <f t="shared" ref="AP25:AP30" ca="1" si="29">IF($AI25&gt;0,IF($AP$24&gt;0,$AP$24),1)</f>
        <v>1</v>
      </c>
      <c r="AQ25" s="393">
        <f t="shared" ref="AQ25:AQ30" si="30">IF(AQ$24&gt;0,AQ$24,1)</f>
        <v>1</v>
      </c>
      <c r="AR25" s="237">
        <f t="shared" ref="AR25:AR30" ca="1" si="31">AR$24</f>
        <v>1</v>
      </c>
    </row>
    <row r="26" spans="1:44" x14ac:dyDescent="0.3">
      <c r="A26" s="861"/>
      <c r="B26" s="862"/>
      <c r="C26" s="268" t="str">
        <f ca="1">'Translation Table'!H3096</f>
        <v xml:space="preserve">  -  Gas Engine (2-Stroke Lean-Burn)</v>
      </c>
      <c r="D26" s="291"/>
      <c r="E26" s="294">
        <f t="shared" ca="1" si="19"/>
        <v>0</v>
      </c>
      <c r="F26" s="391">
        <f ca="1">IF(ISTEXT($G$24),IF(NOT(ISBLANK($AM26)),AM26/m3_per_h_to_E3m3_per_y/_xlfn.XLOOKUP($G$24,'Lookup Tables'!$D$173:$D$180,'Lookup Tables'!$H$173:$H$180,,0,1),0),"")</f>
        <v>0</v>
      </c>
      <c r="G26" s="831"/>
      <c r="H26" s="840" t="str">
        <f t="shared" si="17"/>
        <v/>
      </c>
      <c r="I26" s="841"/>
      <c r="J26" s="842"/>
      <c r="AB26" s="237" t="str">
        <f ca="1">'Translation Table'!H2874</f>
        <v>Gaseous</v>
      </c>
      <c r="AC26" s="913"/>
      <c r="AD26" s="193" t="str">
        <f ca="1">'Translation Table'!H2906</f>
        <v>Gas Engine (2-Stroke Lean-Burn)</v>
      </c>
      <c r="AE26" s="260">
        <f>IF(N($D26)&gt;0,D26*_xlfn.XLOOKUP($G$24,'Lookup Tables'!$D$173:$D$180,'Lookup Tables'!$H$173:$H$180,,0,1)*m3_per_h_to_E3m3_per_y,0)</f>
        <v>0</v>
      </c>
      <c r="AF26" s="394">
        <f t="shared" ca="1" si="20"/>
        <v>0</v>
      </c>
      <c r="AG26" s="292">
        <f t="shared" ca="1" si="21"/>
        <v>0</v>
      </c>
      <c r="AH26" s="292">
        <f t="shared" ca="1" si="22"/>
        <v>0</v>
      </c>
      <c r="AI26" s="292">
        <f t="shared" ca="1" si="23"/>
        <v>0</v>
      </c>
      <c r="AJ26" s="292">
        <f t="shared" ca="1" si="24"/>
        <v>0</v>
      </c>
      <c r="AK26" s="292">
        <f t="shared" ca="1" si="25"/>
        <v>0</v>
      </c>
      <c r="AL26" s="260">
        <f t="shared" ca="1" si="26"/>
        <v>0</v>
      </c>
      <c r="AM26" s="260">
        <f t="shared" ca="1" si="27"/>
        <v>0</v>
      </c>
      <c r="AN26" s="237" t="str">
        <f t="shared" ca="1" si="9"/>
        <v>E3 m3/y</v>
      </c>
      <c r="AO26" s="298">
        <f t="shared" ca="1" si="28"/>
        <v>1</v>
      </c>
      <c r="AP26" s="298">
        <f t="shared" ca="1" si="29"/>
        <v>1</v>
      </c>
      <c r="AQ26" s="393">
        <f t="shared" si="30"/>
        <v>1</v>
      </c>
      <c r="AR26" s="237">
        <f t="shared" ca="1" si="31"/>
        <v>1</v>
      </c>
    </row>
    <row r="27" spans="1:44" x14ac:dyDescent="0.3">
      <c r="A27" s="861"/>
      <c r="B27" s="862"/>
      <c r="C27" s="237" t="str">
        <f ca="1">'Translation Table'!H3097</f>
        <v xml:space="preserve">  -  Gas Engine (4-Stroke Lean-Burn)</v>
      </c>
      <c r="D27" s="291"/>
      <c r="E27" s="260">
        <f t="shared" ca="1" si="19"/>
        <v>0</v>
      </c>
      <c r="F27" s="392">
        <f ca="1">IF(ISTEXT($G$24),IF(NOT(ISBLANK($AM27)),AM27/m3_per_h_to_E3m3_per_y/_xlfn.XLOOKUP($G$24,'Lookup Tables'!$D$173:$D$180,'Lookup Tables'!$H$173:$H$180,,0,1),0),"")</f>
        <v>0</v>
      </c>
      <c r="G27" s="831"/>
      <c r="H27" s="840" t="str">
        <f t="shared" si="17"/>
        <v/>
      </c>
      <c r="I27" s="841"/>
      <c r="J27" s="842"/>
      <c r="AB27" s="237" t="str">
        <f ca="1">'Translation Table'!H2874</f>
        <v>Gaseous</v>
      </c>
      <c r="AC27" s="913"/>
      <c r="AD27" s="193" t="str">
        <f ca="1">'Translation Table'!H2907</f>
        <v>Gas Engine (4-Stroke Lean-Burn)</v>
      </c>
      <c r="AE27" s="260">
        <f>IF(N($D27)&gt;0,D27*_xlfn.XLOOKUP($G$24,'Lookup Tables'!$D$173:$D$180,'Lookup Tables'!$H$173:$H$180,,0,1)*m3_per_h_to_E3m3_per_y,0)</f>
        <v>0</v>
      </c>
      <c r="AF27" s="394">
        <f ca="1">(SUMIFS(AD$40:AD$50,AB$40:AB$50,AB27,A$40:A$50,AD27)+SUMIFS(AD$58:AD$67,AB$58:AB$67,AB27,A$58:A$67,AD27)+SUMIFS(AD$76:AD$85,AB$76:AB$85,AB27,A$76:A$85,AD27))*m3_per_h_to_E3m3_per_y</f>
        <v>0</v>
      </c>
      <c r="AG27" s="292">
        <f t="shared" ca="1" si="21"/>
        <v>0</v>
      </c>
      <c r="AH27" s="292">
        <f t="shared" ca="1" si="22"/>
        <v>0</v>
      </c>
      <c r="AI27" s="292">
        <f t="shared" ca="1" si="23"/>
        <v>0</v>
      </c>
      <c r="AJ27" s="292">
        <f t="shared" ca="1" si="24"/>
        <v>0</v>
      </c>
      <c r="AK27" s="292">
        <f t="shared" ca="1" si="25"/>
        <v>0</v>
      </c>
      <c r="AL27" s="260">
        <f t="shared" ca="1" si="26"/>
        <v>0</v>
      </c>
      <c r="AM27" s="260">
        <f t="shared" ca="1" si="27"/>
        <v>0</v>
      </c>
      <c r="AN27" s="237" t="str">
        <f t="shared" ca="1" si="9"/>
        <v>E3 m3/y</v>
      </c>
      <c r="AO27" s="298">
        <f t="shared" ca="1" si="28"/>
        <v>1</v>
      </c>
      <c r="AP27" s="298">
        <f t="shared" ca="1" si="29"/>
        <v>1</v>
      </c>
      <c r="AQ27" s="393">
        <f t="shared" si="30"/>
        <v>1</v>
      </c>
      <c r="AR27" s="237">
        <f t="shared" ca="1" si="31"/>
        <v>1</v>
      </c>
    </row>
    <row r="28" spans="1:44" x14ac:dyDescent="0.3">
      <c r="A28" s="861"/>
      <c r="B28" s="862"/>
      <c r="C28" s="268" t="str">
        <f ca="1">'Translation Table'!H3098</f>
        <v xml:space="preserve">  -  Gas Engine (4-Stroke Rich-Burn)</v>
      </c>
      <c r="D28" s="291"/>
      <c r="E28" s="294">
        <f t="shared" ca="1" si="19"/>
        <v>0</v>
      </c>
      <c r="F28" s="391">
        <f ca="1">IF(ISTEXT($G$24),IF(NOT(ISBLANK($AM28)),AM28/m3_per_h_to_E3m3_per_y/_xlfn.XLOOKUP($G$24,'Lookup Tables'!$D$173:$D$180,'Lookup Tables'!$H$173:$H$180,,0,1),0),"")</f>
        <v>0</v>
      </c>
      <c r="G28" s="831"/>
      <c r="H28" s="840" t="str">
        <f t="shared" si="17"/>
        <v/>
      </c>
      <c r="I28" s="841"/>
      <c r="J28" s="842"/>
      <c r="AB28" s="237" t="str">
        <f ca="1">'Translation Table'!H2874</f>
        <v>Gaseous</v>
      </c>
      <c r="AC28" s="913"/>
      <c r="AD28" s="193" t="str">
        <f ca="1">'Translation Table'!H2908</f>
        <v>Gas Engine (4-Stroke Rich-Burn)</v>
      </c>
      <c r="AE28" s="260">
        <f>IF(N($D28)&gt;0,D28*_xlfn.XLOOKUP($G$24,'Lookup Tables'!$D$173:$D$180,'Lookup Tables'!$H$173:$H$180,,0,1)*m3_per_h_to_E3m3_per_y,0)</f>
        <v>0</v>
      </c>
      <c r="AF28" s="394">
        <f t="shared" ca="1" si="20"/>
        <v>0</v>
      </c>
      <c r="AG28" s="292">
        <f t="shared" ca="1" si="21"/>
        <v>0</v>
      </c>
      <c r="AH28" s="292">
        <f t="shared" ca="1" si="22"/>
        <v>0</v>
      </c>
      <c r="AI28" s="292">
        <f t="shared" ca="1" si="23"/>
        <v>0</v>
      </c>
      <c r="AJ28" s="292">
        <f t="shared" ca="1" si="24"/>
        <v>0</v>
      </c>
      <c r="AK28" s="292">
        <f t="shared" ca="1" si="25"/>
        <v>0</v>
      </c>
      <c r="AL28" s="260">
        <f t="shared" ca="1" si="26"/>
        <v>0</v>
      </c>
      <c r="AM28" s="260">
        <f t="shared" ca="1" si="27"/>
        <v>0</v>
      </c>
      <c r="AN28" s="237" t="str">
        <f t="shared" ca="1" si="9"/>
        <v>E3 m3/y</v>
      </c>
      <c r="AO28" s="298">
        <f t="shared" ca="1" si="28"/>
        <v>1</v>
      </c>
      <c r="AP28" s="298">
        <f t="shared" ca="1" si="29"/>
        <v>1</v>
      </c>
      <c r="AQ28" s="393">
        <f t="shared" si="30"/>
        <v>1</v>
      </c>
      <c r="AR28" s="237">
        <f t="shared" ca="1" si="31"/>
        <v>1</v>
      </c>
    </row>
    <row r="29" spans="1:44" x14ac:dyDescent="0.3">
      <c r="A29" s="861"/>
      <c r="B29" s="862"/>
      <c r="C29" s="237" t="str">
        <f ca="1">'Translation Table'!H3099</f>
        <v xml:space="preserve">  -  Heaters &amp; Boilers</v>
      </c>
      <c r="D29" s="291"/>
      <c r="E29" s="260">
        <f t="shared" ca="1" si="19"/>
        <v>0</v>
      </c>
      <c r="F29" s="392">
        <f ca="1">IF(ISTEXT($G$24),IF(NOT(ISBLANK($AM29)),AM29/m3_per_h_to_E3m3_per_y/_xlfn.XLOOKUP($G$24,'Lookup Tables'!$D$173:$D$180,'Lookup Tables'!$H$173:$H$180,,0,1),0),"")</f>
        <v>0</v>
      </c>
      <c r="G29" s="831"/>
      <c r="H29" s="840" t="str">
        <f t="shared" si="17"/>
        <v/>
      </c>
      <c r="I29" s="841"/>
      <c r="J29" s="842"/>
      <c r="Z29" s="395"/>
      <c r="AB29" s="237" t="str">
        <f ca="1">'Translation Table'!H2874</f>
        <v>Gaseous</v>
      </c>
      <c r="AC29" s="913"/>
      <c r="AD29" s="193" t="str">
        <f ca="1">'Translation Table'!H2909</f>
        <v>Heaters &amp; Boilers</v>
      </c>
      <c r="AE29" s="260">
        <f>IF(N($D29)&gt;0,D29*_xlfn.XLOOKUP($G$24,'Lookup Tables'!$D$173:$D$180,'Lookup Tables'!$H$173:$H$180,,0,1)*m3_per_h_to_E3m3_per_y,0)</f>
        <v>0</v>
      </c>
      <c r="AF29" s="394">
        <f t="shared" ca="1" si="20"/>
        <v>0</v>
      </c>
      <c r="AG29" s="292">
        <f t="shared" ca="1" si="21"/>
        <v>0</v>
      </c>
      <c r="AH29" s="292">
        <f t="shared" ca="1" si="22"/>
        <v>0</v>
      </c>
      <c r="AI29" s="292">
        <f t="shared" ca="1" si="23"/>
        <v>0</v>
      </c>
      <c r="AJ29" s="292">
        <f t="shared" ca="1" si="24"/>
        <v>0</v>
      </c>
      <c r="AK29" s="292">
        <f t="shared" ca="1" si="25"/>
        <v>0</v>
      </c>
      <c r="AL29" s="260">
        <f t="shared" ca="1" si="26"/>
        <v>0</v>
      </c>
      <c r="AM29" s="260">
        <f t="shared" ca="1" si="27"/>
        <v>0</v>
      </c>
      <c r="AN29" s="237" t="str">
        <f t="shared" ca="1" si="9"/>
        <v>E3 m3/y</v>
      </c>
      <c r="AO29" s="298">
        <f t="shared" ca="1" si="28"/>
        <v>1</v>
      </c>
      <c r="AP29" s="298">
        <f t="shared" ca="1" si="29"/>
        <v>1</v>
      </c>
      <c r="AQ29" s="393">
        <f t="shared" si="30"/>
        <v>1</v>
      </c>
      <c r="AR29" s="237">
        <f t="shared" ca="1" si="31"/>
        <v>1</v>
      </c>
    </row>
    <row r="30" spans="1:44" x14ac:dyDescent="0.3">
      <c r="A30" s="863"/>
      <c r="B30" s="864"/>
      <c r="C30" s="268" t="str">
        <f ca="1">'Translation Table'!H3100</f>
        <v xml:space="preserve">  -  Heaters &amp; Boilers (Low-NOx)</v>
      </c>
      <c r="D30" s="291"/>
      <c r="E30" s="294">
        <f t="shared" ca="1" si="19"/>
        <v>0</v>
      </c>
      <c r="F30" s="391">
        <f ca="1">IF(ISTEXT($G$24),IF(NOT(ISBLANK($AM30)),AM30/m3_per_h_to_E3m3_per_y/_xlfn.XLOOKUP($G$24,'Lookup Tables'!$D$173:$D$180,'Lookup Tables'!$H$173:$H$180,,0,1),0),"")</f>
        <v>0</v>
      </c>
      <c r="G30" s="866"/>
      <c r="H30" s="840" t="str">
        <f t="shared" si="17"/>
        <v/>
      </c>
      <c r="I30" s="841"/>
      <c r="J30" s="842"/>
      <c r="AB30" s="237" t="str">
        <f ca="1">'Translation Table'!H2874</f>
        <v>Gaseous</v>
      </c>
      <c r="AC30" s="914"/>
      <c r="AD30" s="193" t="str">
        <f ca="1">'Translation Table'!H2910</f>
        <v>Heaters &amp; Boilers (Low-NOx)</v>
      </c>
      <c r="AE30" s="260">
        <f>IF(N($D30)&gt;0,D30*_xlfn.XLOOKUP($G$24,'Lookup Tables'!$D$173:$D$180,'Lookup Tables'!$H$173:$H$180,,0,1)*m3_per_h_to_E3m3_per_y,0)</f>
        <v>0</v>
      </c>
      <c r="AF30" s="394">
        <f t="shared" ca="1" si="20"/>
        <v>0</v>
      </c>
      <c r="AG30" s="292">
        <f t="shared" ca="1" si="21"/>
        <v>0</v>
      </c>
      <c r="AH30" s="292">
        <f t="shared" ca="1" si="22"/>
        <v>0</v>
      </c>
      <c r="AI30" s="292">
        <f t="shared" ca="1" si="23"/>
        <v>0</v>
      </c>
      <c r="AJ30" s="292">
        <f t="shared" ca="1" si="24"/>
        <v>0</v>
      </c>
      <c r="AK30" s="292">
        <f t="shared" ca="1" si="25"/>
        <v>0</v>
      </c>
      <c r="AL30" s="260">
        <f t="shared" ca="1" si="26"/>
        <v>0</v>
      </c>
      <c r="AM30" s="260">
        <f t="shared" ca="1" si="27"/>
        <v>0</v>
      </c>
      <c r="AN30" s="237" t="str">
        <f t="shared" ca="1" si="9"/>
        <v>E3 m3/y</v>
      </c>
      <c r="AO30" s="298">
        <f t="shared" ca="1" si="28"/>
        <v>1</v>
      </c>
      <c r="AP30" s="298">
        <f t="shared" ca="1" si="29"/>
        <v>1</v>
      </c>
      <c r="AQ30" s="393">
        <f t="shared" si="30"/>
        <v>1</v>
      </c>
      <c r="AR30" s="237">
        <f t="shared" ca="1" si="31"/>
        <v>1</v>
      </c>
    </row>
    <row r="31" spans="1:44" x14ac:dyDescent="0.3">
      <c r="C31" s="324" t="str">
        <f ca="1">'Translation Table'!H3101</f>
        <v>Note: the total facility fuel consumption shown above  should match the sum of the listed source contributions below it in Column F but not necessarily in Columns D and E.</v>
      </c>
      <c r="AD31" s="256"/>
      <c r="AE31" s="259"/>
      <c r="AF31" s="396"/>
      <c r="AG31" s="323"/>
      <c r="AH31" s="323"/>
      <c r="AI31" s="323"/>
      <c r="AJ31" s="323"/>
      <c r="AK31" s="323"/>
      <c r="AL31" s="259"/>
      <c r="AM31" s="259"/>
      <c r="AO31" s="397"/>
      <c r="AP31" s="397"/>
      <c r="AQ31" s="398"/>
    </row>
    <row r="32" spans="1:44" x14ac:dyDescent="0.3">
      <c r="C32" s="256"/>
      <c r="D32" s="256"/>
      <c r="G32" s="605"/>
    </row>
    <row r="33" spans="1:77" ht="22.5" x14ac:dyDescent="0.45">
      <c r="A33" s="799" t="str">
        <f ca="1">'Translation Table'!H3102</f>
        <v>"FUEL ALLOCATION BY SOURCE TYPE" SETUP</v>
      </c>
      <c r="B33" s="799"/>
      <c r="C33" s="799"/>
      <c r="D33" s="800"/>
      <c r="E33" s="800"/>
      <c r="G33" s="605"/>
      <c r="AE33" s="257">
        <f>3000*m3_per_h_to_E3m3_per_d</f>
        <v>72</v>
      </c>
      <c r="AF33" s="606">
        <f ca="1">SUMIFS(AE$58:AE$67,AB$58:AB$67,AB25,A$58:A$67,AD25)</f>
        <v>0</v>
      </c>
      <c r="AH33" s="257" t="str">
        <f ca="1">AB25</f>
        <v>Gaseous</v>
      </c>
      <c r="AI33" s="257" t="str">
        <f ca="1">AD25</f>
        <v>Turbine</v>
      </c>
      <c r="AL33" s="399"/>
      <c r="AO33" s="257" t="str">
        <f>IF(1=1,"","test")</f>
        <v/>
      </c>
    </row>
    <row r="34" spans="1:77" x14ac:dyDescent="0.3">
      <c r="C34" s="256"/>
      <c r="D34" s="256"/>
      <c r="G34" s="605"/>
      <c r="AF34" s="323">
        <f>AE76</f>
        <v>0</v>
      </c>
      <c r="AH34" s="323" t="str">
        <f>AB76</f>
        <v/>
      </c>
      <c r="AI34" s="257">
        <f>A76</f>
        <v>0</v>
      </c>
    </row>
    <row r="35" spans="1:77" ht="22.5" x14ac:dyDescent="0.45">
      <c r="A35" s="798" t="str">
        <f ca="1">'Translation Table'!H3103</f>
        <v>Heaters &amp; Boilers</v>
      </c>
      <c r="B35" s="798"/>
      <c r="C35" s="798"/>
      <c r="D35" s="256"/>
      <c r="G35" s="605"/>
      <c r="AB35" s="102" t="s">
        <v>3112</v>
      </c>
      <c r="AL35" s="102"/>
      <c r="AM35" s="102" t="s">
        <v>2878</v>
      </c>
    </row>
    <row r="36" spans="1:77" ht="15" customHeight="1" x14ac:dyDescent="0.45">
      <c r="A36" s="400"/>
      <c r="B36" s="400"/>
      <c r="C36" s="400"/>
      <c r="G36" s="104"/>
      <c r="AM36" s="874" t="s">
        <v>2879</v>
      </c>
      <c r="AN36" s="875"/>
      <c r="AO36" s="874" t="s">
        <v>2973</v>
      </c>
      <c r="AP36" s="875"/>
      <c r="AQ36" s="875"/>
      <c r="AR36" s="875"/>
      <c r="AS36" s="875"/>
      <c r="AT36" s="875"/>
      <c r="AU36" s="876"/>
      <c r="AV36" s="874" t="s">
        <v>2889</v>
      </c>
      <c r="AW36" s="875"/>
      <c r="AX36" s="876"/>
      <c r="AY36" s="881" t="s">
        <v>2973</v>
      </c>
      <c r="AZ36" s="882"/>
      <c r="BA36" s="882"/>
      <c r="BB36" s="401"/>
    </row>
    <row r="37" spans="1:77" ht="15.5" x14ac:dyDescent="0.35">
      <c r="A37" s="801" t="str">
        <f ca="1">'Translation Table'!H3104</f>
        <v>Source Type</v>
      </c>
      <c r="B37" s="802" t="str">
        <f ca="1">'Translation Table'!H3105</f>
        <v>Quantity</v>
      </c>
      <c r="C37" s="802" t="str">
        <f ca="1">'Translation Table'!H3106</f>
        <v>Description</v>
      </c>
      <c r="D37" s="851" t="str">
        <f ca="1">'Translation Table'!H3107</f>
        <v>Fuel Type</v>
      </c>
      <c r="E37" s="802"/>
      <c r="F37" s="750" t="str">
        <f ca="1">'Translation Table'!H3110</f>
        <v>Fuel Consumption (Per unit)</v>
      </c>
      <c r="G37" s="865"/>
      <c r="H37" s="803"/>
      <c r="I37" s="803"/>
      <c r="J37" s="806" t="str">
        <f ca="1">'Translation Table'!H3117</f>
        <v>Heater or Boiler Operating Hours &amp; Performance</v>
      </c>
      <c r="K37" s="803"/>
      <c r="L37" s="803"/>
      <c r="M37" s="803"/>
      <c r="N37" s="803"/>
      <c r="O37" s="803"/>
      <c r="P37" s="808" t="str">
        <f ca="1">'Translation Table'!H3127</f>
        <v>Error Messages</v>
      </c>
      <c r="Q37" s="809"/>
      <c r="R37" s="809"/>
      <c r="S37" s="809"/>
      <c r="T37" s="809"/>
      <c r="U37" s="809"/>
      <c r="AB37" s="877" t="s">
        <v>2880</v>
      </c>
      <c r="AC37" s="884"/>
      <c r="AD37" s="877" t="s">
        <v>3114</v>
      </c>
      <c r="AE37" s="878"/>
      <c r="AF37" s="878"/>
      <c r="AG37" s="878"/>
      <c r="AH37" s="878"/>
      <c r="AI37" s="776"/>
      <c r="AJ37" s="278"/>
      <c r="AK37" s="278"/>
      <c r="AM37" s="871" t="s">
        <v>2890</v>
      </c>
      <c r="AN37" s="871" t="s">
        <v>2885</v>
      </c>
      <c r="AO37" s="874" t="s">
        <v>2</v>
      </c>
      <c r="AP37" s="879"/>
      <c r="AQ37" s="874" t="s">
        <v>2881</v>
      </c>
      <c r="AR37" s="879"/>
      <c r="AS37" s="874" t="s">
        <v>2882</v>
      </c>
      <c r="AT37" s="879"/>
      <c r="AU37" s="404" t="s">
        <v>628</v>
      </c>
      <c r="AV37" s="871" t="s">
        <v>2891</v>
      </c>
      <c r="AW37" s="871" t="s">
        <v>3165</v>
      </c>
      <c r="AX37" s="871" t="s">
        <v>2884</v>
      </c>
      <c r="AY37" s="881" t="s">
        <v>2448</v>
      </c>
      <c r="AZ37" s="881" t="s">
        <v>2439</v>
      </c>
      <c r="BA37" s="881" t="s">
        <v>2443</v>
      </c>
      <c r="BB37" s="401"/>
    </row>
    <row r="38" spans="1:77" ht="31.5" customHeight="1" x14ac:dyDescent="0.35">
      <c r="A38" s="801"/>
      <c r="B38" s="802"/>
      <c r="C38" s="802"/>
      <c r="D38" s="804" t="str">
        <f ca="1">'Translation Table'!H3108</f>
        <v>Category</v>
      </c>
      <c r="E38" s="805" t="str">
        <f ca="1">'Translation Table'!H3109</f>
        <v>Subcategory</v>
      </c>
      <c r="F38" s="427" t="str">
        <f ca="1">'Translation Table'!H3111</f>
        <v>Measured or Reported Value</v>
      </c>
      <c r="G38" s="428" t="str">
        <f ca="1">'Translation Table'!H3113</f>
        <v>Estimated Value</v>
      </c>
      <c r="H38" s="821" t="str">
        <f ca="1">'Translation Table'!H3115</f>
        <v>Value Used</v>
      </c>
      <c r="I38" s="806" t="str">
        <f ca="1">'Translation Table'!H3116</f>
        <v>Units of Measure</v>
      </c>
      <c r="J38" s="806" t="str">
        <f ca="1">'Translation Table'!H3118</f>
        <v>Annual Operating Hours (Optional)</v>
      </c>
      <c r="K38" s="403" t="str">
        <f ca="1">'Translation Table'!H3119</f>
        <v>Load Factor (%)</v>
      </c>
      <c r="L38" s="851" t="str">
        <f ca="1">'Translation Table'!H3121</f>
        <v>Design Energy Output Rate</v>
      </c>
      <c r="M38" s="803"/>
      <c r="N38" s="851" t="str">
        <f ca="1">'Translation Table'!H3124</f>
        <v>Thermal Efficiency (%)</v>
      </c>
      <c r="O38" s="802"/>
      <c r="P38" s="808"/>
      <c r="Q38" s="809"/>
      <c r="R38" s="809"/>
      <c r="S38" s="809"/>
      <c r="T38" s="809"/>
      <c r="U38" s="809"/>
      <c r="AB38" s="889" t="s">
        <v>2</v>
      </c>
      <c r="AC38" s="889" t="s">
        <v>3049</v>
      </c>
      <c r="AD38" s="871" t="s">
        <v>3115</v>
      </c>
      <c r="AE38" s="871" t="s">
        <v>3116</v>
      </c>
      <c r="AF38" s="871" t="s">
        <v>3117</v>
      </c>
      <c r="AG38" s="871" t="s">
        <v>3110</v>
      </c>
      <c r="AH38" s="871" t="s">
        <v>3111</v>
      </c>
      <c r="AI38" s="871" t="s">
        <v>3051</v>
      </c>
      <c r="AJ38" s="278"/>
      <c r="AK38" s="278"/>
      <c r="AM38" s="892"/>
      <c r="AN38" s="872"/>
      <c r="AO38" s="871" t="s">
        <v>2769</v>
      </c>
      <c r="AP38" s="379" t="s">
        <v>46</v>
      </c>
      <c r="AQ38" s="871" t="s">
        <v>6</v>
      </c>
      <c r="AR38" s="871" t="s">
        <v>331</v>
      </c>
      <c r="AS38" s="871" t="s">
        <v>6</v>
      </c>
      <c r="AT38" s="871" t="s">
        <v>331</v>
      </c>
      <c r="AU38" s="871" t="s">
        <v>2853</v>
      </c>
      <c r="AV38" s="872"/>
      <c r="AW38" s="872"/>
      <c r="AX38" s="872"/>
      <c r="AY38" s="882"/>
      <c r="AZ38" s="882"/>
      <c r="BA38" s="883"/>
      <c r="BB38" s="278"/>
    </row>
    <row r="39" spans="1:77" ht="15.5" x14ac:dyDescent="0.35">
      <c r="A39" s="801"/>
      <c r="B39" s="803"/>
      <c r="C39" s="803"/>
      <c r="D39" s="801"/>
      <c r="E39" s="801"/>
      <c r="F39" s="415" t="str">
        <f ca="1">'Translation Table'!H3112</f>
        <v>(If Available)</v>
      </c>
      <c r="G39" s="420" t="str">
        <f ca="1">'Translation Table'!H3114</f>
        <v>(If Setup Completed)</v>
      </c>
      <c r="H39" s="822"/>
      <c r="I39" s="807"/>
      <c r="J39" s="825"/>
      <c r="K39" s="303" t="str">
        <f ca="1">'Translation Table'!H3120</f>
        <v>(Optional)</v>
      </c>
      <c r="L39" s="402" t="str">
        <f ca="1">'Translation Table'!H3122</f>
        <v>Value</v>
      </c>
      <c r="M39" s="402" t="str">
        <f ca="1">'Translation Table'!H3123</f>
        <v>Units of Measure</v>
      </c>
      <c r="N39" s="402" t="str">
        <f ca="1">'Translation Table'!H3125</f>
        <v>Value (Optional)</v>
      </c>
      <c r="O39" s="405" t="str">
        <f ca="1">'Translation Table'!H3126</f>
        <v>Basis</v>
      </c>
      <c r="P39" s="808"/>
      <c r="Q39" s="809"/>
      <c r="R39" s="809"/>
      <c r="S39" s="809"/>
      <c r="T39" s="809"/>
      <c r="U39" s="809"/>
      <c r="AB39" s="890"/>
      <c r="AC39" s="890"/>
      <c r="AD39" s="872"/>
      <c r="AE39" s="873"/>
      <c r="AF39" s="873"/>
      <c r="AG39" s="873"/>
      <c r="AH39" s="872"/>
      <c r="AI39" s="872"/>
      <c r="AJ39" s="278"/>
      <c r="AK39" s="278"/>
      <c r="AM39" s="380" t="s">
        <v>2870</v>
      </c>
      <c r="AN39" s="380" t="s">
        <v>2870</v>
      </c>
      <c r="AO39" s="880"/>
      <c r="AP39" s="390"/>
      <c r="AQ39" s="880"/>
      <c r="AR39" s="880"/>
      <c r="AS39" s="880"/>
      <c r="AT39" s="880"/>
      <c r="AU39" s="872"/>
      <c r="AV39" s="380" t="s">
        <v>2874</v>
      </c>
      <c r="AW39" s="380" t="s">
        <v>2874</v>
      </c>
      <c r="AX39" s="380" t="s">
        <v>2870</v>
      </c>
      <c r="AY39" s="882"/>
      <c r="AZ39" s="882"/>
      <c r="BA39" s="883"/>
      <c r="BB39" s="278"/>
    </row>
    <row r="40" spans="1:77" x14ac:dyDescent="0.35">
      <c r="A40" s="662">
        <f t="array" ref="A40">INDEX(HeaterBoilerType,BV40)</f>
        <v>0</v>
      </c>
      <c r="B40" s="377"/>
      <c r="C40" s="305"/>
      <c r="D40" s="382">
        <f t="array" ref="D40">INDEX(FuelCategory,BW40)</f>
        <v>0</v>
      </c>
      <c r="E40" s="299" t="str">
        <f t="array" ref="E40">INDEX(_DR37,BY40)</f>
        <v xml:space="preserve"> </v>
      </c>
      <c r="F40" s="305"/>
      <c r="G40" s="293" t="str">
        <f>IFERROR(IF($D40=0,"",IF($D40=Solid,AZ40/_xlfn.XLOOKUP($I40,'Lookup Tables'!$B$173:$B$180,'Lookup Tables'!$F$173:$F$180,,0,1),IF($D40=Liquid,BA40/_xlfn.XLOOKUP($I40,'Lookup Tables'!$C$173:$C$180,'Lookup Tables'!$G$173:$G$180,,0,1),IF($D40=Gaseous,BA40/_xlfn.XLOOKUP($I40,'Lookup Tables'!$D$173:$D$180,'Lookup Tables'!$H$173:$H$180,,0,1))))),"")</f>
        <v/>
      </c>
      <c r="H40" s="408" t="str">
        <f t="shared" ref="H40:H50" si="32">IF(N(F40)&gt;0,F40,IF(N(G40)&gt;0,G40,""))</f>
        <v/>
      </c>
      <c r="I40" s="371" t="s">
        <v>2443</v>
      </c>
      <c r="J40" s="304"/>
      <c r="K40" s="306"/>
      <c r="L40" s="305">
        <v>670</v>
      </c>
      <c r="M40" s="371" t="s">
        <v>2874</v>
      </c>
      <c r="N40" s="306"/>
      <c r="O40" s="381">
        <v>1</v>
      </c>
      <c r="P40" s="796" t="str">
        <f>_xlfn.CONCAT(IF(AND(A40&lt;&gt;0,B40=""),LOOKUP("Err08",TblErrorMsg),""),IF(AND(D40&lt;&gt;0,E40=0),LOOKUP("Err09",TblErrorMsg),""),IF(AND(OR(A40&lt;&gt;0,D40&lt;&gt;0),I40=""),LOOKUP("Err10",TblErrorMsg),""))</f>
        <v/>
      </c>
      <c r="Q40" s="796"/>
      <c r="R40" s="796"/>
      <c r="S40" s="796"/>
      <c r="T40" s="796"/>
      <c r="U40" s="796"/>
      <c r="AB40" s="237" t="str">
        <f>IF(ISTEXT(D40),D40,"")</f>
        <v/>
      </c>
      <c r="AC40" s="407" t="str">
        <f>IF(ISTEXT(E40),E40,"")</f>
        <v xml:space="preserve"> </v>
      </c>
      <c r="AD40" s="292" t="str">
        <f>IF(ISTEXT($D40),IF($D40=Solid,B40*F40*_xlfn.XLOOKUP($I40,'Lookup Tables'!$B$173:$B$180,'Lookup Tables'!$F$173:$F$180,,0,1),IF($D40=Liquid,B40*F40*_xlfn.XLOOKUP($I40,'Lookup Tables'!$C$173:$C$180,'Lookup Tables'!$G$173:$G$180,,0,1),IF($D40=Gaseous,B40*F40*_xlfn.XLOOKUP($I40,'Lookup Tables'!$D$173:$D$180,'Lookup Tables'!$H$173:$H$180,,0,1)))),"")</f>
        <v/>
      </c>
      <c r="AE40" s="292">
        <f>IF(AD40&gt;0,0,AF40)</f>
        <v>0</v>
      </c>
      <c r="AF40" s="292" t="str">
        <f>IF(ISTEXT($D40),IF($D40=Solid,B40*H40*_xlfn.XLOOKUP($I40,'Lookup Tables'!$B$173:$B$180,'Lookup Tables'!$F$173:$F$180,,0,1),IF($D40=Liquid,B40*H40*_xlfn.XLOOKUP($I40,'Lookup Tables'!$C$173:$C$180,'Lookup Tables'!$G$173:$G$180,,0,1),IF($D40=Gaseous,B40*H40*_xlfn.XLOOKUP($I40,'Lookup Tables'!$D$173:$D$180,'Lookup Tables'!$H$173:$H$180,,0,1)))),"")</f>
        <v/>
      </c>
      <c r="AG40" s="409" t="str">
        <f t="shared" ref="AG40:AG50" ca="1" si="33">IF(AB40=Solid,"kg/h",IF(AB40=Liquid,"m3/h",IF(AB40=Gaseous,"m3/h","")))</f>
        <v/>
      </c>
      <c r="AH40" s="292">
        <f t="shared" ref="AH40:AH50" si="34">IF(ISNUMBER(AF40),AF40*IF(AB40=Solid,kg_per_h_to_tonne_per_y,IF(AB40=Liquid,m3_per_h_to_m3_per_y,IF(AB40=Gaseous,m3_per_h_to_E3m3_per_y))),0)</f>
        <v>0</v>
      </c>
      <c r="AI40" s="300" t="str">
        <f t="shared" ref="AI40:AI50" ca="1" si="35">IF(AB40=Solid,"tonne/y",IF(AB40=Liquid,"m3/y",IF(AB40=Gaseous,"E3 m3/y","")))</f>
        <v/>
      </c>
      <c r="AM40" s="301">
        <f t="shared" ref="AM40:AM49" si="36">IF(N(J40)&gt;0,J40/y_to_h,AM$68)</f>
        <v>1</v>
      </c>
      <c r="AN40" s="301">
        <f t="shared" ref="AN40:AN49" si="37">IF(ISNUMBER(K40),K40,AN$50)</f>
        <v>1</v>
      </c>
      <c r="AO40" s="300" t="str">
        <f t="shared" ref="AO40:AO49" si="38">IF(ISTEXT(D40),D40,"---")</f>
        <v>---</v>
      </c>
      <c r="AP40" s="300" t="str">
        <f t="shared" ref="AP40:AP49" si="39">IF(ISTEXT(E40),E40,"---")</f>
        <v xml:space="preserve"> </v>
      </c>
      <c r="AQ40" s="260" t="str">
        <f ca="1">IF($AO40=Solid,_xlfn.XLOOKUP($AP40,'Calculations - Combustion'!$B$6:$B$13,'Calculations - Combustion'!$D$6:$D$13,FALSE,0,1),IF($AO40=Liquid,_xlfn.XLOOKUP($AP40,'Calculations - Combustion'!$B$20:$B$29,'Calculations - Combustion'!$D$20:$D$29,FALSE,0,1),IF($AO40=Gaseous,FuelGas_HHV,"")))</f>
        <v/>
      </c>
      <c r="AR40" s="300" t="str">
        <f t="shared" ref="AR40:AR49" ca="1" si="40">IF(AO40=Solid,"GJ/Tonne",IF(AO40=Liquid,"GJ/Tonne",IF(AO40=Gaseous,"MJ/m3","")))</f>
        <v/>
      </c>
      <c r="AS40" s="237" t="str">
        <f ca="1">IF($AO40=Solid,_xlfn.XLOOKUP($AP40,'Calculations - Combustion'!$B$6:$B$13,'Calculations - Combustion'!$G$6:$G$13,FALSE,0,1),IF($AO40=Liquid,_xlfn.XLOOKUP($AP40,'Calculations - Combustion'!$B$20:$B$29,'Calculations - Combustion'!$G$20:$G$29,FALSE,0,1),IF($AO40=Gaseous,FuelGas_LHV,"")))</f>
        <v/>
      </c>
      <c r="AT40" s="300" t="str">
        <f t="shared" ref="AT40:AT49" ca="1" si="41">AR40</f>
        <v/>
      </c>
      <c r="AU40" s="410" t="str">
        <f ca="1">IF($AO40=Solid,_xlfn.XLOOKUP($AP40,'Calculations - Combustion'!$B$6:$B$13,'Calculations - Combustion'!$J$6:$J$13,FALSE,0,1),IF($AO40=Liquid,_xlfn.XLOOKUP($AP40,'Calculations - Combustion'!$B$20:$B$29,'Calculations - Combustion'!$J$20:$J$29,FALSE,0,1),IF($AO40=Gaseous,FuelGas_M/Vstp,"")))</f>
        <v/>
      </c>
      <c r="AV40" s="407">
        <f>IF(ISNUMBER(L40),L40*_xlfn.XLOOKUP(M40,'Lookup Tables'!$B$306:$B$310,'Lookup Tables'!$F$306:$F$310,,0,1)*kW_to_kW,0)</f>
        <v>670</v>
      </c>
      <c r="AW40" s="407">
        <f>IF(ISNUMBER(AN40),AN40,AN50)*AV40</f>
        <v>670</v>
      </c>
      <c r="AX40" s="301">
        <f t="shared" ref="AX40:AX49" si="42">IF(ISNUMBER(N40),N40,AX$50)</f>
        <v>0.7</v>
      </c>
      <c r="AY40" s="260" t="e">
        <f t="shared" ref="AY40:AY49" ca="1" si="43">IF(AND(AW40&gt;0,OR(AQ40&gt;0,AS40&gt;0)),AW40/AX40*kW_to_GJ_per_h*AQ40/AS40,0)</f>
        <v>#VALUE!</v>
      </c>
      <c r="AZ40" s="260">
        <f t="shared" ref="AZ40:AZ49" ca="1" si="44">IF(AO40=Gaseous,AY40/AQ40*1000*AU40,IF(AO40=Liquid,AY40/AQ40*1000,IF(AO40=Solid,AY40/AQ40*1000,0)))</f>
        <v>0</v>
      </c>
      <c r="BA40" s="292" t="e">
        <f t="shared" ref="BA40:BA49" ca="1" si="45">IF(N(AV40)&gt;0,AZ40/AU40,0)</f>
        <v>#VALUE!</v>
      </c>
      <c r="BV40" s="358">
        <v>1</v>
      </c>
      <c r="BW40" s="358">
        <v>1</v>
      </c>
      <c r="BX40" s="358">
        <v>4</v>
      </c>
      <c r="BY40" s="358" cm="1">
        <f t="array" ref="BY40">IF(_BW37=1,1,_xlfn.SINGLE(IF(BX40&gt;(COUNTA(_DR37)-COUNTIF(_DR37,0)+1),COUNTA(_DR37)-COUNTIF(_DR37,0)+1,BX40)))</f>
        <v>1</v>
      </c>
    </row>
    <row r="41" spans="1:77" x14ac:dyDescent="0.35">
      <c r="A41" s="381">
        <f t="array" ref="A41">INDEX(HeaterBoilerType,BV41)</f>
        <v>0</v>
      </c>
      <c r="B41" s="377"/>
      <c r="C41" s="305"/>
      <c r="D41" s="382">
        <f t="array" ref="D41">INDEX(FuelCategory,BW41)</f>
        <v>0</v>
      </c>
      <c r="E41" s="299" t="str">
        <f t="array" ref="E41">INDEX(_DR38,BY41)</f>
        <v xml:space="preserve"> </v>
      </c>
      <c r="F41" s="305"/>
      <c r="G41" s="292" t="str">
        <f>IFERROR(IF($D41=0,"",IF($D41=Solid,AZ41/_xlfn.XLOOKUP($I41,'Lookup Tables'!$B$173:$B$180,'Lookup Tables'!$F$173:$F$180,,0,1),IF($D41=Liquid,BA41/_xlfn.XLOOKUP($I41,'Lookup Tables'!$C$173:$C$180,'Lookup Tables'!$G$173:$G$180,,0,1),IF($D41=Gaseous,BA41/_xlfn.XLOOKUP($I41,'Lookup Tables'!$D$173:$D$180,'Lookup Tables'!$H$173:$H$180,,0,1))))),"")</f>
        <v/>
      </c>
      <c r="H41" s="407" t="str">
        <f t="shared" si="32"/>
        <v/>
      </c>
      <c r="I41" s="371"/>
      <c r="J41" s="304"/>
      <c r="K41" s="306"/>
      <c r="L41" s="305"/>
      <c r="M41" s="371"/>
      <c r="N41" s="306"/>
      <c r="O41" s="381"/>
      <c r="P41" s="797" t="str">
        <f t="shared" ref="P41:P50" si="46">_xlfn.CONCAT(IF(AND(A41&lt;&gt;0,B41=""),LOOKUP("Err08",TblErrorMsg),""),IF(AND(D41&lt;&gt;0,E41=0),LOOKUP("Err09",TblErrorMsg),""),IF(AND(OR(A41&lt;&gt;0,D41&lt;&gt;0),I41=""),LOOKUP("Err10",TblErrorMsg),""))</f>
        <v/>
      </c>
      <c r="Q41" s="797"/>
      <c r="R41" s="797"/>
      <c r="S41" s="797"/>
      <c r="T41" s="797"/>
      <c r="U41" s="797"/>
      <c r="AB41" s="237" t="str">
        <f t="shared" ref="AB41:AB50" si="47">IF(ISTEXT(D41),D41,"")</f>
        <v/>
      </c>
      <c r="AC41" s="407" t="str">
        <f t="shared" ref="AC41:AC50" si="48">IF(ISTEXT(E41),E41,"")</f>
        <v xml:space="preserve"> </v>
      </c>
      <c r="AD41" s="292" t="str">
        <f>IF(ISTEXT($D41),IF($D41=Solid,B41*F41*_xlfn.XLOOKUP($I41,'Lookup Tables'!$B$173:$B$180,'Lookup Tables'!$F$173:$F$180,,0,1),IF($D41=Liquid,B41*F41*_xlfn.XLOOKUP($I41,'Lookup Tables'!$C$173:$C$180,'Lookup Tables'!$G$173:$G$180,,0,1),IF($D41=Gaseous,B41*F41*_xlfn.XLOOKUP($I41,'Lookup Tables'!$D$173:$D$180,'Lookup Tables'!$H$173:$H$180,,0,1)))),"")</f>
        <v/>
      </c>
      <c r="AE41" s="292">
        <f t="shared" ref="AE41:AE50" si="49">IF(AD41&gt;0,0,AF41)</f>
        <v>0</v>
      </c>
      <c r="AF41" s="292" t="str">
        <f>IF(ISTEXT($D41),IF($D41=Solid,B41*H41*_xlfn.XLOOKUP($I41,'Lookup Tables'!$B$173:$B$180,'Lookup Tables'!$F$173:$F$180,,0,1),IF($D41=Liquid,B41*H41*_xlfn.XLOOKUP($I41,'Lookup Tables'!$C$173:$C$180,'Lookup Tables'!$G$173:$G$180,,0,1),IF($D41=Gaseous,B41*H41*_xlfn.XLOOKUP($I41,'Lookup Tables'!$D$173:$D$180,'Lookup Tables'!$H$173:$H$180,,0,1)))),"")</f>
        <v/>
      </c>
      <c r="AG41" s="409" t="str">
        <f t="shared" ca="1" si="33"/>
        <v/>
      </c>
      <c r="AH41" s="292">
        <f t="shared" si="34"/>
        <v>0</v>
      </c>
      <c r="AI41" s="300" t="str">
        <f t="shared" ca="1" si="35"/>
        <v/>
      </c>
      <c r="AM41" s="301">
        <f t="shared" si="36"/>
        <v>1</v>
      </c>
      <c r="AN41" s="301">
        <f t="shared" si="37"/>
        <v>1</v>
      </c>
      <c r="AO41" s="300" t="str">
        <f t="shared" si="38"/>
        <v>---</v>
      </c>
      <c r="AP41" s="300" t="str">
        <f t="shared" si="39"/>
        <v xml:space="preserve"> </v>
      </c>
      <c r="AQ41" s="260" t="str">
        <f ca="1">IF($AO41=Solid,_xlfn.XLOOKUP($AP41,'Calculations - Combustion'!$B$6:$B$13,'Calculations - Combustion'!$D$6:$D$13,FALSE,0,1),IF($AO41=Liquid,_xlfn.XLOOKUP($AP41,'Calculations - Combustion'!$B$20:$B$29,'Calculations - Combustion'!$D$20:$D$29,FALSE,0,1),IF($AO41=Gaseous,FuelGas_HHV,"")))</f>
        <v/>
      </c>
      <c r="AR41" s="300" t="str">
        <f t="shared" ca="1" si="40"/>
        <v/>
      </c>
      <c r="AS41" s="237" t="str">
        <f ca="1">IF($AO41=Solid,_xlfn.XLOOKUP($AP41,'Calculations - Combustion'!$B$6:$B$13,'Calculations - Combustion'!$G$6:$G$13,FALSE,0,1),IF($AO41=Liquid,_xlfn.XLOOKUP($AP41,'Calculations - Combustion'!$B$20:$B$29,'Calculations - Combustion'!$G$20:$G$29,FALSE,0,1),IF($AO41=Gaseous,FuelGas_LHV,"")))</f>
        <v/>
      </c>
      <c r="AT41" s="300" t="str">
        <f t="shared" ca="1" si="41"/>
        <v/>
      </c>
      <c r="AU41" s="410" t="str">
        <f ca="1">IF($AO41=Solid,_xlfn.XLOOKUP($AP41,'Calculations - Combustion'!$B$6:$B$13,'Calculations - Combustion'!$J$6:$J$13,FALSE,0,1),IF($AO41=Liquid,_xlfn.XLOOKUP($AP41,'Calculations - Combustion'!$B$20:$B$29,'Calculations - Combustion'!$J$20:$J$29,FALSE,0,1),IF($AO41=Gaseous,FuelGas_M/Vstp,"")))</f>
        <v/>
      </c>
      <c r="AV41" s="407">
        <f>IF(ISNUMBER(L41),L41*_xlfn.XLOOKUP(M41,'Lookup Tables'!$B$306:$B$310,'Lookup Tables'!$F$306:$F$310,,0,1)*kW_to_kW,0)</f>
        <v>0</v>
      </c>
      <c r="AW41" s="407">
        <f>IF(ISNUMBER(AN41),AN41,AO51)*AV41</f>
        <v>0</v>
      </c>
      <c r="AX41" s="301">
        <f t="shared" si="42"/>
        <v>0.7</v>
      </c>
      <c r="AY41" s="260">
        <f t="shared" ca="1" si="43"/>
        <v>0</v>
      </c>
      <c r="AZ41" s="260">
        <f t="shared" ca="1" si="44"/>
        <v>0</v>
      </c>
      <c r="BA41" s="292">
        <f t="shared" si="45"/>
        <v>0</v>
      </c>
      <c r="BV41" s="358">
        <v>1</v>
      </c>
      <c r="BW41" s="358">
        <v>1</v>
      </c>
      <c r="BX41" s="358">
        <v>6</v>
      </c>
      <c r="BY41" s="358" cm="1">
        <f t="array" ref="BY41">IF(_BW38=1,1,_xlfn.SINGLE(IF(BX41&gt;(COUNTA(_DR38)-COUNTIF(_DR38,0)+1),COUNTA(_DR38)-COUNTIF(_DR38,0)+1,BX41)))</f>
        <v>1</v>
      </c>
    </row>
    <row r="42" spans="1:77" x14ac:dyDescent="0.35">
      <c r="A42" s="381">
        <f t="array" ref="A42">INDEX(HeaterBoilerType,BV42)</f>
        <v>0</v>
      </c>
      <c r="B42" s="377"/>
      <c r="C42" s="305"/>
      <c r="D42" s="382">
        <f t="array" ref="D42">INDEX(FuelCategory,BW42)</f>
        <v>0</v>
      </c>
      <c r="E42" s="299" t="str">
        <f t="array" ref="E42">INDEX(_DR39,BY42)</f>
        <v xml:space="preserve"> </v>
      </c>
      <c r="F42" s="305"/>
      <c r="G42" s="293" t="str">
        <f>IFERROR(IF($D42=0,"",IF($D42=Solid,AZ42/_xlfn.XLOOKUP($I42,'Lookup Tables'!$B$173:$B$180,'Lookup Tables'!$F$173:$F$180,,0,1),IF($D42=Liquid,BA42/_xlfn.XLOOKUP($I42,'Lookup Tables'!$C$173:$C$180,'Lookup Tables'!$G$173:$G$180,,0,1),IF($D42=Gaseous,BA42/_xlfn.XLOOKUP($I42,'Lookup Tables'!$D$173:$D$180,'Lookup Tables'!$H$173:$H$180,,0,1))))),"")</f>
        <v/>
      </c>
      <c r="H42" s="408" t="str">
        <f t="shared" si="32"/>
        <v/>
      </c>
      <c r="I42" s="371"/>
      <c r="J42" s="304"/>
      <c r="K42" s="306"/>
      <c r="L42" s="305"/>
      <c r="M42" s="371"/>
      <c r="N42" s="306"/>
      <c r="O42" s="381"/>
      <c r="P42" s="796" t="str">
        <f t="shared" si="46"/>
        <v/>
      </c>
      <c r="Q42" s="796"/>
      <c r="R42" s="796"/>
      <c r="S42" s="796"/>
      <c r="T42" s="796"/>
      <c r="U42" s="796"/>
      <c r="AB42" s="237" t="str">
        <f t="shared" si="47"/>
        <v/>
      </c>
      <c r="AC42" s="407" t="str">
        <f t="shared" si="48"/>
        <v xml:space="preserve"> </v>
      </c>
      <c r="AD42" s="292" t="str">
        <f>IF(ISTEXT($D42),IF($D42=Solid,B42*F42*_xlfn.XLOOKUP($I42,'Lookup Tables'!$B$173:$B$180,'Lookup Tables'!$F$173:$F$180,,0,1),IF($D42=Liquid,B42*F42*_xlfn.XLOOKUP($I42,'Lookup Tables'!$C$173:$C$180,'Lookup Tables'!$G$173:$G$180,,0,1),IF($D42=Gaseous,B42*F42*_xlfn.XLOOKUP($I42,'Lookup Tables'!$D$173:$D$180,'Lookup Tables'!$H$173:$H$180,,0,1)))),"")</f>
        <v/>
      </c>
      <c r="AE42" s="292">
        <f t="shared" si="49"/>
        <v>0</v>
      </c>
      <c r="AF42" s="292" t="str">
        <f>IF(ISTEXT($D42),IF($D42=Solid,B42*H42*_xlfn.XLOOKUP($I42,'Lookup Tables'!$B$173:$B$180,'Lookup Tables'!$F$173:$F$180,,0,1),IF($D42=Liquid,B42*H42*_xlfn.XLOOKUP($I42,'Lookup Tables'!$C$173:$C$180,'Lookup Tables'!$G$173:$G$180,,0,1),IF($D42=Gaseous,B42*H42*_xlfn.XLOOKUP($I42,'Lookup Tables'!$D$173:$D$180,'Lookup Tables'!$H$173:$H$180,,0,1)))),"")</f>
        <v/>
      </c>
      <c r="AG42" s="409" t="str">
        <f t="shared" ca="1" si="33"/>
        <v/>
      </c>
      <c r="AH42" s="292">
        <f t="shared" si="34"/>
        <v>0</v>
      </c>
      <c r="AI42" s="300" t="str">
        <f t="shared" ca="1" si="35"/>
        <v/>
      </c>
      <c r="AM42" s="301">
        <f t="shared" si="36"/>
        <v>1</v>
      </c>
      <c r="AN42" s="301">
        <f t="shared" si="37"/>
        <v>1</v>
      </c>
      <c r="AO42" s="300" t="str">
        <f t="shared" si="38"/>
        <v>---</v>
      </c>
      <c r="AP42" s="300" t="str">
        <f t="shared" si="39"/>
        <v xml:space="preserve"> </v>
      </c>
      <c r="AQ42" s="260" t="str">
        <f ca="1">IF($AO42=Solid,_xlfn.XLOOKUP($AP42,'Calculations - Combustion'!$B$6:$B$13,'Calculations - Combustion'!$D$6:$D$13,FALSE,0,1),IF($AO42=Liquid,_xlfn.XLOOKUP($AP42,'Calculations - Combustion'!$B$20:$B$29,'Calculations - Combustion'!$D$20:$D$29,FALSE,0,1),IF($AO42=Gaseous,FuelGas_HHV,"")))</f>
        <v/>
      </c>
      <c r="AR42" s="300" t="str">
        <f t="shared" ca="1" si="40"/>
        <v/>
      </c>
      <c r="AS42" s="237" t="str">
        <f ca="1">IF($AO42=Solid,_xlfn.XLOOKUP($AP42,'Calculations - Combustion'!$B$6:$B$13,'Calculations - Combustion'!$G$6:$G$13,FALSE,0,1),IF($AO42=Liquid,_xlfn.XLOOKUP($AP42,'Calculations - Combustion'!$B$20:$B$29,'Calculations - Combustion'!$G$20:$G$29,FALSE,0,1),IF($AO42=Gaseous,FuelGas_LHV,"")))</f>
        <v/>
      </c>
      <c r="AT42" s="300" t="str">
        <f t="shared" ca="1" si="41"/>
        <v/>
      </c>
      <c r="AU42" s="410" t="str">
        <f ca="1">IF($AO42=Solid,_xlfn.XLOOKUP($AP42,'Calculations - Combustion'!$B$6:$B$13,'Calculations - Combustion'!$J$6:$J$13,FALSE,0,1),IF($AO42=Liquid,_xlfn.XLOOKUP($AP42,'Calculations - Combustion'!$B$20:$B$29,'Calculations - Combustion'!$J$20:$J$29,FALSE,0,1),IF($AO42=Gaseous,FuelGas_M/Vstp,"")))</f>
        <v/>
      </c>
      <c r="AV42" s="407">
        <f>IF(ISNUMBER(L42),L42*_xlfn.XLOOKUP(M42,'Lookup Tables'!$B$306:$B$310,'Lookup Tables'!$F$306:$F$310,,0,1)*kW_to_kW,0)</f>
        <v>0</v>
      </c>
      <c r="AW42" s="407">
        <f>IF(ISNUMBER(AN42),AN42,AN52)*AV42</f>
        <v>0</v>
      </c>
      <c r="AX42" s="301">
        <f t="shared" si="42"/>
        <v>0.7</v>
      </c>
      <c r="AY42" s="260">
        <f t="shared" ca="1" si="43"/>
        <v>0</v>
      </c>
      <c r="AZ42" s="260">
        <f t="shared" ca="1" si="44"/>
        <v>0</v>
      </c>
      <c r="BA42" s="292">
        <f t="shared" si="45"/>
        <v>0</v>
      </c>
      <c r="BV42" s="358">
        <v>1</v>
      </c>
      <c r="BW42" s="358">
        <v>1</v>
      </c>
      <c r="BX42" s="358">
        <v>2</v>
      </c>
      <c r="BY42" s="358" cm="1">
        <f t="array" ref="BY42">IF(_BW39=1,1,_xlfn.SINGLE(IF(BX42&gt;(COUNTA(_DR39)-COUNTIF(_DR39,0)+1),COUNTA(_DR39)-COUNTIF(_DR39,0)+1,BX42)))</f>
        <v>1</v>
      </c>
    </row>
    <row r="43" spans="1:77" x14ac:dyDescent="0.35">
      <c r="A43" s="381">
        <f t="array" ref="A43">INDEX(HeaterBoilerType,BV43)</f>
        <v>0</v>
      </c>
      <c r="B43" s="377"/>
      <c r="C43" s="305"/>
      <c r="D43" s="382">
        <f t="array" ref="D43">INDEX(FuelCategory,BW43)</f>
        <v>0</v>
      </c>
      <c r="E43" s="299" t="str">
        <f t="array" ref="E43">INDEX(_DR40,BY43)</f>
        <v xml:space="preserve"> </v>
      </c>
      <c r="F43" s="305"/>
      <c r="G43" s="292" t="str">
        <f>IFERROR(IF($D43=0,"",IF($D43=Solid,AZ43/_xlfn.XLOOKUP($I43,'Lookup Tables'!$B$173:$B$180,'Lookup Tables'!$F$173:$F$180,,0,1),IF($D43=Liquid,BA43/_xlfn.XLOOKUP($I43,'Lookup Tables'!$C$173:$C$180,'Lookup Tables'!$G$173:$G$180,,0,1),IF($D43=Gaseous,BA43/_xlfn.XLOOKUP($I43,'Lookup Tables'!$D$173:$D$180,'Lookup Tables'!$H$173:$H$180,,0,1))))),"")</f>
        <v/>
      </c>
      <c r="H43" s="407" t="str">
        <f t="shared" si="32"/>
        <v/>
      </c>
      <c r="I43" s="371"/>
      <c r="J43" s="304"/>
      <c r="K43" s="306"/>
      <c r="L43" s="305"/>
      <c r="M43" s="371"/>
      <c r="N43" s="306"/>
      <c r="O43" s="381"/>
      <c r="P43" s="797" t="str">
        <f t="shared" si="46"/>
        <v/>
      </c>
      <c r="Q43" s="797"/>
      <c r="R43" s="797"/>
      <c r="S43" s="797"/>
      <c r="T43" s="797"/>
      <c r="U43" s="797"/>
      <c r="AB43" s="237" t="str">
        <f t="shared" si="47"/>
        <v/>
      </c>
      <c r="AC43" s="407" t="str">
        <f t="shared" si="48"/>
        <v xml:space="preserve"> </v>
      </c>
      <c r="AD43" s="292" t="str">
        <f>IF(ISTEXT($D43),IF($D43=Solid,B43*F43*_xlfn.XLOOKUP($I43,'Lookup Tables'!$B$173:$B$180,'Lookup Tables'!$F$173:$F$180,,0,1),IF($D43=Liquid,B43*F43*_xlfn.XLOOKUP($I43,'Lookup Tables'!$C$173:$C$180,'Lookup Tables'!$G$173:$G$180,,0,1),IF($D43=Gaseous,B43*F43*_xlfn.XLOOKUP($I43,'Lookup Tables'!$D$173:$D$180,'Lookup Tables'!$H$173:$H$180,,0,1)))),"")</f>
        <v/>
      </c>
      <c r="AE43" s="292">
        <f t="shared" si="49"/>
        <v>0</v>
      </c>
      <c r="AF43" s="292" t="str">
        <f>IF(ISTEXT($D43),IF($D43=Solid,B43*H43*_xlfn.XLOOKUP($I43,'Lookup Tables'!$B$173:$B$180,'Lookup Tables'!$F$173:$F$180,,0,1),IF($D43=Liquid,B43*H43*_xlfn.XLOOKUP($I43,'Lookup Tables'!$C$173:$C$180,'Lookup Tables'!$G$173:$G$180,,0,1),IF($D43=Gaseous,B43*H43*_xlfn.XLOOKUP($I43,'Lookup Tables'!$D$173:$D$180,'Lookup Tables'!$H$173:$H$180,,0,1)))),"")</f>
        <v/>
      </c>
      <c r="AG43" s="409" t="str">
        <f t="shared" ca="1" si="33"/>
        <v/>
      </c>
      <c r="AH43" s="292">
        <f t="shared" si="34"/>
        <v>0</v>
      </c>
      <c r="AI43" s="300" t="str">
        <f t="shared" ca="1" si="35"/>
        <v/>
      </c>
      <c r="AM43" s="301">
        <f t="shared" si="36"/>
        <v>1</v>
      </c>
      <c r="AN43" s="301">
        <f t="shared" si="37"/>
        <v>1</v>
      </c>
      <c r="AO43" s="300" t="str">
        <f t="shared" si="38"/>
        <v>---</v>
      </c>
      <c r="AP43" s="300" t="str">
        <f t="shared" si="39"/>
        <v xml:space="preserve"> </v>
      </c>
      <c r="AQ43" s="260" t="str">
        <f ca="1">IF($AO43=Solid,_xlfn.XLOOKUP($AP43,'Calculations - Combustion'!$B$6:$B$13,'Calculations - Combustion'!$D$6:$D$13,FALSE,0,1),IF($AO43=Liquid,_xlfn.XLOOKUP($AP43,'Calculations - Combustion'!$B$20:$B$29,'Calculations - Combustion'!$D$20:$D$29,FALSE,0,1),IF($AO43=Gaseous,FuelGas_HHV,"")))</f>
        <v/>
      </c>
      <c r="AR43" s="300" t="str">
        <f t="shared" ca="1" si="40"/>
        <v/>
      </c>
      <c r="AS43" s="237" t="str">
        <f ca="1">IF($AO43=Solid,_xlfn.XLOOKUP($AP43,'Calculations - Combustion'!$B$6:$B$13,'Calculations - Combustion'!$G$6:$G$13,FALSE,0,1),IF($AO43=Liquid,_xlfn.XLOOKUP($AP43,'Calculations - Combustion'!$B$20:$B$29,'Calculations - Combustion'!$G$20:$G$29,FALSE,0,1),IF($AO43=Gaseous,FuelGas_LHV,"")))</f>
        <v/>
      </c>
      <c r="AT43" s="300" t="str">
        <f t="shared" ca="1" si="41"/>
        <v/>
      </c>
      <c r="AU43" s="410" t="str">
        <f ca="1">IF($AO43=Solid,_xlfn.XLOOKUP($AP43,'Calculations - Combustion'!$B$6:$B$13,'Calculations - Combustion'!$J$6:$J$13,FALSE,0,1),IF($AO43=Liquid,_xlfn.XLOOKUP($AP43,'Calculations - Combustion'!$B$20:$B$29,'Calculations - Combustion'!$J$20:$J$29,FALSE,0,1),IF($AO43=Gaseous,FuelGas_M/Vstp,"")))</f>
        <v/>
      </c>
      <c r="AV43" s="407">
        <f>IF(ISNUMBER(L43),L43*_xlfn.XLOOKUP(M43,'Lookup Tables'!$B$306:$B$310,'Lookup Tables'!$F$306:$F$310,,0,1)*kW_to_kW,0)</f>
        <v>0</v>
      </c>
      <c r="AW43" s="407">
        <f t="shared" ref="AW43:AW49" si="50">IF(ISNUMBER(AN43),AN43,AO54)*AV43</f>
        <v>0</v>
      </c>
      <c r="AX43" s="301">
        <f t="shared" si="42"/>
        <v>0.7</v>
      </c>
      <c r="AY43" s="260">
        <f t="shared" ca="1" si="43"/>
        <v>0</v>
      </c>
      <c r="AZ43" s="260">
        <f t="shared" ca="1" si="44"/>
        <v>0</v>
      </c>
      <c r="BA43" s="292">
        <f t="shared" si="45"/>
        <v>0</v>
      </c>
      <c r="BV43" s="358">
        <v>1</v>
      </c>
      <c r="BW43" s="358">
        <v>1</v>
      </c>
      <c r="BX43" s="358">
        <v>2</v>
      </c>
      <c r="BY43" s="358" cm="1">
        <f t="array" ref="BY43">IF(_BW40=1,1,_xlfn.SINGLE(IF(BX43&gt;(COUNTA(_DR40)-COUNTIF(_DR40,0)+1),COUNTA(_DR40)-COUNTIF(_DR40,0)+1,BX43)))</f>
        <v>1</v>
      </c>
    </row>
    <row r="44" spans="1:77" x14ac:dyDescent="0.35">
      <c r="A44" s="381">
        <f t="array" ref="A44">INDEX(HeaterBoilerType,BV44)</f>
        <v>0</v>
      </c>
      <c r="B44" s="377"/>
      <c r="C44" s="305"/>
      <c r="D44" s="382">
        <f t="array" ref="D44">INDEX(FuelCategory,BW44)</f>
        <v>0</v>
      </c>
      <c r="E44" s="299" t="str">
        <f t="array" ref="E44">INDEX(_DR41,BY44)</f>
        <v xml:space="preserve"> </v>
      </c>
      <c r="F44" s="305"/>
      <c r="G44" s="293" t="str">
        <f>IFERROR(IF($D44=0,"",IF($D44=Solid,AZ44/_xlfn.XLOOKUP($I44,'Lookup Tables'!$B$173:$B$180,'Lookup Tables'!$F$173:$F$180,,0,1),IF($D44=Liquid,BA44/_xlfn.XLOOKUP($I44,'Lookup Tables'!$C$173:$C$180,'Lookup Tables'!$G$173:$G$180,,0,1),IF($D44=Gaseous,BA44/_xlfn.XLOOKUP($I44,'Lookup Tables'!$D$173:$D$180,'Lookup Tables'!$H$173:$H$180,,0,1))))),"")</f>
        <v/>
      </c>
      <c r="H44" s="408" t="str">
        <f t="shared" si="32"/>
        <v/>
      </c>
      <c r="I44" s="371"/>
      <c r="J44" s="304"/>
      <c r="K44" s="306"/>
      <c r="L44" s="305"/>
      <c r="M44" s="371"/>
      <c r="N44" s="306"/>
      <c r="O44" s="381"/>
      <c r="P44" s="796" t="str">
        <f t="shared" si="46"/>
        <v/>
      </c>
      <c r="Q44" s="796"/>
      <c r="R44" s="796"/>
      <c r="S44" s="796"/>
      <c r="T44" s="796"/>
      <c r="U44" s="796"/>
      <c r="AB44" s="237" t="str">
        <f t="shared" si="47"/>
        <v/>
      </c>
      <c r="AC44" s="407" t="str">
        <f t="shared" si="48"/>
        <v xml:space="preserve"> </v>
      </c>
      <c r="AD44" s="292" t="str">
        <f>IF(ISTEXT($D44),IF($D44=Solid,B44*F44*_xlfn.XLOOKUP($I44,'Lookup Tables'!$B$173:$B$180,'Lookup Tables'!$F$173:$F$180,,0,1),IF($D44=Liquid,B44*F44*_xlfn.XLOOKUP($I44,'Lookup Tables'!$C$173:$C$180,'Lookup Tables'!$G$173:$G$180,,0,1),IF($D44=Gaseous,B44*F44*_xlfn.XLOOKUP($I44,'Lookup Tables'!$D$173:$D$180,'Lookup Tables'!$H$173:$H$180,,0,1)))),"")</f>
        <v/>
      </c>
      <c r="AE44" s="292">
        <f t="shared" si="49"/>
        <v>0</v>
      </c>
      <c r="AF44" s="292" t="str">
        <f>IF(ISTEXT($D44),IF($D44=Solid,B44*H44*_xlfn.XLOOKUP($I44,'Lookup Tables'!$B$173:$B$180,'Lookup Tables'!$F$173:$F$180,,0,1),IF($D44=Liquid,B44*H44*_xlfn.XLOOKUP($I44,'Lookup Tables'!$C$173:$C$180,'Lookup Tables'!$G$173:$G$180,,0,1),IF($D44=Gaseous,B44*H44*_xlfn.XLOOKUP($I44,'Lookup Tables'!$D$173:$D$180,'Lookup Tables'!$H$173:$H$180,,0,1)))),"")</f>
        <v/>
      </c>
      <c r="AG44" s="409" t="str">
        <f t="shared" ca="1" si="33"/>
        <v/>
      </c>
      <c r="AH44" s="292">
        <f t="shared" si="34"/>
        <v>0</v>
      </c>
      <c r="AI44" s="300" t="str">
        <f t="shared" ca="1" si="35"/>
        <v/>
      </c>
      <c r="AM44" s="301">
        <f t="shared" si="36"/>
        <v>1</v>
      </c>
      <c r="AN44" s="301">
        <f t="shared" si="37"/>
        <v>1</v>
      </c>
      <c r="AO44" s="300" t="str">
        <f t="shared" si="38"/>
        <v>---</v>
      </c>
      <c r="AP44" s="300" t="str">
        <f t="shared" si="39"/>
        <v xml:space="preserve"> </v>
      </c>
      <c r="AQ44" s="260" t="str">
        <f ca="1">IF($AO44=Solid,_xlfn.XLOOKUP($AP44,'Calculations - Combustion'!$B$6:$B$13,'Calculations - Combustion'!$D$6:$D$13,FALSE,0,1),IF($AO44=Liquid,_xlfn.XLOOKUP($AP44,'Calculations - Combustion'!$B$20:$B$29,'Calculations - Combustion'!$D$20:$D$29,FALSE,0,1),IF($AO44=Gaseous,FuelGas_HHV,"")))</f>
        <v/>
      </c>
      <c r="AR44" s="300" t="str">
        <f t="shared" ca="1" si="40"/>
        <v/>
      </c>
      <c r="AS44" s="237" t="str">
        <f ca="1">IF($AO44=Solid,_xlfn.XLOOKUP($AP44,'Calculations - Combustion'!$B$6:$B$13,'Calculations - Combustion'!$G$6:$G$13,FALSE,0,1),IF($AO44=Liquid,_xlfn.XLOOKUP($AP44,'Calculations - Combustion'!$B$20:$B$29,'Calculations - Combustion'!$G$20:$G$29,FALSE,0,1),IF($AO44=Gaseous,FuelGas_LHV,"")))</f>
        <v/>
      </c>
      <c r="AT44" s="300" t="str">
        <f t="shared" ca="1" si="41"/>
        <v/>
      </c>
      <c r="AU44" s="410" t="str">
        <f ca="1">IF($AO44=Solid,_xlfn.XLOOKUP($AP44,'Calculations - Combustion'!$B$6:$B$13,'Calculations - Combustion'!$J$6:$J$13,FALSE,0,1),IF($AO44=Liquid,_xlfn.XLOOKUP($AP44,'Calculations - Combustion'!$B$20:$B$29,'Calculations - Combustion'!$J$20:$J$29,FALSE,0,1),IF($AO44=Gaseous,FuelGas_M/Vstp,"")))</f>
        <v/>
      </c>
      <c r="AV44" s="407">
        <f>IF(ISNUMBER(L44),L44*_xlfn.XLOOKUP(M44,'Lookup Tables'!$B$306:$B$310,'Lookup Tables'!$F$306:$F$310,,0,1)*kW_to_kW,0)</f>
        <v>0</v>
      </c>
      <c r="AW44" s="407">
        <f t="shared" si="50"/>
        <v>0</v>
      </c>
      <c r="AX44" s="301">
        <f t="shared" si="42"/>
        <v>0.7</v>
      </c>
      <c r="AY44" s="260">
        <f t="shared" ca="1" si="43"/>
        <v>0</v>
      </c>
      <c r="AZ44" s="260">
        <f t="shared" ca="1" si="44"/>
        <v>0</v>
      </c>
      <c r="BA44" s="292">
        <f t="shared" si="45"/>
        <v>0</v>
      </c>
      <c r="BV44" s="358">
        <v>1</v>
      </c>
      <c r="BW44" s="358">
        <v>1</v>
      </c>
      <c r="BX44" s="358">
        <v>0</v>
      </c>
      <c r="BY44" s="358" cm="1">
        <f t="array" ref="BY44">IF(_BW41=1,1,_xlfn.SINGLE(IF(BX44&gt;(COUNTA(_DR41)-COUNTIF(_DR41,0)+1),COUNTA(_DR41)-COUNTIF(_DR41,0)+1,BX44)))</f>
        <v>1</v>
      </c>
    </row>
    <row r="45" spans="1:77" x14ac:dyDescent="0.35">
      <c r="A45" s="381">
        <f t="array" ref="A45">INDEX(HeaterBoilerType,BV45)</f>
        <v>0</v>
      </c>
      <c r="B45" s="377"/>
      <c r="C45" s="305"/>
      <c r="D45" s="382">
        <f t="array" ref="D45">INDEX(FuelCategory,BW45)</f>
        <v>0</v>
      </c>
      <c r="E45" s="299" t="str">
        <f t="array" ref="E45">INDEX(_DR42,BY45)</f>
        <v xml:space="preserve"> </v>
      </c>
      <c r="F45" s="305"/>
      <c r="G45" s="292" t="str">
        <f>IFERROR(IF($D45=0,"",IF($D45=Solid,AZ45/_xlfn.XLOOKUP($I45,'Lookup Tables'!$B$173:$B$180,'Lookup Tables'!$F$173:$F$180,,0,1),IF($D45=Liquid,BA45/_xlfn.XLOOKUP($I45,'Lookup Tables'!$C$173:$C$180,'Lookup Tables'!$G$173:$G$180,,0,1),IF($D45=Gaseous,BA45/_xlfn.XLOOKUP($I45,'Lookup Tables'!$D$173:$D$180,'Lookup Tables'!$H$173:$H$180,,0,1))))),"")</f>
        <v/>
      </c>
      <c r="H45" s="407" t="str">
        <f t="shared" si="32"/>
        <v/>
      </c>
      <c r="I45" s="371"/>
      <c r="J45" s="304"/>
      <c r="K45" s="306"/>
      <c r="L45" s="305"/>
      <c r="M45" s="371"/>
      <c r="N45" s="306"/>
      <c r="O45" s="381"/>
      <c r="P45" s="797" t="str">
        <f t="shared" si="46"/>
        <v/>
      </c>
      <c r="Q45" s="797"/>
      <c r="R45" s="797"/>
      <c r="S45" s="797"/>
      <c r="T45" s="797"/>
      <c r="U45" s="797"/>
      <c r="AB45" s="237" t="str">
        <f t="shared" si="47"/>
        <v/>
      </c>
      <c r="AC45" s="407" t="str">
        <f t="shared" si="48"/>
        <v xml:space="preserve"> </v>
      </c>
      <c r="AD45" s="292" t="str">
        <f>IF(ISTEXT($D45),IF($D45=Solid,B45*F45*_xlfn.XLOOKUP($I45,'Lookup Tables'!$B$173:$B$180,'Lookup Tables'!$F$173:$F$180,,0,1),IF($D45=Liquid,B45*F45*_xlfn.XLOOKUP($I45,'Lookup Tables'!$C$173:$C$180,'Lookup Tables'!$G$173:$G$180,,0,1),IF($D45=Gaseous,B45*F45*_xlfn.XLOOKUP($I45,'Lookup Tables'!$D$173:$D$180,'Lookup Tables'!$H$173:$H$180,,0,1)))),"")</f>
        <v/>
      </c>
      <c r="AE45" s="292">
        <f t="shared" si="49"/>
        <v>0</v>
      </c>
      <c r="AF45" s="292" t="str">
        <f>IF(ISTEXT($D45),IF($D45=Solid,B45*H45*_xlfn.XLOOKUP($I45,'Lookup Tables'!$B$173:$B$180,'Lookup Tables'!$F$173:$F$180,,0,1),IF($D45=Liquid,B45*H45*_xlfn.XLOOKUP($I45,'Lookup Tables'!$C$173:$C$180,'Lookup Tables'!$G$173:$G$180,,0,1),IF($D45=Gaseous,B45*H45*_xlfn.XLOOKUP($I45,'Lookup Tables'!$D$173:$D$180,'Lookup Tables'!$H$173:$H$180,,0,1)))),"")</f>
        <v/>
      </c>
      <c r="AG45" s="409" t="str">
        <f t="shared" ca="1" si="33"/>
        <v/>
      </c>
      <c r="AH45" s="292">
        <f t="shared" si="34"/>
        <v>0</v>
      </c>
      <c r="AI45" s="300" t="str">
        <f t="shared" ca="1" si="35"/>
        <v/>
      </c>
      <c r="AM45" s="301">
        <f t="shared" si="36"/>
        <v>1</v>
      </c>
      <c r="AN45" s="301">
        <f t="shared" si="37"/>
        <v>1</v>
      </c>
      <c r="AO45" s="300" t="str">
        <f t="shared" si="38"/>
        <v>---</v>
      </c>
      <c r="AP45" s="300" t="str">
        <f t="shared" si="39"/>
        <v xml:space="preserve"> </v>
      </c>
      <c r="AQ45" s="260" t="str">
        <f ca="1">IF($AO45=Solid,_xlfn.XLOOKUP($AP45,'Calculations - Combustion'!$B$6:$B$13,'Calculations - Combustion'!$D$6:$D$13,FALSE,0,1),IF($AO45=Liquid,_xlfn.XLOOKUP($AP45,'Calculations - Combustion'!$B$20:$B$29,'Calculations - Combustion'!$D$20:$D$29,FALSE,0,1),IF($AO45=Gaseous,FuelGas_HHV,"")))</f>
        <v/>
      </c>
      <c r="AR45" s="300" t="str">
        <f t="shared" ca="1" si="40"/>
        <v/>
      </c>
      <c r="AS45" s="237" t="str">
        <f ca="1">IF($AO45=Solid,_xlfn.XLOOKUP($AP45,'Calculations - Combustion'!$B$6:$B$13,'Calculations - Combustion'!$G$6:$G$13,FALSE,0,1),IF($AO45=Liquid,_xlfn.XLOOKUP($AP45,'Calculations - Combustion'!$B$20:$B$29,'Calculations - Combustion'!$G$20:$G$29,FALSE,0,1),IF($AO45=Gaseous,FuelGas_LHV,"")))</f>
        <v/>
      </c>
      <c r="AT45" s="300" t="str">
        <f t="shared" ca="1" si="41"/>
        <v/>
      </c>
      <c r="AU45" s="410" t="str">
        <f ca="1">IF($AO45=Solid,_xlfn.XLOOKUP($AP45,'Calculations - Combustion'!$B$6:$B$13,'Calculations - Combustion'!$J$6:$J$13,FALSE,0,1),IF($AO45=Liquid,_xlfn.XLOOKUP($AP45,'Calculations - Combustion'!$B$20:$B$29,'Calculations - Combustion'!$J$20:$J$29,FALSE,0,1),IF($AO45=Gaseous,FuelGas_M/Vstp,"")))</f>
        <v/>
      </c>
      <c r="AV45" s="407">
        <f>IF(ISNUMBER(L45),L45*_xlfn.XLOOKUP(M45,'Lookup Tables'!$B$306:$B$310,'Lookup Tables'!$F$306:$F$310,,0,1)*kW_to_kW,0)</f>
        <v>0</v>
      </c>
      <c r="AW45" s="407">
        <f t="shared" si="50"/>
        <v>0</v>
      </c>
      <c r="AX45" s="301">
        <f t="shared" si="42"/>
        <v>0.7</v>
      </c>
      <c r="AY45" s="260">
        <f t="shared" ca="1" si="43"/>
        <v>0</v>
      </c>
      <c r="AZ45" s="260">
        <f t="shared" ca="1" si="44"/>
        <v>0</v>
      </c>
      <c r="BA45" s="292">
        <f t="shared" si="45"/>
        <v>0</v>
      </c>
      <c r="BV45" s="358">
        <v>1</v>
      </c>
      <c r="BW45" s="358">
        <v>1</v>
      </c>
      <c r="BX45" s="358">
        <v>0</v>
      </c>
      <c r="BY45" s="358" cm="1">
        <f t="array" ref="BY45">IF(_BW42=1,1,_xlfn.SINGLE(IF(BX45&gt;(COUNTA(_DR42)-COUNTIF(_DR42,0)+1),COUNTA(_DR42)-COUNTIF(_DR42,0)+1,BX45)))</f>
        <v>1</v>
      </c>
    </row>
    <row r="46" spans="1:77" x14ac:dyDescent="0.35">
      <c r="A46" s="381">
        <f t="array" ref="A46">INDEX(HeaterBoilerType,BV46)</f>
        <v>0</v>
      </c>
      <c r="B46" s="377"/>
      <c r="C46" s="305"/>
      <c r="D46" s="382">
        <f t="array" ref="D46">INDEX(FuelCategory,BW46)</f>
        <v>0</v>
      </c>
      <c r="E46" s="299" t="str">
        <f t="array" ref="E46">INDEX(_DR43,BY46)</f>
        <v xml:space="preserve"> </v>
      </c>
      <c r="F46" s="305"/>
      <c r="G46" s="293" t="str">
        <f>IFERROR(IF($D46=0,"",IF($D46=Solid,AZ46/_xlfn.XLOOKUP($I46,'Lookup Tables'!$B$173:$B$180,'Lookup Tables'!$F$173:$F$180,,0,1),IF($D46=Liquid,BA46/_xlfn.XLOOKUP($I46,'Lookup Tables'!$C$173:$C$180,'Lookup Tables'!$G$173:$G$180,,0,1),IF($D46=Gaseous,BA46/_xlfn.XLOOKUP($I46,'Lookup Tables'!$D$173:$D$180,'Lookup Tables'!$H$173:$H$180,,0,1))))),"")</f>
        <v/>
      </c>
      <c r="H46" s="408" t="str">
        <f t="shared" si="32"/>
        <v/>
      </c>
      <c r="I46" s="371"/>
      <c r="J46" s="304"/>
      <c r="K46" s="306"/>
      <c r="L46" s="305"/>
      <c r="M46" s="371"/>
      <c r="N46" s="306"/>
      <c r="O46" s="381"/>
      <c r="P46" s="796" t="str">
        <f t="shared" si="46"/>
        <v/>
      </c>
      <c r="Q46" s="796"/>
      <c r="R46" s="796"/>
      <c r="S46" s="796"/>
      <c r="T46" s="796"/>
      <c r="U46" s="796"/>
      <c r="AB46" s="237" t="str">
        <f t="shared" si="47"/>
        <v/>
      </c>
      <c r="AC46" s="407" t="str">
        <f t="shared" si="48"/>
        <v xml:space="preserve"> </v>
      </c>
      <c r="AD46" s="292" t="str">
        <f>IF(ISTEXT($D46),IF($D46=Solid,B46*F46*_xlfn.XLOOKUP($I46,'Lookup Tables'!$B$173:$B$180,'Lookup Tables'!$F$173:$F$180,,0,1),IF($D46=Liquid,B46*F46*_xlfn.XLOOKUP($I46,'Lookup Tables'!$C$173:$C$180,'Lookup Tables'!$G$173:$G$180,,0,1),IF($D46=Gaseous,B46*F46*_xlfn.XLOOKUP($I46,'Lookup Tables'!$D$173:$D$180,'Lookup Tables'!$H$173:$H$180,,0,1)))),"")</f>
        <v/>
      </c>
      <c r="AE46" s="292">
        <f t="shared" si="49"/>
        <v>0</v>
      </c>
      <c r="AF46" s="292" t="str">
        <f>IF(ISTEXT($D46),IF($D46=Solid,B46*H46*_xlfn.XLOOKUP($I46,'Lookup Tables'!$B$173:$B$180,'Lookup Tables'!$F$173:$F$180,,0,1),IF($D46=Liquid,B46*H46*_xlfn.XLOOKUP($I46,'Lookup Tables'!$C$173:$C$180,'Lookup Tables'!$G$173:$G$180,,0,1),IF($D46=Gaseous,B46*H46*_xlfn.XLOOKUP($I46,'Lookup Tables'!$D$173:$D$180,'Lookup Tables'!$H$173:$H$180,,0,1)))),"")</f>
        <v/>
      </c>
      <c r="AG46" s="409" t="str">
        <f t="shared" ca="1" si="33"/>
        <v/>
      </c>
      <c r="AH46" s="292">
        <f t="shared" si="34"/>
        <v>0</v>
      </c>
      <c r="AI46" s="300" t="str">
        <f t="shared" ca="1" si="35"/>
        <v/>
      </c>
      <c r="AM46" s="301">
        <f t="shared" si="36"/>
        <v>1</v>
      </c>
      <c r="AN46" s="301">
        <f t="shared" si="37"/>
        <v>1</v>
      </c>
      <c r="AO46" s="300" t="str">
        <f t="shared" si="38"/>
        <v>---</v>
      </c>
      <c r="AP46" s="300" t="str">
        <f t="shared" si="39"/>
        <v xml:space="preserve"> </v>
      </c>
      <c r="AQ46" s="260" t="str">
        <f ca="1">IF($AO46=Solid,_xlfn.XLOOKUP($AP46,'Calculations - Combustion'!$B$6:$B$13,'Calculations - Combustion'!$D$6:$D$13,FALSE,0,1),IF($AO46=Liquid,_xlfn.XLOOKUP($AP46,'Calculations - Combustion'!$B$20:$B$29,'Calculations - Combustion'!$D$20:$D$29,FALSE,0,1),IF($AO46=Gaseous,FuelGas_HHV,"")))</f>
        <v/>
      </c>
      <c r="AR46" s="300" t="str">
        <f t="shared" ca="1" si="40"/>
        <v/>
      </c>
      <c r="AS46" s="237" t="str">
        <f ca="1">IF($AO46=Solid,_xlfn.XLOOKUP($AP46,'Calculations - Combustion'!$B$6:$B$13,'Calculations - Combustion'!$G$6:$G$13,FALSE,0,1),IF($AO46=Liquid,_xlfn.XLOOKUP($AP46,'Calculations - Combustion'!$B$20:$B$29,'Calculations - Combustion'!$G$20:$G$29,FALSE,0,1),IF($AO46=Gaseous,FuelGas_LHV,"")))</f>
        <v/>
      </c>
      <c r="AT46" s="300" t="str">
        <f t="shared" ca="1" si="41"/>
        <v/>
      </c>
      <c r="AU46" s="410" t="str">
        <f ca="1">IF($AO46=Solid,_xlfn.XLOOKUP($AP46,'Calculations - Combustion'!$B$6:$B$13,'Calculations - Combustion'!$J$6:$J$13,FALSE,0,1),IF($AO46=Liquid,_xlfn.XLOOKUP($AP46,'Calculations - Combustion'!$B$20:$B$29,'Calculations - Combustion'!$J$20:$J$29,FALSE,0,1),IF($AO46=Gaseous,FuelGas_M/Vstp,"")))</f>
        <v/>
      </c>
      <c r="AV46" s="407">
        <f>IF(ISNUMBER(L46),L46*_xlfn.XLOOKUP(M46,'Lookup Tables'!$B$306:$B$310,'Lookup Tables'!$F$306:$F$310,,0,1)*kW_to_kW,0)</f>
        <v>0</v>
      </c>
      <c r="AW46" s="407">
        <f t="shared" si="50"/>
        <v>0</v>
      </c>
      <c r="AX46" s="301">
        <f t="shared" si="42"/>
        <v>0.7</v>
      </c>
      <c r="AY46" s="260">
        <f t="shared" ca="1" si="43"/>
        <v>0</v>
      </c>
      <c r="AZ46" s="260">
        <f t="shared" ca="1" si="44"/>
        <v>0</v>
      </c>
      <c r="BA46" s="292">
        <f t="shared" si="45"/>
        <v>0</v>
      </c>
      <c r="BV46" s="358">
        <v>1</v>
      </c>
      <c r="BW46" s="358">
        <v>1</v>
      </c>
      <c r="BX46" s="358">
        <v>0</v>
      </c>
      <c r="BY46" s="358" cm="1">
        <f t="array" ref="BY46">IF(_BW43=1,1,_xlfn.SINGLE(IF(BX46&gt;(COUNTA(_DR43)-COUNTIF(_DR43,0)+1),COUNTA(_DR43)-COUNTIF(_DR43,0)+1,BX46)))</f>
        <v>1</v>
      </c>
    </row>
    <row r="47" spans="1:77" x14ac:dyDescent="0.35">
      <c r="A47" s="381">
        <f t="array" ref="A47">INDEX(HeaterBoilerType,BV47)</f>
        <v>0</v>
      </c>
      <c r="B47" s="377"/>
      <c r="C47" s="305"/>
      <c r="D47" s="382">
        <f t="array" ref="D47">INDEX(FuelCategory,BW47)</f>
        <v>0</v>
      </c>
      <c r="E47" s="299" t="str">
        <f t="array" ref="E47">INDEX(_DR44,BY47)</f>
        <v xml:space="preserve"> </v>
      </c>
      <c r="F47" s="305"/>
      <c r="G47" s="292" t="str">
        <f>IFERROR(IF($D47=0,"",IF($D47=Solid,AZ47/_xlfn.XLOOKUP($I47,'Lookup Tables'!$B$173:$B$180,'Lookup Tables'!$F$173:$F$180,,0,1),IF($D47=Liquid,BA47/_xlfn.XLOOKUP($I47,'Lookup Tables'!$C$173:$C$180,'Lookup Tables'!$G$173:$G$180,,0,1),IF($D47=Gaseous,BA47/_xlfn.XLOOKUP($I47,'Lookup Tables'!$D$173:$D$180,'Lookup Tables'!$H$173:$H$180,,0,1))))),"")</f>
        <v/>
      </c>
      <c r="H47" s="407" t="str">
        <f t="shared" si="32"/>
        <v/>
      </c>
      <c r="I47" s="371"/>
      <c r="J47" s="304"/>
      <c r="K47" s="306"/>
      <c r="L47" s="305"/>
      <c r="M47" s="371"/>
      <c r="N47" s="306"/>
      <c r="O47" s="381"/>
      <c r="P47" s="797" t="str">
        <f t="shared" si="46"/>
        <v/>
      </c>
      <c r="Q47" s="797"/>
      <c r="R47" s="797"/>
      <c r="S47" s="797"/>
      <c r="T47" s="797"/>
      <c r="U47" s="797"/>
      <c r="AB47" s="237" t="str">
        <f t="shared" si="47"/>
        <v/>
      </c>
      <c r="AC47" s="407" t="str">
        <f t="shared" si="48"/>
        <v xml:space="preserve"> </v>
      </c>
      <c r="AD47" s="292" t="str">
        <f>IF(ISTEXT($D47),IF($D47=Solid,B47*F47*_xlfn.XLOOKUP($I47,'Lookup Tables'!$B$173:$B$180,'Lookup Tables'!$F$173:$F$180,,0,1),IF($D47=Liquid,B47*F47*_xlfn.XLOOKUP($I47,'Lookup Tables'!$C$173:$C$180,'Lookup Tables'!$G$173:$G$180,,0,1),IF($D47=Gaseous,B47*F47*_xlfn.XLOOKUP($I47,'Lookup Tables'!$D$173:$D$180,'Lookup Tables'!$H$173:$H$180,,0,1)))),"")</f>
        <v/>
      </c>
      <c r="AE47" s="292">
        <f t="shared" si="49"/>
        <v>0</v>
      </c>
      <c r="AF47" s="292" t="str">
        <f>IF(ISTEXT($D47),IF($D47=Solid,B47*H47*_xlfn.XLOOKUP($I47,'Lookup Tables'!$B$173:$B$180,'Lookup Tables'!$F$173:$F$180,,0,1),IF($D47=Liquid,B47*H47*_xlfn.XLOOKUP($I47,'Lookup Tables'!$C$173:$C$180,'Lookup Tables'!$G$173:$G$180,,0,1),IF($D47=Gaseous,B47*H47*_xlfn.XLOOKUP($I47,'Lookup Tables'!$D$173:$D$180,'Lookup Tables'!$H$173:$H$180,,0,1)))),"")</f>
        <v/>
      </c>
      <c r="AG47" s="409" t="str">
        <f t="shared" ca="1" si="33"/>
        <v/>
      </c>
      <c r="AH47" s="292">
        <f t="shared" si="34"/>
        <v>0</v>
      </c>
      <c r="AI47" s="300" t="str">
        <f t="shared" ca="1" si="35"/>
        <v/>
      </c>
      <c r="AM47" s="301">
        <f t="shared" si="36"/>
        <v>1</v>
      </c>
      <c r="AN47" s="301">
        <f t="shared" si="37"/>
        <v>1</v>
      </c>
      <c r="AO47" s="300" t="str">
        <f t="shared" si="38"/>
        <v>---</v>
      </c>
      <c r="AP47" s="300" t="str">
        <f t="shared" si="39"/>
        <v xml:space="preserve"> </v>
      </c>
      <c r="AQ47" s="260" t="str">
        <f ca="1">IF($AO47=Solid,_xlfn.XLOOKUP($AP47,'Calculations - Combustion'!$B$6:$B$13,'Calculations - Combustion'!$D$6:$D$13,FALSE,0,1),IF($AO47=Liquid,_xlfn.XLOOKUP($AP47,'Calculations - Combustion'!$B$20:$B$29,'Calculations - Combustion'!$D$20:$D$29,FALSE,0,1),IF($AO47=Gaseous,FuelGas_HHV,"")))</f>
        <v/>
      </c>
      <c r="AR47" s="300" t="str">
        <f t="shared" ca="1" si="40"/>
        <v/>
      </c>
      <c r="AS47" s="237" t="str">
        <f ca="1">IF($AO47=Solid,_xlfn.XLOOKUP($AP47,'Calculations - Combustion'!$B$6:$B$13,'Calculations - Combustion'!$G$6:$G$13,FALSE,0,1),IF($AO47=Liquid,_xlfn.XLOOKUP($AP47,'Calculations - Combustion'!$B$20:$B$29,'Calculations - Combustion'!$G$20:$G$29,FALSE,0,1),IF($AO47=Gaseous,FuelGas_LHV,"")))</f>
        <v/>
      </c>
      <c r="AT47" s="300" t="str">
        <f t="shared" ca="1" si="41"/>
        <v/>
      </c>
      <c r="AU47" s="410" t="str">
        <f ca="1">IF($AO47=Solid,_xlfn.XLOOKUP($AP47,'Calculations - Combustion'!$B$6:$B$13,'Calculations - Combustion'!$J$6:$J$13,FALSE,0,1),IF($AO47=Liquid,_xlfn.XLOOKUP($AP47,'Calculations - Combustion'!$B$20:$B$29,'Calculations - Combustion'!$J$20:$J$29,FALSE,0,1),IF($AO47=Gaseous,FuelGas_M/Vstp,"")))</f>
        <v/>
      </c>
      <c r="AV47" s="407">
        <f>IF(ISNUMBER(L47),L47*_xlfn.XLOOKUP(M47,'Lookup Tables'!$B$306:$B$310,'Lookup Tables'!$F$306:$F$310,,0,1)*kW_to_kW,0)</f>
        <v>0</v>
      </c>
      <c r="AW47" s="407">
        <f t="shared" si="50"/>
        <v>0</v>
      </c>
      <c r="AX47" s="301">
        <f t="shared" si="42"/>
        <v>0.7</v>
      </c>
      <c r="AY47" s="260">
        <f t="shared" ca="1" si="43"/>
        <v>0</v>
      </c>
      <c r="AZ47" s="260">
        <f t="shared" ca="1" si="44"/>
        <v>0</v>
      </c>
      <c r="BA47" s="292">
        <f t="shared" si="45"/>
        <v>0</v>
      </c>
      <c r="BV47" s="358">
        <v>1</v>
      </c>
      <c r="BW47" s="358">
        <v>1</v>
      </c>
      <c r="BX47" s="358">
        <v>0</v>
      </c>
      <c r="BY47" s="358" cm="1">
        <f t="array" ref="BY47">IF(_BW44=1,1,_xlfn.SINGLE(IF(BX47&gt;(COUNTA(_DR44)-COUNTIF(_DR44,0)+1),COUNTA(_DR44)-COUNTIF(_DR44,0)+1,BX47)))</f>
        <v>1</v>
      </c>
    </row>
    <row r="48" spans="1:77" x14ac:dyDescent="0.35">
      <c r="A48" s="381">
        <f t="array" ref="A48">INDEX(HeaterBoilerType,BV48)</f>
        <v>0</v>
      </c>
      <c r="B48" s="377"/>
      <c r="C48" s="305"/>
      <c r="D48" s="382">
        <f t="array" ref="D48">INDEX(FuelCategory,BW48)</f>
        <v>0</v>
      </c>
      <c r="E48" s="299" t="str">
        <f t="array" ref="E48">INDEX(_DR45,BY48)</f>
        <v xml:space="preserve"> </v>
      </c>
      <c r="F48" s="305"/>
      <c r="G48" s="293" t="str">
        <f>IFERROR(IF($D48=0,"",IF($D48=Solid,AZ48/_xlfn.XLOOKUP($I48,'Lookup Tables'!$B$173:$B$180,'Lookup Tables'!$F$173:$F$180,,0,1),IF($D48=Liquid,BA48/_xlfn.XLOOKUP($I48,'Lookup Tables'!$C$173:$C$180,'Lookup Tables'!$G$173:$G$180,,0,1),IF($D48=Gaseous,BA48/_xlfn.XLOOKUP($I48,'Lookup Tables'!$D$173:$D$180,'Lookup Tables'!$H$173:$H$180,,0,1))))),"")</f>
        <v/>
      </c>
      <c r="H48" s="408" t="str">
        <f t="shared" si="32"/>
        <v/>
      </c>
      <c r="I48" s="371"/>
      <c r="J48" s="304"/>
      <c r="K48" s="306"/>
      <c r="L48" s="305"/>
      <c r="M48" s="371"/>
      <c r="N48" s="306"/>
      <c r="O48" s="381"/>
      <c r="P48" s="796" t="str">
        <f t="shared" si="46"/>
        <v/>
      </c>
      <c r="Q48" s="796"/>
      <c r="R48" s="796"/>
      <c r="S48" s="796"/>
      <c r="T48" s="796"/>
      <c r="U48" s="796"/>
      <c r="AB48" s="237" t="str">
        <f t="shared" si="47"/>
        <v/>
      </c>
      <c r="AC48" s="407" t="str">
        <f t="shared" si="48"/>
        <v xml:space="preserve"> </v>
      </c>
      <c r="AD48" s="292" t="str">
        <f>IF(ISTEXT($D48),IF($D48=Solid,B48*F48*_xlfn.XLOOKUP($I48,'Lookup Tables'!$B$173:$B$180,'Lookup Tables'!$F$173:$F$180,,0,1),IF($D48=Liquid,B48*F48*_xlfn.XLOOKUP($I48,'Lookup Tables'!$C$173:$C$180,'Lookup Tables'!$G$173:$G$180,,0,1),IF($D48=Gaseous,B48*F48*_xlfn.XLOOKUP($I48,'Lookup Tables'!$D$173:$D$180,'Lookup Tables'!$H$173:$H$180,,0,1)))),"")</f>
        <v/>
      </c>
      <c r="AE48" s="292">
        <f t="shared" si="49"/>
        <v>0</v>
      </c>
      <c r="AF48" s="292" t="str">
        <f>IF(ISTEXT($D48),IF($D48=Solid,B48*H48*_xlfn.XLOOKUP($I48,'Lookup Tables'!$B$173:$B$180,'Lookup Tables'!$F$173:$F$180,,0,1),IF($D48=Liquid,B48*H48*_xlfn.XLOOKUP($I48,'Lookup Tables'!$C$173:$C$180,'Lookup Tables'!$G$173:$G$180,,0,1),IF($D48=Gaseous,B48*H48*_xlfn.XLOOKUP($I48,'Lookup Tables'!$D$173:$D$180,'Lookup Tables'!$H$173:$H$180,,0,1)))),"")</f>
        <v/>
      </c>
      <c r="AG48" s="409" t="str">
        <f t="shared" ca="1" si="33"/>
        <v/>
      </c>
      <c r="AH48" s="292">
        <f t="shared" si="34"/>
        <v>0</v>
      </c>
      <c r="AI48" s="300" t="str">
        <f t="shared" ca="1" si="35"/>
        <v/>
      </c>
      <c r="AM48" s="301">
        <f t="shared" si="36"/>
        <v>1</v>
      </c>
      <c r="AN48" s="301">
        <f t="shared" si="37"/>
        <v>1</v>
      </c>
      <c r="AO48" s="300" t="str">
        <f t="shared" si="38"/>
        <v>---</v>
      </c>
      <c r="AP48" s="300" t="str">
        <f t="shared" si="39"/>
        <v xml:space="preserve"> </v>
      </c>
      <c r="AQ48" s="260" t="str">
        <f ca="1">IF($AO48=Solid,_xlfn.XLOOKUP($AP48,'Calculations - Combustion'!$B$6:$B$13,'Calculations - Combustion'!$D$6:$D$13,FALSE,0,1),IF($AO48=Liquid,_xlfn.XLOOKUP($AP48,'Calculations - Combustion'!$B$20:$B$29,'Calculations - Combustion'!$D$20:$D$29,FALSE,0,1),IF($AO48=Gaseous,FuelGas_HHV,"")))</f>
        <v/>
      </c>
      <c r="AR48" s="300" t="str">
        <f t="shared" ca="1" si="40"/>
        <v/>
      </c>
      <c r="AS48" s="237" t="str">
        <f ca="1">IF($AO48=Solid,_xlfn.XLOOKUP($AP48,'Calculations - Combustion'!$B$6:$B$13,'Calculations - Combustion'!$G$6:$G$13,FALSE,0,1),IF($AO48=Liquid,_xlfn.XLOOKUP($AP48,'Calculations - Combustion'!$B$20:$B$29,'Calculations - Combustion'!$G$20:$G$29,FALSE,0,1),IF($AO48=Gaseous,FuelGas_LHV,"")))</f>
        <v/>
      </c>
      <c r="AT48" s="300" t="str">
        <f t="shared" ca="1" si="41"/>
        <v/>
      </c>
      <c r="AU48" s="410" t="str">
        <f ca="1">IF($AO48=Solid,_xlfn.XLOOKUP($AP48,'Calculations - Combustion'!$B$6:$B$13,'Calculations - Combustion'!$J$6:$J$13,FALSE,0,1),IF($AO48=Liquid,_xlfn.XLOOKUP($AP48,'Calculations - Combustion'!$B$20:$B$29,'Calculations - Combustion'!$J$20:$J$29,FALSE,0,1),IF($AO48=Gaseous,FuelGas_M/Vstp,"")))</f>
        <v/>
      </c>
      <c r="AV48" s="407">
        <f>IF(ISNUMBER(L48),L48*_xlfn.XLOOKUP(M48,'Lookup Tables'!$B$306:$B$310,'Lookup Tables'!$F$306:$F$310,,0,1)*kW_to_kW,0)</f>
        <v>0</v>
      </c>
      <c r="AW48" s="407">
        <f t="shared" si="50"/>
        <v>0</v>
      </c>
      <c r="AX48" s="301">
        <f t="shared" si="42"/>
        <v>0.7</v>
      </c>
      <c r="AY48" s="260">
        <f t="shared" ca="1" si="43"/>
        <v>0</v>
      </c>
      <c r="AZ48" s="260">
        <f t="shared" ca="1" si="44"/>
        <v>0</v>
      </c>
      <c r="BA48" s="292">
        <f t="shared" si="45"/>
        <v>0</v>
      </c>
      <c r="BV48" s="358">
        <v>1</v>
      </c>
      <c r="BW48" s="358">
        <v>1</v>
      </c>
      <c r="BX48" s="358">
        <v>0</v>
      </c>
      <c r="BY48" s="358" cm="1">
        <f t="array" ref="BY48">IF(_BW45=1,1,_xlfn.SINGLE(IF(BX48&gt;(COUNTA(_DR45)-COUNTIF(_DR45,0)+1),COUNTA(_DR45)-COUNTIF(_DR45,0)+1,BX48)))</f>
        <v>1</v>
      </c>
    </row>
    <row r="49" spans="1:77" x14ac:dyDescent="0.35">
      <c r="A49" s="381">
        <f t="array" ref="A49">INDEX(HeaterBoilerType,BV49)</f>
        <v>0</v>
      </c>
      <c r="B49" s="377"/>
      <c r="C49" s="305"/>
      <c r="D49" s="382">
        <f t="array" ref="D49">INDEX(FuelCategory,BW49)</f>
        <v>0</v>
      </c>
      <c r="E49" s="299" t="str">
        <f t="array" ref="E49">INDEX(_DR46,BY49)</f>
        <v xml:space="preserve"> </v>
      </c>
      <c r="F49" s="305"/>
      <c r="G49" s="292" t="str">
        <f>IFERROR(IF($D49=0,"",IF($D49=Solid,AZ49/_xlfn.XLOOKUP($I49,'Lookup Tables'!$B$173:$B$180,'Lookup Tables'!$F$173:$F$180,,0,1),IF($D49=Liquid,BA49/_xlfn.XLOOKUP($I49,'Lookup Tables'!$C$173:$C$180,'Lookup Tables'!$G$173:$G$180,,0,1),IF($D49=Gaseous,BA49/_xlfn.XLOOKUP($I49,'Lookup Tables'!$D$173:$D$180,'Lookup Tables'!$H$173:$H$180,,0,1))))),"")</f>
        <v/>
      </c>
      <c r="H49" s="407" t="str">
        <f t="shared" si="32"/>
        <v/>
      </c>
      <c r="I49" s="371"/>
      <c r="J49" s="304"/>
      <c r="K49" s="306"/>
      <c r="L49" s="305"/>
      <c r="M49" s="371"/>
      <c r="N49" s="306"/>
      <c r="O49" s="381"/>
      <c r="P49" s="797" t="str">
        <f t="shared" si="46"/>
        <v/>
      </c>
      <c r="Q49" s="797"/>
      <c r="R49" s="797"/>
      <c r="S49" s="797"/>
      <c r="T49" s="797"/>
      <c r="U49" s="797"/>
      <c r="AB49" s="237" t="str">
        <f t="shared" si="47"/>
        <v/>
      </c>
      <c r="AC49" s="407" t="str">
        <f t="shared" si="48"/>
        <v xml:space="preserve"> </v>
      </c>
      <c r="AD49" s="292" t="str">
        <f>IF(ISTEXT($D49),IF($D49=Solid,B49*F49*_xlfn.XLOOKUP($I49,'Lookup Tables'!$B$173:$B$180,'Lookup Tables'!$F$173:$F$180,,0,1),IF($D49=Liquid,B49*F49*_xlfn.XLOOKUP($I49,'Lookup Tables'!$C$173:$C$180,'Lookup Tables'!$G$173:$G$180,,0,1),IF($D49=Gaseous,B49*F49*_xlfn.XLOOKUP($I49,'Lookup Tables'!$D$173:$D$180,'Lookup Tables'!$H$173:$H$180,,0,1)))),"")</f>
        <v/>
      </c>
      <c r="AE49" s="292">
        <f t="shared" si="49"/>
        <v>0</v>
      </c>
      <c r="AF49" s="292" t="str">
        <f>IF(ISTEXT($D49),IF($D49=Solid,B49*H49*_xlfn.XLOOKUP($I49,'Lookup Tables'!$B$173:$B$180,'Lookup Tables'!$F$173:$F$180,,0,1),IF($D49=Liquid,B49*H49*_xlfn.XLOOKUP($I49,'Lookup Tables'!$C$173:$C$180,'Lookup Tables'!$G$173:$G$180,,0,1),IF($D49=Gaseous,B49*H49*_xlfn.XLOOKUP($I49,'Lookup Tables'!$D$173:$D$180,'Lookup Tables'!$H$173:$H$180,,0,1)))),"")</f>
        <v/>
      </c>
      <c r="AG49" s="409" t="str">
        <f t="shared" ca="1" si="33"/>
        <v/>
      </c>
      <c r="AH49" s="292">
        <f t="shared" si="34"/>
        <v>0</v>
      </c>
      <c r="AI49" s="300" t="str">
        <f t="shared" ca="1" si="35"/>
        <v/>
      </c>
      <c r="AM49" s="301">
        <f t="shared" si="36"/>
        <v>1</v>
      </c>
      <c r="AN49" s="301">
        <f t="shared" si="37"/>
        <v>1</v>
      </c>
      <c r="AO49" s="300" t="str">
        <f t="shared" si="38"/>
        <v>---</v>
      </c>
      <c r="AP49" s="300" t="str">
        <f t="shared" si="39"/>
        <v xml:space="preserve"> </v>
      </c>
      <c r="AQ49" s="260" t="str">
        <f ca="1">IF($AO49=Solid,_xlfn.XLOOKUP($AP49,'Calculations - Combustion'!$B$6:$B$13,'Calculations - Combustion'!$D$6:$D$13,FALSE,0,1),IF($AO49=Liquid,_xlfn.XLOOKUP($AP49,'Calculations - Combustion'!$B$20:$B$29,'Calculations - Combustion'!$D$20:$D$29,FALSE,0,1),IF($AO49=Gaseous,FuelGas_HHV,"")))</f>
        <v/>
      </c>
      <c r="AR49" s="300" t="str">
        <f t="shared" ca="1" si="40"/>
        <v/>
      </c>
      <c r="AS49" s="237" t="str">
        <f ca="1">IF($AO49=Solid,_xlfn.XLOOKUP($AP49,'Calculations - Combustion'!$B$6:$B$13,'Calculations - Combustion'!$G$6:$G$13,FALSE,0,1),IF($AO49=Liquid,_xlfn.XLOOKUP($AP49,'Calculations - Combustion'!$B$20:$B$29,'Calculations - Combustion'!$G$20:$G$29,FALSE,0,1),IF($AO49=Gaseous,FuelGas_LHV,"")))</f>
        <v/>
      </c>
      <c r="AT49" s="300" t="str">
        <f t="shared" ca="1" si="41"/>
        <v/>
      </c>
      <c r="AU49" s="410" t="str">
        <f ca="1">IF($AO49=Solid,_xlfn.XLOOKUP($AP49,'Calculations - Combustion'!$B$6:$B$13,'Calculations - Combustion'!$J$6:$J$13,FALSE,0,1),IF($AO49=Liquid,_xlfn.XLOOKUP($AP49,'Calculations - Combustion'!$B$20:$B$29,'Calculations - Combustion'!$J$20:$J$29,FALSE,0,1),IF($AO49=Gaseous,FuelGas_M/Vstp,"")))</f>
        <v/>
      </c>
      <c r="AV49" s="407">
        <f>IF(ISNUMBER(L49),L49*_xlfn.XLOOKUP(M49,'Lookup Tables'!$B$306:$B$310,'Lookup Tables'!$F$306:$F$310,,0,1)*kW_to_kW,0)</f>
        <v>0</v>
      </c>
      <c r="AW49" s="407">
        <f t="shared" si="50"/>
        <v>0</v>
      </c>
      <c r="AX49" s="301">
        <f t="shared" si="42"/>
        <v>0.7</v>
      </c>
      <c r="AY49" s="260">
        <f t="shared" ca="1" si="43"/>
        <v>0</v>
      </c>
      <c r="AZ49" s="260">
        <f t="shared" ca="1" si="44"/>
        <v>0</v>
      </c>
      <c r="BA49" s="292">
        <f t="shared" si="45"/>
        <v>0</v>
      </c>
      <c r="BV49" s="358">
        <v>1</v>
      </c>
      <c r="BW49" s="358">
        <v>1</v>
      </c>
      <c r="BX49" s="358">
        <v>0</v>
      </c>
      <c r="BY49" s="358" cm="1">
        <f t="array" ref="BY49">IF(_BW46=1,1,_xlfn.SINGLE(IF(BX49&gt;(COUNTA(_DR46)-COUNTIF(_DR46,0)+1),COUNTA(_DR46)-COUNTIF(_DR46,0)+1,BX49)))</f>
        <v>1</v>
      </c>
    </row>
    <row r="50" spans="1:77" x14ac:dyDescent="0.35">
      <c r="A50" s="381">
        <f t="array" ref="A50">INDEX(HeaterBoilerType,BV50)</f>
        <v>0</v>
      </c>
      <c r="B50" s="377"/>
      <c r="C50" s="305"/>
      <c r="D50" s="382">
        <f t="array" ref="D50">INDEX(FuelCategory,BW50)</f>
        <v>0</v>
      </c>
      <c r="E50" s="299" t="str">
        <f t="array" ref="E50">INDEX(_DR47,BY50)</f>
        <v xml:space="preserve"> </v>
      </c>
      <c r="F50" s="305"/>
      <c r="G50" s="293" t="str">
        <f>IFERROR(IF($D50=0,"",IF($D50=Solid,AZ50/_xlfn.XLOOKUP($I50,'Lookup Tables'!$B$173:$B$180,'Lookup Tables'!$F$173:$F$180,,0,1),IF($D50=Liquid,BA50/_xlfn.XLOOKUP($I50,'Lookup Tables'!$C$173:$C$180,'Lookup Tables'!$G$173:$G$180,,0,1),IF($D50=Gaseous,BA50/_xlfn.XLOOKUP($I50,'Lookup Tables'!$D$173:$D$180,'Lookup Tables'!$H$173:$H$180,,0,1))))),"")</f>
        <v/>
      </c>
      <c r="H50" s="408" t="str">
        <f t="shared" si="32"/>
        <v/>
      </c>
      <c r="I50" s="371"/>
      <c r="J50" s="304"/>
      <c r="K50" s="306"/>
      <c r="L50" s="305"/>
      <c r="M50" s="371"/>
      <c r="N50" s="306"/>
      <c r="O50" s="381"/>
      <c r="P50" s="796" t="str">
        <f t="shared" si="46"/>
        <v/>
      </c>
      <c r="Q50" s="796"/>
      <c r="R50" s="796"/>
      <c r="S50" s="796"/>
      <c r="T50" s="796"/>
      <c r="U50" s="796"/>
      <c r="AB50" s="237" t="str">
        <f t="shared" si="47"/>
        <v/>
      </c>
      <c r="AC50" s="407" t="str">
        <f t="shared" si="48"/>
        <v xml:space="preserve"> </v>
      </c>
      <c r="AD50" s="292" t="str">
        <f>IF(ISTEXT($D50),IF($D50=Solid,B50*F50*_xlfn.XLOOKUP($I50,'Lookup Tables'!$B$173:$B$180,'Lookup Tables'!$F$173:$F$180,,0,1),IF($D50=Liquid,B50*F50*_xlfn.XLOOKUP($I50,'Lookup Tables'!$C$173:$C$180,'Lookup Tables'!$G$173:$G$180,,0,1),IF($D50=Gaseous,B50*F50*_xlfn.XLOOKUP($I50,'Lookup Tables'!$D$173:$D$180,'Lookup Tables'!$H$173:$H$180,,0,1)))),"")</f>
        <v/>
      </c>
      <c r="AE50" s="292">
        <f t="shared" si="49"/>
        <v>0</v>
      </c>
      <c r="AF50" s="292" t="str">
        <f>IF(ISTEXT($D50),IF($D50=Solid,B50*H50*_xlfn.XLOOKUP($I50,'Lookup Tables'!$B$173:$B$180,'Lookup Tables'!$F$173:$F$180,,0,1),IF($D50=Liquid,B50*H50*_xlfn.XLOOKUP($I50,'Lookup Tables'!$C$173:$C$180,'Lookup Tables'!$G$173:$G$180,,0,1),IF($D50=Gaseous,B50*H50*_xlfn.XLOOKUP($I50,'Lookup Tables'!$D$173:$D$180,'Lookup Tables'!$H$173:$H$180,,0,1)))),"")</f>
        <v/>
      </c>
      <c r="AG50" s="409" t="str">
        <f t="shared" ca="1" si="33"/>
        <v/>
      </c>
      <c r="AH50" s="292">
        <f t="shared" si="34"/>
        <v>0</v>
      </c>
      <c r="AI50" s="300" t="str">
        <f t="shared" ca="1" si="35"/>
        <v/>
      </c>
      <c r="AM50" s="411">
        <v>1</v>
      </c>
      <c r="AN50" s="411">
        <v>1</v>
      </c>
      <c r="AO50" s="257" t="s">
        <v>2920</v>
      </c>
      <c r="AX50" s="411">
        <v>0.7</v>
      </c>
      <c r="AY50" s="257" t="s">
        <v>2901</v>
      </c>
      <c r="BV50" s="358">
        <v>1</v>
      </c>
      <c r="BW50" s="358">
        <v>1</v>
      </c>
      <c r="BX50" s="358">
        <v>0</v>
      </c>
      <c r="BY50" s="358" cm="1">
        <f t="array" ref="BY50">IF(_BW47=1,1,_xlfn.SINGLE(IF(BX50&gt;(COUNTA(_DR47)-COUNTIF(_DR47,0)+1),COUNTA(_DR47)-COUNTIF(_DR47,0)+1,BX50)))</f>
        <v>1</v>
      </c>
    </row>
    <row r="51" spans="1:77" x14ac:dyDescent="0.35">
      <c r="AC51" s="412"/>
      <c r="AD51" s="412"/>
      <c r="AE51" s="412"/>
      <c r="AF51" s="412"/>
      <c r="AG51" s="412"/>
    </row>
    <row r="52" spans="1:77" ht="22.5" x14ac:dyDescent="0.45">
      <c r="A52" s="798" t="str">
        <f ca="1">'Translation Table'!H3128</f>
        <v>Compressor Engines</v>
      </c>
      <c r="B52" s="798"/>
      <c r="C52" s="798"/>
      <c r="AB52" s="102" t="s">
        <v>3112</v>
      </c>
      <c r="AM52" s="102" t="s">
        <v>2877</v>
      </c>
    </row>
    <row r="53" spans="1:77" x14ac:dyDescent="0.35">
      <c r="A53" s="102"/>
      <c r="AM53" s="102"/>
    </row>
    <row r="54" spans="1:77" ht="15.75" customHeight="1" x14ac:dyDescent="0.35">
      <c r="A54" s="810" t="str">
        <f ca="1">'Translation Table'!H3104</f>
        <v>Source Type</v>
      </c>
      <c r="B54" s="750" t="str">
        <f ca="1">'Translation Table'!H3105</f>
        <v>Quantity</v>
      </c>
      <c r="C54" s="750" t="str">
        <f ca="1">'Translation Table'!H3106</f>
        <v>Description</v>
      </c>
      <c r="D54" s="852" t="str">
        <f ca="1">'Translation Table'!H3107</f>
        <v>Fuel Type</v>
      </c>
      <c r="E54" s="781"/>
      <c r="F54" s="755" t="str">
        <f ca="1">'Translation Table'!H3110</f>
        <v>Fuel Consumption (Per unit)</v>
      </c>
      <c r="G54" s="814"/>
      <c r="H54" s="814"/>
      <c r="I54" s="814"/>
      <c r="J54" s="815"/>
      <c r="K54" s="867" t="str">
        <f ca="1">'Translation Table'!H3129</f>
        <v>Engine Operating Hours and Performance</v>
      </c>
      <c r="L54" s="814"/>
      <c r="M54" s="815"/>
      <c r="N54" s="852" t="str">
        <f ca="1">'Translation Table'!H3130</f>
        <v>Method 1 Input Data (Engine Size &amp; Loading)</v>
      </c>
      <c r="O54" s="814"/>
      <c r="P54" s="815"/>
      <c r="Q54" s="755" t="str">
        <f ca="1">'Translation Table'!H3131</f>
        <v>Method 2 Input Data (Compression Work Done)</v>
      </c>
      <c r="R54" s="814"/>
      <c r="S54" s="814"/>
      <c r="T54" s="814"/>
      <c r="U54" s="814"/>
      <c r="V54" s="814"/>
      <c r="W54" s="815"/>
      <c r="X54" s="802" t="str">
        <f ca="1">'Translation Table'!H3127</f>
        <v>Error Messages</v>
      </c>
      <c r="Y54" s="870"/>
      <c r="Z54" s="870"/>
      <c r="AM54" s="874" t="s">
        <v>2954</v>
      </c>
      <c r="AN54" s="875"/>
      <c r="AO54" s="874" t="s">
        <v>2973</v>
      </c>
      <c r="AP54" s="875"/>
      <c r="AQ54" s="875"/>
      <c r="AR54" s="875"/>
      <c r="AS54" s="875"/>
      <c r="AT54" s="875"/>
      <c r="AU54" s="876"/>
      <c r="AV54" s="874" t="s">
        <v>2889</v>
      </c>
      <c r="AW54" s="875"/>
      <c r="AX54" s="876"/>
      <c r="AY54" s="881" t="s">
        <v>2921</v>
      </c>
      <c r="AZ54" s="898"/>
      <c r="BA54" s="898"/>
      <c r="BB54" s="874" t="s">
        <v>2923</v>
      </c>
      <c r="BC54" s="878"/>
      <c r="BD54" s="878"/>
      <c r="BE54" s="878"/>
      <c r="BF54" s="878"/>
      <c r="BG54" s="878"/>
      <c r="BH54" s="878"/>
      <c r="BI54" s="878"/>
      <c r="BJ54" s="878"/>
      <c r="BK54" s="878"/>
      <c r="BL54" s="878"/>
      <c r="BM54" s="878"/>
      <c r="BN54" s="878"/>
      <c r="BO54" s="878"/>
      <c r="BP54" s="878"/>
      <c r="BQ54" s="776"/>
      <c r="BR54" s="881" t="s">
        <v>2922</v>
      </c>
      <c r="BS54" s="898"/>
      <c r="BT54" s="898"/>
    </row>
    <row r="55" spans="1:77" ht="15" customHeight="1" x14ac:dyDescent="0.35">
      <c r="A55" s="811"/>
      <c r="B55" s="819"/>
      <c r="C55" s="813"/>
      <c r="D55" s="853" t="str">
        <f ca="1">'Translation Table'!H3108</f>
        <v>Category</v>
      </c>
      <c r="E55" s="853" t="str">
        <f ca="1">'Translation Table'!H3109</f>
        <v>Subcategory</v>
      </c>
      <c r="F55" s="823" t="str">
        <f ca="1">'Translation Table'!H3111</f>
        <v>Measured or Reported Value</v>
      </c>
      <c r="G55" s="816" t="str">
        <f ca="1">'Translation Table'!H3113</f>
        <v>Estimated Value</v>
      </c>
      <c r="H55" s="817"/>
      <c r="I55" s="818" t="str">
        <f ca="1">'Translation Table'!H3115</f>
        <v>Value Used</v>
      </c>
      <c r="J55" s="806" t="str">
        <f ca="1">'Translation Table'!H3116</f>
        <v>Units of Measure</v>
      </c>
      <c r="K55" s="806" t="str">
        <f ca="1">'Translation Table'!H3118</f>
        <v>Annual Operating Hours (Optional)</v>
      </c>
      <c r="L55" s="868" t="str">
        <f ca="1">'Translation Table'!H3132</f>
        <v>Engine Thermal Efficiency</v>
      </c>
      <c r="M55" s="803"/>
      <c r="N55" s="851" t="str">
        <f ca="1">'Translation Table'!H3136</f>
        <v>Maximum Rated Power Output of Engine</v>
      </c>
      <c r="O55" s="803"/>
      <c r="P55" s="818" t="str">
        <f ca="1">'Translation Table'!H3119</f>
        <v>Load Factor (%)</v>
      </c>
      <c r="Q55" s="755" t="str">
        <f ca="1">'Translation Table'!H3139</f>
        <v>Gas Throughput</v>
      </c>
      <c r="R55" s="815"/>
      <c r="S55" s="755" t="str">
        <f ca="1">'Translation Table'!H3140</f>
        <v>Operating Pressure (Gauge)</v>
      </c>
      <c r="T55" s="814"/>
      <c r="U55" s="815"/>
      <c r="V55" s="755" t="str">
        <f ca="1">'Translation Table'!H3141</f>
        <v>Operating Temperature</v>
      </c>
      <c r="W55" s="815"/>
      <c r="X55" s="803"/>
      <c r="Y55" s="803"/>
      <c r="Z55" s="803"/>
      <c r="AB55" s="877" t="s">
        <v>2880</v>
      </c>
      <c r="AC55" s="884"/>
      <c r="AD55" s="877" t="s">
        <v>3050</v>
      </c>
      <c r="AE55" s="878"/>
      <c r="AF55" s="878"/>
      <c r="AG55" s="878"/>
      <c r="AH55" s="878"/>
      <c r="AI55" s="776"/>
      <c r="AM55" s="871" t="s">
        <v>2890</v>
      </c>
      <c r="AN55" s="871" t="s">
        <v>2885</v>
      </c>
      <c r="AO55" s="874" t="s">
        <v>2</v>
      </c>
      <c r="AP55" s="879"/>
      <c r="AQ55" s="874" t="s">
        <v>2881</v>
      </c>
      <c r="AR55" s="879"/>
      <c r="AS55" s="874" t="s">
        <v>2882</v>
      </c>
      <c r="AT55" s="879"/>
      <c r="AU55" s="404" t="s">
        <v>628</v>
      </c>
      <c r="AV55" s="871" t="s">
        <v>2891</v>
      </c>
      <c r="AW55" s="871" t="s">
        <v>3165</v>
      </c>
      <c r="AX55" s="871" t="s">
        <v>2884</v>
      </c>
      <c r="AY55" s="881" t="s">
        <v>2448</v>
      </c>
      <c r="AZ55" s="881" t="s">
        <v>2439</v>
      </c>
      <c r="BA55" s="881" t="s">
        <v>2443</v>
      </c>
      <c r="BB55" s="874" t="s">
        <v>3166</v>
      </c>
      <c r="BC55" s="897"/>
      <c r="BD55" s="897"/>
      <c r="BE55" s="897"/>
      <c r="BF55" s="897"/>
      <c r="BG55" s="884"/>
      <c r="BH55" s="877" t="s">
        <v>2930</v>
      </c>
      <c r="BI55" s="761"/>
      <c r="BJ55" s="762"/>
      <c r="BK55" s="414"/>
      <c r="BL55" s="877" t="s">
        <v>2931</v>
      </c>
      <c r="BM55" s="761"/>
      <c r="BN55" s="761"/>
      <c r="BO55" s="762"/>
      <c r="BP55" s="877" t="s">
        <v>2955</v>
      </c>
      <c r="BQ55" s="902"/>
      <c r="BR55" s="881" t="s">
        <v>2448</v>
      </c>
      <c r="BS55" s="881" t="s">
        <v>2439</v>
      </c>
      <c r="BT55" s="881" t="s">
        <v>2443</v>
      </c>
    </row>
    <row r="56" spans="1:77" ht="15.75" customHeight="1" x14ac:dyDescent="0.35">
      <c r="A56" s="811" t="str">
        <f ca="1">'Translation Table'!H3185</f>
        <v>Worksheet No.</v>
      </c>
      <c r="B56" s="819"/>
      <c r="C56" s="813" t="str">
        <f ca="1">'Translation Table'!H3186</f>
        <v>Table/Block</v>
      </c>
      <c r="D56" s="811"/>
      <c r="E56" s="811"/>
      <c r="F56" s="824"/>
      <c r="G56" s="415" t="str">
        <f ca="1">'Translation Table'!H3144</f>
        <v>Method 1</v>
      </c>
      <c r="H56" s="415" t="str">
        <f ca="1">'Translation Table'!H3145</f>
        <v>Method 2</v>
      </c>
      <c r="I56" s="819"/>
      <c r="J56" s="825"/>
      <c r="K56" s="825"/>
      <c r="L56" s="416" t="str">
        <f ca="1">'Translation Table'!H3133</f>
        <v>Value (%)</v>
      </c>
      <c r="M56" s="413" t="str">
        <f ca="1">'Translation Table'!H3134</f>
        <v>Basis</v>
      </c>
      <c r="N56" s="869" t="str">
        <f ca="1">'Translation Table'!H3137</f>
        <v>Value</v>
      </c>
      <c r="O56" s="823" t="str">
        <f ca="1">'Translation Table'!H3138</f>
        <v>Units of Measure</v>
      </c>
      <c r="P56" s="886"/>
      <c r="Q56" s="750" t="str">
        <f ca="1">'Translation Table'!H3137</f>
        <v>Value</v>
      </c>
      <c r="R56" s="838" t="str">
        <f ca="1">'Translation Table'!H3138</f>
        <v>Units of Measure</v>
      </c>
      <c r="S56" s="261" t="str">
        <f ca="1">'Translation Table'!H3142</f>
        <v xml:space="preserve">Inlet </v>
      </c>
      <c r="T56" s="417" t="str">
        <f ca="1">'Translation Table'!H3143</f>
        <v>Final Outlet</v>
      </c>
      <c r="U56" s="915" t="str">
        <f ca="1">'Translation Table'!H3138</f>
        <v>Units of Measure</v>
      </c>
      <c r="V56" s="261" t="str">
        <f ca="1">'Translation Table'!H3142</f>
        <v xml:space="preserve">Inlet </v>
      </c>
      <c r="W56" s="838" t="str">
        <f ca="1">'Translation Table'!H3138</f>
        <v>Units of Measure</v>
      </c>
      <c r="X56" s="803"/>
      <c r="Y56" s="803"/>
      <c r="Z56" s="803"/>
      <c r="AB56" s="889" t="s">
        <v>2</v>
      </c>
      <c r="AC56" s="889" t="s">
        <v>3049</v>
      </c>
      <c r="AD56" s="871" t="s">
        <v>3115</v>
      </c>
      <c r="AE56" s="871" t="s">
        <v>3116</v>
      </c>
      <c r="AF56" s="871" t="s">
        <v>3117</v>
      </c>
      <c r="AG56" s="871" t="s">
        <v>3113</v>
      </c>
      <c r="AH56" s="871" t="s">
        <v>3111</v>
      </c>
      <c r="AI56" s="887" t="s">
        <v>3051</v>
      </c>
      <c r="AM56" s="892"/>
      <c r="AN56" s="872"/>
      <c r="AO56" s="871" t="s">
        <v>2769</v>
      </c>
      <c r="AP56" s="379" t="s">
        <v>46</v>
      </c>
      <c r="AQ56" s="871" t="s">
        <v>6</v>
      </c>
      <c r="AR56" s="871" t="s">
        <v>331</v>
      </c>
      <c r="AS56" s="871" t="s">
        <v>6</v>
      </c>
      <c r="AT56" s="871" t="s">
        <v>331</v>
      </c>
      <c r="AU56" s="871" t="s">
        <v>2853</v>
      </c>
      <c r="AV56" s="872"/>
      <c r="AW56" s="872"/>
      <c r="AX56" s="872"/>
      <c r="AY56" s="898"/>
      <c r="AZ56" s="898"/>
      <c r="BA56" s="899"/>
      <c r="BB56" s="874" t="s">
        <v>777</v>
      </c>
      <c r="BC56" s="900"/>
      <c r="BD56" s="414" t="s">
        <v>2924</v>
      </c>
      <c r="BE56" s="414" t="s">
        <v>2925</v>
      </c>
      <c r="BF56" s="418" t="s">
        <v>2926</v>
      </c>
      <c r="BG56" s="418" t="s">
        <v>2928</v>
      </c>
      <c r="BH56" s="418" t="s">
        <v>2927</v>
      </c>
      <c r="BI56" s="418" t="s">
        <v>2835</v>
      </c>
      <c r="BJ56" s="894" t="s">
        <v>641</v>
      </c>
      <c r="BK56" s="871" t="s">
        <v>2937</v>
      </c>
      <c r="BL56" s="894" t="s">
        <v>2</v>
      </c>
      <c r="BM56" s="414" t="s">
        <v>2884</v>
      </c>
      <c r="BN56" s="414" t="s">
        <v>2949</v>
      </c>
      <c r="BO56" s="414" t="s">
        <v>2757</v>
      </c>
      <c r="BP56" s="871" t="s">
        <v>2956</v>
      </c>
      <c r="BQ56" s="414" t="s">
        <v>2955</v>
      </c>
      <c r="BR56" s="898"/>
      <c r="BS56" s="898"/>
      <c r="BT56" s="899"/>
    </row>
    <row r="57" spans="1:77" ht="17.25" customHeight="1" x14ac:dyDescent="0.35">
      <c r="A57" s="812"/>
      <c r="B57" s="820"/>
      <c r="C57" s="751"/>
      <c r="D57" s="812"/>
      <c r="E57" s="812"/>
      <c r="F57" s="378" t="str">
        <f ca="1">'Translation Table'!H3112</f>
        <v>(If Available)</v>
      </c>
      <c r="G57" s="406" t="str">
        <f ca="1">'Translation Table'!H3114</f>
        <v>(If Setup Completed)</v>
      </c>
      <c r="H57" s="406" t="str">
        <f ca="1">'Translation Table'!H3114</f>
        <v>(If Setup Completed)</v>
      </c>
      <c r="I57" s="820"/>
      <c r="J57" s="825"/>
      <c r="K57" s="825"/>
      <c r="L57" s="420" t="str">
        <f ca="1">'Translation Table'!H3135</f>
        <v>(Optional)</v>
      </c>
      <c r="M57" s="419" t="str">
        <f ca="1">'Translation Table'!H3135</f>
        <v>(Optional)</v>
      </c>
      <c r="N57" s="820"/>
      <c r="O57" s="839"/>
      <c r="P57" s="415" t="str">
        <f ca="1">'Translation Table'!H3120</f>
        <v>(Optional)</v>
      </c>
      <c r="Q57" s="820"/>
      <c r="R57" s="839"/>
      <c r="S57" s="38" t="str">
        <f ca="1">'Translation Table'!H3137</f>
        <v>Value</v>
      </c>
      <c r="T57" s="406" t="str">
        <f ca="1">'Translation Table'!H3137</f>
        <v>Value</v>
      </c>
      <c r="U57" s="916"/>
      <c r="V57" s="38" t="str">
        <f ca="1">'Translation Table'!H3137</f>
        <v>Value</v>
      </c>
      <c r="W57" s="839"/>
      <c r="X57" s="803"/>
      <c r="Y57" s="803"/>
      <c r="Z57" s="803"/>
      <c r="AB57" s="890"/>
      <c r="AC57" s="890"/>
      <c r="AD57" s="872"/>
      <c r="AE57" s="873"/>
      <c r="AF57" s="873"/>
      <c r="AG57" s="873"/>
      <c r="AH57" s="872"/>
      <c r="AI57" s="888"/>
      <c r="AJ57" s="278"/>
      <c r="AK57" s="278"/>
      <c r="AM57" s="380" t="s">
        <v>2870</v>
      </c>
      <c r="AN57" s="380" t="s">
        <v>2870</v>
      </c>
      <c r="AO57" s="880"/>
      <c r="AP57" s="390"/>
      <c r="AQ57" s="880"/>
      <c r="AR57" s="880"/>
      <c r="AS57" s="880"/>
      <c r="AT57" s="880"/>
      <c r="AU57" s="872"/>
      <c r="AV57" s="380" t="s">
        <v>2874</v>
      </c>
      <c r="AW57" s="380" t="s">
        <v>2874</v>
      </c>
      <c r="AX57" s="380" t="s">
        <v>2870</v>
      </c>
      <c r="AY57" s="898"/>
      <c r="AZ57" s="898"/>
      <c r="BA57" s="899"/>
      <c r="BB57" s="380" t="s">
        <v>2838</v>
      </c>
      <c r="BC57" s="380" t="s">
        <v>2953</v>
      </c>
      <c r="BD57" s="414" t="s">
        <v>2929</v>
      </c>
      <c r="BE57" s="414" t="s">
        <v>2844</v>
      </c>
      <c r="BF57" s="418" t="s">
        <v>2929</v>
      </c>
      <c r="BG57" s="418"/>
      <c r="BH57" s="418"/>
      <c r="BI57" s="418"/>
      <c r="BJ57" s="895"/>
      <c r="BK57" s="880"/>
      <c r="BL57" s="896"/>
      <c r="BM57" s="414" t="s">
        <v>146</v>
      </c>
      <c r="BN57" s="414" t="s">
        <v>2948</v>
      </c>
      <c r="BO57" s="414" t="s">
        <v>2770</v>
      </c>
      <c r="BP57" s="901"/>
      <c r="BQ57" s="414" t="s">
        <v>2770</v>
      </c>
      <c r="BR57" s="898"/>
      <c r="BS57" s="898"/>
      <c r="BT57" s="899"/>
    </row>
    <row r="58" spans="1:77" x14ac:dyDescent="0.35">
      <c r="A58" s="382">
        <f t="array" ref="A58">INDEX(EngineType,BV58)</f>
        <v>0</v>
      </c>
      <c r="B58" s="383"/>
      <c r="C58" s="222"/>
      <c r="D58" s="382">
        <f t="array" ref="D58">INDEX(FuelCategory_v2,BW58)</f>
        <v>0</v>
      </c>
      <c r="E58" s="299" t="str">
        <f t="array" ref="E58">INDEX(_DR55,BY58)</f>
        <v xml:space="preserve"> </v>
      </c>
      <c r="F58" s="384"/>
      <c r="G58" s="293" t="str">
        <f>IFERROR(IF($D58=0,"",IF($D58=Liquid,BA58/_xlfn.XLOOKUP($J58,'Lookup Tables'!$C$173:$C$180,'Lookup Tables'!$G$173:$G$180,,0,1),IF($D58=Gaseous,BA58/_xlfn.XLOOKUP($J58,'Lookup Tables'!$D$173:$D$180,'Lookup Tables'!$H$173:$H$180,,0,1)))),"")</f>
        <v/>
      </c>
      <c r="H58" s="293" t="str">
        <f>IFERROR(IF($D58=0,"",IF($D58=Liquid,BT58/_xlfn.XLOOKUP($J58,'Lookup Tables'!$C$173:$C$180,'Lookup Tables'!$G$173:$G$180,,0,1),IF($D58=Gaseous,BT58/_xlfn.XLOOKUP($J58,'Lookup Tables'!$D$173:$D$180,'Lookup Tables'!$H$173:$H$180,,0,1)))),"")</f>
        <v/>
      </c>
      <c r="I58" s="421" t="str">
        <f t="shared" ref="I58:I67" si="51">IF(N(F58)&gt;0,F58,IF(N(H58)&gt;0,H58,IF(N(G58)&gt;0,G58,"")))</f>
        <v/>
      </c>
      <c r="J58" s="371"/>
      <c r="K58" s="304"/>
      <c r="L58" s="306"/>
      <c r="M58" s="381">
        <v>1</v>
      </c>
      <c r="N58" s="291"/>
      <c r="O58" s="371"/>
      <c r="P58" s="306"/>
      <c r="Q58" s="291"/>
      <c r="R58" s="225"/>
      <c r="S58" s="305"/>
      <c r="T58" s="305"/>
      <c r="U58" s="225"/>
      <c r="V58" s="305"/>
      <c r="W58" s="225"/>
      <c r="X58" s="848" t="str">
        <f t="shared" ref="X58:X67" ca="1" si="52">_xlfn.CONCAT(IF(AND(A58&lt;&gt;0,B58=""),LOOKUP("Err08",TblErrorMsg),""),IF(AND(D58&lt;&gt;0,E58=0),LOOKUP("Err09",TblErrorMsg),""),IF(AND(OR(A58&lt;&gt;0,D58&lt;&gt;0),J58=""),LOOKUP("Err11",TblErrorMsg),""),(IF(AND(A58=EngLiqFuel,D58=Gaseous),LOOKUP("Err12",TblErrorMsg),"")),(IF(AND(COUNTIF(GasEng,A58),D58=Liquid),LOOKUP("Err13",TblErrorMsg),"")))</f>
        <v/>
      </c>
      <c r="Y58" s="849"/>
      <c r="Z58" s="850"/>
      <c r="AB58" s="237" t="str">
        <f>IF(ISTEXT(D58),D58,"")</f>
        <v/>
      </c>
      <c r="AC58" s="407" t="str">
        <f>IF(ISTEXT(E58),E58,"")</f>
        <v xml:space="preserve"> </v>
      </c>
      <c r="AD58" s="292" t="str">
        <f>IF(ISTEXT($D58),IF($D58=Liquid,B58*F58*_xlfn.XLOOKUP($J58,'Lookup Tables'!$C$173:$C$180,'Lookup Tables'!$G$173:$G$180,,0,1),IF($D58=Gaseous,B58*F58*_xlfn.XLOOKUP($J58,'Lookup Tables'!$D$173:$D$180,'Lookup Tables'!$H$173:$H$180,,0,1))),"")</f>
        <v/>
      </c>
      <c r="AE58" s="292">
        <f>IF(AD58&gt;0,0,AF58)</f>
        <v>0</v>
      </c>
      <c r="AF58" s="292" t="str">
        <f>IF(ISTEXT($D58),IF($D58=Liquid,B58*I58*_xlfn.XLOOKUP($J58,'Lookup Tables'!$C$173:$C$180,'Lookup Tables'!$G$173:$G$180,,0,1),IF($D58=Gaseous,B58*I58*_xlfn.XLOOKUP($J58,'Lookup Tables'!$D$173:$D$180,'Lookup Tables'!$H$173:$H$180,,0,1))),"")</f>
        <v/>
      </c>
      <c r="AG58" s="409" t="str">
        <f t="shared" ref="AG58:AG67" ca="1" si="53">IF(AB58=Liquid,"m3/h",IF(AB58=Gaseous,"m3/h",""))</f>
        <v/>
      </c>
      <c r="AH58" s="292">
        <f t="shared" ref="AH58:AH67" si="54">IF(ISNUMBER(AF58),AF58*IF(AB58=Liquid,m3_per_h_to_m3_per_y,IF(AB58=Gaseous,m3_per_h_to_E3m3_per_y)),0)</f>
        <v>0</v>
      </c>
      <c r="AI58" s="300" t="str">
        <f t="shared" ref="AI58:AI67" ca="1" si="55">IF(AB58=Liquid,"m3/y",IF(AB58=Gaseous,"E3 m3/y",""))</f>
        <v/>
      </c>
      <c r="AM58" s="301">
        <f t="shared" ref="AM58:AM67" si="56">IF(N(K58)&gt;0,K58/y_to_h,AM$68)</f>
        <v>1</v>
      </c>
      <c r="AN58" s="301">
        <f>IF(ISNUMBER(P58),P58,AN$68)</f>
        <v>1</v>
      </c>
      <c r="AO58" s="300" t="str">
        <f t="shared" ref="AO58:AO67" si="57">IF(ISTEXT(D58),D58,"---")</f>
        <v>---</v>
      </c>
      <c r="AP58" s="300" t="str">
        <f t="shared" ref="AP58:AP67" si="58">IF(ISTEXT(E58),E58,"---")</f>
        <v xml:space="preserve"> </v>
      </c>
      <c r="AQ58" s="260" t="str">
        <f ca="1">IF($AO58=Liquid,_xlfn.XLOOKUP($AP58,'Calculations - Combustion'!$B$20:$B$29,'Calculations - Combustion'!$D$20:$D$29,FALSE,0,1),IF($AO58=Gaseous,FuelGas_HHV,""))</f>
        <v/>
      </c>
      <c r="AR58" s="300" t="str">
        <f t="shared" ref="AR58:AR67" ca="1" si="59">IF(AO58=Liquid,"GJ/Tonne",IF(AO58=Gaseous,"MJ/m3",""))</f>
        <v/>
      </c>
      <c r="AS58" s="237" t="str">
        <f ca="1">IF($AO58=Liquid,_xlfn.XLOOKUP($AP58,'Calculations - Combustion'!$B$20:$B$29,'Calculations - Combustion'!$G$20:$G$29,FALSE,0,1),IF($AO58=Gaseous,FuelGas_LHV,""))</f>
        <v/>
      </c>
      <c r="AT58" s="300" t="str">
        <f t="shared" ref="AT58:AT67" ca="1" si="60">AR58</f>
        <v/>
      </c>
      <c r="AU58" s="410" t="str">
        <f ca="1">IF($AO58=Liquid,_xlfn.XLOOKUP($AP58,'Calculations - Combustion'!$B$20:$B$29,'Calculations - Combustion'!$J$20:$J$29,FALSE,0,1),IF($AO58=Gaseous,density_FuelGas,""))</f>
        <v/>
      </c>
      <c r="AV58" s="407">
        <f>IF(ISNUMBER(N58),N58*_xlfn.XLOOKUP(O58,'Lookup Tables'!$B$319:$B$321,'Lookup Tables'!$F$319:$F$321,,0,1)*kW_to_kW,0)</f>
        <v>0</v>
      </c>
      <c r="AW58" s="407">
        <f>IF(ISNUMBER(AN58),AV58*AM58*AN58,0)</f>
        <v>0</v>
      </c>
      <c r="AX58" s="301">
        <f t="shared" ref="AX58:AX67" si="61">IF(ISNUMBER(L58),L58,AX$68)</f>
        <v>0.33</v>
      </c>
      <c r="AY58" s="260">
        <f t="shared" ref="AY58:AY67" ca="1" si="62">IF(AND(AW58&gt;0,OR(AO58=Gaseous,AO58=Liquid)),AW58/$AX58*kW_to_GJ_per_h*$AQ58/$AS58,0)</f>
        <v>0</v>
      </c>
      <c r="AZ58" s="260">
        <f t="shared" ref="AZ58:AZ67" ca="1" si="63">IF(AO58=Gaseous,AY58/AQ58*1000*AU58,IF(AO58=Liquid,AY58/AQ58*1000,0))</f>
        <v>0</v>
      </c>
      <c r="BA58" s="260">
        <f t="shared" ref="BA58:BA67" ca="1" si="64">IF(N(AU58)&gt;0,AZ58/AU58,0)</f>
        <v>0</v>
      </c>
      <c r="BB58" s="302">
        <f>IF(Q58&gt;0,Q58*_xlfn.XLOOKUP(R58,'Lookup Tables'!$B$206:$B$217,'Lookup Tables'!$F$206:$F$217,,0,1),0)*E3m3_per_d_to_E3m3_per_d</f>
        <v>0</v>
      </c>
      <c r="BC58" s="260">
        <f t="shared" ref="BC58:BC67" si="65">BB58*1000/24/3600*density_NG</f>
        <v>0</v>
      </c>
      <c r="BD58" s="422">
        <f>IF(S58&gt;0,S58*_xlfn.XLOOKUP(U58,'Lookup Tables'!$B$259:$B$262,'Lookup Tables'!$F$259:$F$262,,0,1),0)*kPa_to_kPa</f>
        <v>0</v>
      </c>
      <c r="BE58" s="422" t="b">
        <f>IF(ISNUMBER(V58),IF(W58="C",V58,(V58-32)/1.8))</f>
        <v>0</v>
      </c>
      <c r="BF58" s="422">
        <f>IF(T58&gt;0,T58*_xlfn.XLOOKUP(U58,'Lookup Tables'!$B$259:$B$262,'Lookup Tables'!$F$259:$F$262,,0,1),0)*kPa_to_kPa</f>
        <v>0</v>
      </c>
      <c r="BG58" s="292">
        <f t="shared" ref="BG58:BG67" si="66">(BF58+Pamb)/(BD58+Pamb)</f>
        <v>1</v>
      </c>
      <c r="BH58" s="237">
        <f>BH$68</f>
        <v>1</v>
      </c>
      <c r="BI58" s="237">
        <f>BI$68</f>
        <v>0.85</v>
      </c>
      <c r="BJ58" s="423">
        <f t="shared" ref="BJ58:BJ67" ca="1" si="67">BK58/(BK58-1)</f>
        <v>1.5076142131979697</v>
      </c>
      <c r="BK58" s="292">
        <f t="shared" ref="BK58:BK67" ca="1" si="68">gamma_NG/(gamma_NG-1)*BM58</f>
        <v>2.9699999999999993</v>
      </c>
      <c r="BL58" s="893" t="s">
        <v>2936</v>
      </c>
      <c r="BM58" s="301">
        <f t="shared" ref="BM58:BM67" ca="1" si="69">IF(A58=Turbine,BM$68,IF(A58=GasRecipEngine2StrokeLeanBurn,BM$70,BM$69))</f>
        <v>0.72</v>
      </c>
      <c r="BN58" s="424">
        <f t="shared" ref="BN58:BN67" si="70">IF(AND(BG58&gt;1,ISNUMBER(BE58)),(BH58+BI58)/2*Rg*(BE58+273.15)/M_ProcessGas*(BJ58/(BJ58-1))*((BG58)^((BJ58-1)/BJ58)-1),0)</f>
        <v>0</v>
      </c>
      <c r="BO58" s="424">
        <f t="shared" ref="BO58:BO67" ca="1" si="71">BC58*BN58/BM58</f>
        <v>0</v>
      </c>
      <c r="BP58" s="424">
        <v>1.2</v>
      </c>
      <c r="BQ58" s="424">
        <f ca="1">BO58*BP58*AM58</f>
        <v>0</v>
      </c>
      <c r="BR58" s="260">
        <f t="shared" ref="BR58:BR67" ca="1" si="72">IF(AND(BQ58&gt;0,OR(AO58=Gaseous,AO58=Liquid)),BQ58/$AX58*kW_to_GJ_per_h*$AQ58/$AS58,0)</f>
        <v>0</v>
      </c>
      <c r="BS58" s="260">
        <f t="shared" ref="BS58:BS67" ca="1" si="73">IF(AO58=Gaseous,BR58/AQ58*1000*AU58,IF(AO58=Liquid,BR58/AQ58*1000,0))</f>
        <v>0</v>
      </c>
      <c r="BT58" s="260">
        <f ca="1">IF(N(AU58)&gt;0,BS58/AU58,0)</f>
        <v>0</v>
      </c>
      <c r="BV58" s="358">
        <v>1</v>
      </c>
      <c r="BW58" s="358">
        <v>1</v>
      </c>
      <c r="BX58" s="358">
        <v>5</v>
      </c>
      <c r="BY58" s="358" cm="1">
        <f t="array" ref="BY58">IF(BW58=1,1,_xlfn.SINGLE(IF(BX58&gt;(COUNTA(_DR55)-COUNTIF(_DR55,0)+1),COUNTA(_DR55)-COUNTIF(_DR55,0)+1,BX58)))</f>
        <v>1</v>
      </c>
    </row>
    <row r="59" spans="1:77" x14ac:dyDescent="0.35">
      <c r="A59" s="382">
        <f t="array" ref="A59">INDEX(EngineType,BV59)</f>
        <v>0</v>
      </c>
      <c r="B59" s="383"/>
      <c r="C59" s="222"/>
      <c r="D59" s="382">
        <f t="array" ref="D59">INDEX(FuelCategory_v2,BW59)</f>
        <v>0</v>
      </c>
      <c r="E59" s="299" t="str">
        <f t="array" ref="E59">INDEX(_DR56,BY59)</f>
        <v xml:space="preserve"> </v>
      </c>
      <c r="F59" s="384"/>
      <c r="G59" s="292" t="str">
        <f>IFERROR(IF($D59=0,"",IF($D59=Liquid,BA59/_xlfn.XLOOKUP($J59,'Lookup Tables'!$C$173:$C$180,'Lookup Tables'!$G$173:$G$180,,0,1),IF($D59=Gaseous,BA59/_xlfn.XLOOKUP($J59,'Lookup Tables'!$D$173:$D$180,'Lookup Tables'!$H$173:$H$180,,0,1)))),"")</f>
        <v/>
      </c>
      <c r="H59" s="292" t="str">
        <f>IFERROR(IF($D59=0,"",IF($D59=Liquid,BT59/_xlfn.XLOOKUP($J59,'Lookup Tables'!$C$173:$C$180,'Lookup Tables'!$G$173:$G$180,,0,1),IF($D59=Gaseous,BT59/_xlfn.XLOOKUP($J59,'Lookup Tables'!$D$173:$D$180,'Lookup Tables'!$H$173:$H$180,,0,1)))),"")</f>
        <v/>
      </c>
      <c r="I59" s="604" t="str">
        <f t="shared" si="51"/>
        <v/>
      </c>
      <c r="J59" s="371"/>
      <c r="K59" s="304"/>
      <c r="L59" s="306"/>
      <c r="M59" s="381">
        <v>1</v>
      </c>
      <c r="N59" s="291"/>
      <c r="O59" s="371"/>
      <c r="P59" s="306"/>
      <c r="Q59" s="291"/>
      <c r="R59" s="225"/>
      <c r="S59" s="305"/>
      <c r="T59" s="305"/>
      <c r="U59" s="225"/>
      <c r="V59" s="305"/>
      <c r="W59" s="225"/>
      <c r="X59" s="845" t="str">
        <f t="shared" ca="1" si="52"/>
        <v/>
      </c>
      <c r="Y59" s="846"/>
      <c r="Z59" s="847"/>
      <c r="AB59" s="237" t="str">
        <f t="shared" ref="AB59:AB67" si="74">IF(ISTEXT(D59),D59,"")</f>
        <v/>
      </c>
      <c r="AC59" s="407" t="str">
        <f t="shared" ref="AC59:AC67" si="75">IF(ISTEXT(E59),E59,"")</f>
        <v xml:space="preserve"> </v>
      </c>
      <c r="AD59" s="292" t="str">
        <f>IF(ISTEXT($D59),IF($D59=Liquid,B59*F59*_xlfn.XLOOKUP($J59,'Lookup Tables'!$C$173:$C$180,'Lookup Tables'!$G$173:$G$180,,0,1),IF($D59=Gaseous,B59*F59*_xlfn.XLOOKUP($J59,'Lookup Tables'!$D$173:$D$180,'Lookup Tables'!$H$173:$H$180,,0,1))),"")</f>
        <v/>
      </c>
      <c r="AE59" s="292">
        <f t="shared" ref="AE59:AE67" si="76">IF(AD59&gt;0,0,AF59)</f>
        <v>0</v>
      </c>
      <c r="AF59" s="292" t="str">
        <f>IF(ISTEXT($D59),IF($D59=Liquid,B59*I59*_xlfn.XLOOKUP($J59,'Lookup Tables'!$C$173:$C$180,'Lookup Tables'!$G$173:$G$180,,0,1),IF($D59=Gaseous,B59*I59*_xlfn.XLOOKUP($J59,'Lookup Tables'!$D$173:$D$180,'Lookup Tables'!$H$173:$H$180,,0,1))),"")</f>
        <v/>
      </c>
      <c r="AG59" s="409" t="str">
        <f t="shared" ca="1" si="53"/>
        <v/>
      </c>
      <c r="AH59" s="292">
        <f t="shared" si="54"/>
        <v>0</v>
      </c>
      <c r="AI59" s="300" t="str">
        <f t="shared" ca="1" si="55"/>
        <v/>
      </c>
      <c r="AM59" s="301">
        <f t="shared" si="56"/>
        <v>1</v>
      </c>
      <c r="AN59" s="301">
        <f t="shared" ref="AN59:AN67" si="77">IF(ISNUMBER(P59),P59,AN$68)</f>
        <v>1</v>
      </c>
      <c r="AO59" s="300" t="str">
        <f t="shared" si="57"/>
        <v>---</v>
      </c>
      <c r="AP59" s="300" t="str">
        <f t="shared" si="58"/>
        <v xml:space="preserve"> </v>
      </c>
      <c r="AQ59" s="260" t="str">
        <f ca="1">IF($AO59=Liquid,_xlfn.XLOOKUP($AP59,'Calculations - Combustion'!$B$20:$B$29,'Calculations - Combustion'!$D$20:$D$29,FALSE,0,1),IF($AO59=Gaseous,FuelGas_HHV,""))</f>
        <v/>
      </c>
      <c r="AR59" s="300" t="str">
        <f t="shared" ca="1" si="59"/>
        <v/>
      </c>
      <c r="AS59" s="237" t="str">
        <f ca="1">IF($AO59=Liquid,_xlfn.XLOOKUP($AP59,'Calculations - Combustion'!$B$20:$B$29,'Calculations - Combustion'!$G$20:$G$29,FALSE,0,1),IF($AO59=Gaseous,FuelGas_LHV,""))</f>
        <v/>
      </c>
      <c r="AT59" s="300" t="str">
        <f t="shared" ca="1" si="60"/>
        <v/>
      </c>
      <c r="AU59" s="410" t="str">
        <f ca="1">IF($AO59=Liquid,_xlfn.XLOOKUP($AP59,'Calculations - Combustion'!$B$20:$B$29,'Calculations - Combustion'!$J$20:$J$29,FALSE,0,1),IF($AO59=Gaseous,density_FuelGas,""))</f>
        <v/>
      </c>
      <c r="AV59" s="407">
        <f>IF(ISNUMBER(N59),N59*_xlfn.XLOOKUP(O59,'Lookup Tables'!$B$319:$B$321,'Lookup Tables'!$F$319:$F$321,,0,1)*kW_to_kW,0)</f>
        <v>0</v>
      </c>
      <c r="AW59" s="407">
        <f t="shared" ref="AW59:AW67" si="78">IF(ISNUMBER(AN59),AV59*AM59*AN59,0)</f>
        <v>0</v>
      </c>
      <c r="AX59" s="301">
        <f t="shared" si="61"/>
        <v>0.33</v>
      </c>
      <c r="AY59" s="260">
        <f t="shared" ca="1" si="62"/>
        <v>0</v>
      </c>
      <c r="AZ59" s="260">
        <f t="shared" ca="1" si="63"/>
        <v>0</v>
      </c>
      <c r="BA59" s="260">
        <f t="shared" ca="1" si="64"/>
        <v>0</v>
      </c>
      <c r="BB59" s="302">
        <f>IF(Q59&gt;0,Q59*_xlfn.XLOOKUP(R59,'Lookup Tables'!$B$206:$B$217,'Lookup Tables'!$F$206:$F$217,,0,1),0)*E3m3_per_d_to_E3m3_per_d</f>
        <v>0</v>
      </c>
      <c r="BC59" s="260">
        <f t="shared" si="65"/>
        <v>0</v>
      </c>
      <c r="BD59" s="422">
        <f>IF(S59&gt;0,S59*_xlfn.XLOOKUP(U59,'Lookup Tables'!$B$259:$B$262,'Lookup Tables'!$F$259:$F$262,,0,1),0)*kPa_to_kPa</f>
        <v>0</v>
      </c>
      <c r="BE59" s="422" t="str">
        <f t="shared" ref="BE59:BE67" si="79">IF(ISNUMBER(V59),IF(W59="C",V59,(V59-32)/1.8),"")</f>
        <v/>
      </c>
      <c r="BF59" s="422">
        <f>IF(T59&gt;0,T59*_xlfn.XLOOKUP(U59,'Lookup Tables'!$B$259:$B$262,'Lookup Tables'!$F$259:$F$262,,0,1),0)*kPa_to_kPa</f>
        <v>0</v>
      </c>
      <c r="BG59" s="292">
        <f t="shared" si="66"/>
        <v>1</v>
      </c>
      <c r="BH59" s="237">
        <f t="shared" ref="BH59:BI67" si="80">BH$68</f>
        <v>1</v>
      </c>
      <c r="BI59" s="237">
        <f t="shared" si="80"/>
        <v>0.85</v>
      </c>
      <c r="BJ59" s="423">
        <f t="shared" ca="1" si="67"/>
        <v>1.5076142131979697</v>
      </c>
      <c r="BK59" s="292">
        <f t="shared" ca="1" si="68"/>
        <v>2.9699999999999993</v>
      </c>
      <c r="BL59" s="892"/>
      <c r="BM59" s="301">
        <f t="shared" ca="1" si="69"/>
        <v>0.72</v>
      </c>
      <c r="BN59" s="424">
        <f t="shared" si="70"/>
        <v>0</v>
      </c>
      <c r="BO59" s="424">
        <f t="shared" ca="1" si="71"/>
        <v>0</v>
      </c>
      <c r="BP59" s="424">
        <v>1.2</v>
      </c>
      <c r="BQ59" s="424">
        <f t="shared" ref="BQ59:BQ67" ca="1" si="81">BO59*BP59*AM59</f>
        <v>0</v>
      </c>
      <c r="BR59" s="260">
        <f t="shared" ca="1" si="72"/>
        <v>0</v>
      </c>
      <c r="BS59" s="260">
        <f t="shared" ca="1" si="73"/>
        <v>0</v>
      </c>
      <c r="BT59" s="260">
        <f t="shared" ref="BT59:BT67" ca="1" si="82">IF(N(AU59)&gt;0,BS59/AU59,0)</f>
        <v>0</v>
      </c>
      <c r="BV59" s="358">
        <v>1</v>
      </c>
      <c r="BW59" s="358">
        <v>1</v>
      </c>
      <c r="BX59" s="358">
        <v>5</v>
      </c>
      <c r="BY59" s="358" cm="1">
        <f t="array" ref="BY59">IF(BW59=1,1,_xlfn.SINGLE(IF(BX59&gt;(COUNTA(_DR56)-COUNTIF(_DR56,0)+1),COUNTA(_DR56)-COUNTIF(_DR56,0)+1,BX59)))</f>
        <v>1</v>
      </c>
    </row>
    <row r="60" spans="1:77" x14ac:dyDescent="0.35">
      <c r="A60" s="382">
        <f t="array" ref="A60">INDEX(EngineType,BV60)</f>
        <v>0</v>
      </c>
      <c r="B60" s="383"/>
      <c r="C60" s="222"/>
      <c r="D60" s="382">
        <f t="array" ref="D60">INDEX(FuelCategory_v2,BW60)</f>
        <v>0</v>
      </c>
      <c r="E60" s="299" t="str">
        <f t="array" ref="E60">INDEX(_DR57,BY60)</f>
        <v xml:space="preserve"> </v>
      </c>
      <c r="F60" s="384"/>
      <c r="G60" s="293" t="str">
        <f>IFERROR(IF($D60=0,"",IF($D60=Liquid,BA60/_xlfn.XLOOKUP($J60,'Lookup Tables'!$C$173:$C$180,'Lookup Tables'!$G$173:$G$180,,0,1),IF($D60=Gaseous,BA60/_xlfn.XLOOKUP($J60,'Lookup Tables'!$D$173:$D$180,'Lookup Tables'!$H$173:$H$180,,0,1)))),"")</f>
        <v/>
      </c>
      <c r="H60" s="293" t="str">
        <f>IFERROR(IF($D60=0,"",IF($D60=Liquid,BT60/_xlfn.XLOOKUP($J60,'Lookup Tables'!$C$173:$C$180,'Lookup Tables'!$G$173:$G$180,,0,1),IF($D60=Gaseous,BT60/_xlfn.XLOOKUP($J60,'Lookup Tables'!$D$173:$D$180,'Lookup Tables'!$H$173:$H$180,,0,1)))),"")</f>
        <v/>
      </c>
      <c r="I60" s="421" t="str">
        <f t="shared" si="51"/>
        <v/>
      </c>
      <c r="J60" s="371"/>
      <c r="K60" s="304"/>
      <c r="L60" s="306"/>
      <c r="M60" s="381">
        <v>1</v>
      </c>
      <c r="N60" s="291"/>
      <c r="O60" s="371"/>
      <c r="P60" s="306"/>
      <c r="Q60" s="291"/>
      <c r="R60" s="225"/>
      <c r="S60" s="305"/>
      <c r="T60" s="305"/>
      <c r="U60" s="225"/>
      <c r="V60" s="305"/>
      <c r="W60" s="225"/>
      <c r="X60" s="848" t="str">
        <f t="shared" ca="1" si="52"/>
        <v/>
      </c>
      <c r="Y60" s="849"/>
      <c r="Z60" s="850"/>
      <c r="AB60" s="237" t="str">
        <f t="shared" si="74"/>
        <v/>
      </c>
      <c r="AC60" s="407" t="str">
        <f t="shared" si="75"/>
        <v xml:space="preserve"> </v>
      </c>
      <c r="AD60" s="292" t="str">
        <f>IF(ISTEXT($D60),IF($D60=Liquid,B60*F60*_xlfn.XLOOKUP($J60,'Lookup Tables'!$C$173:$C$180,'Lookup Tables'!$G$173:$G$180,,0,1),IF($D60=Gaseous,B60*F60*_xlfn.XLOOKUP($J60,'Lookup Tables'!$D$173:$D$180,'Lookup Tables'!$H$173:$H$180,,0,1))),"")</f>
        <v/>
      </c>
      <c r="AE60" s="292">
        <f t="shared" si="76"/>
        <v>0</v>
      </c>
      <c r="AF60" s="292" t="str">
        <f>IF(ISTEXT($D60),IF($D60=Liquid,B60*I60*_xlfn.XLOOKUP($J60,'Lookup Tables'!$C$173:$C$180,'Lookup Tables'!$G$173:$G$180,,0,1),IF($D60=Gaseous,B60*I60*_xlfn.XLOOKUP($J60,'Lookup Tables'!$D$173:$D$180,'Lookup Tables'!$H$173:$H$180,,0,1))),"")</f>
        <v/>
      </c>
      <c r="AG60" s="409" t="str">
        <f t="shared" ca="1" si="53"/>
        <v/>
      </c>
      <c r="AH60" s="292">
        <f t="shared" si="54"/>
        <v>0</v>
      </c>
      <c r="AI60" s="300" t="str">
        <f t="shared" ca="1" si="55"/>
        <v/>
      </c>
      <c r="AM60" s="301">
        <f t="shared" si="56"/>
        <v>1</v>
      </c>
      <c r="AN60" s="301">
        <f t="shared" si="77"/>
        <v>1</v>
      </c>
      <c r="AO60" s="300" t="str">
        <f t="shared" si="57"/>
        <v>---</v>
      </c>
      <c r="AP60" s="300" t="str">
        <f t="shared" si="58"/>
        <v xml:space="preserve"> </v>
      </c>
      <c r="AQ60" s="260" t="str">
        <f ca="1">IF($AO60=Liquid,_xlfn.XLOOKUP($AP60,'Calculations - Combustion'!$B$20:$B$29,'Calculations - Combustion'!$D$20:$D$29,FALSE,0,1),IF($AO60=Gaseous,FuelGas_HHV,""))</f>
        <v/>
      </c>
      <c r="AR60" s="300" t="str">
        <f t="shared" ca="1" si="59"/>
        <v/>
      </c>
      <c r="AS60" s="237" t="str">
        <f ca="1">IF($AO60=Liquid,_xlfn.XLOOKUP($AP60,'Calculations - Combustion'!$B$20:$B$29,'Calculations - Combustion'!$G$20:$G$29,FALSE,0,1),IF($AO60=Gaseous,FuelGas_LHV,""))</f>
        <v/>
      </c>
      <c r="AT60" s="300" t="str">
        <f t="shared" ca="1" si="60"/>
        <v/>
      </c>
      <c r="AU60" s="410" t="str">
        <f ca="1">IF($AO60=Liquid,_xlfn.XLOOKUP($AP60,'Calculations - Combustion'!$B$20:$B$29,'Calculations - Combustion'!$J$20:$J$29,FALSE,0,1),IF($AO60=Gaseous,density_FuelGas,""))</f>
        <v/>
      </c>
      <c r="AV60" s="407">
        <f>IF(ISNUMBER(N60),N60*_xlfn.XLOOKUP(O60,'Lookup Tables'!$B$319:$B$321,'Lookup Tables'!$F$319:$F$321,,0,1)*kW_to_kW,0)</f>
        <v>0</v>
      </c>
      <c r="AW60" s="407">
        <f t="shared" si="78"/>
        <v>0</v>
      </c>
      <c r="AX60" s="301">
        <f t="shared" si="61"/>
        <v>0.33</v>
      </c>
      <c r="AY60" s="260">
        <f t="shared" ca="1" si="62"/>
        <v>0</v>
      </c>
      <c r="AZ60" s="260">
        <f t="shared" ca="1" si="63"/>
        <v>0</v>
      </c>
      <c r="BA60" s="260">
        <f t="shared" ca="1" si="64"/>
        <v>0</v>
      </c>
      <c r="BB60" s="302">
        <f>IF(Q60&gt;0,Q60*_xlfn.XLOOKUP(R60,'Lookup Tables'!$B$206:$B$217,'Lookup Tables'!$F$206:$F$217,,0,1),0)*E3m3_per_d_to_E3m3_per_d</f>
        <v>0</v>
      </c>
      <c r="BC60" s="260">
        <f t="shared" si="65"/>
        <v>0</v>
      </c>
      <c r="BD60" s="422">
        <f>IF(S60&gt;0,S60*_xlfn.XLOOKUP(U60,'Lookup Tables'!$B$259:$B$262,'Lookup Tables'!$F$259:$F$262,,0,1),0)*kPa_to_kPa</f>
        <v>0</v>
      </c>
      <c r="BE60" s="422" t="str">
        <f t="shared" si="79"/>
        <v/>
      </c>
      <c r="BF60" s="422">
        <f>IF(T60&gt;0,T60*_xlfn.XLOOKUP(U60,'Lookup Tables'!$B$259:$B$262,'Lookup Tables'!$F$259:$F$262,,0,1),0)*kPa_to_kPa</f>
        <v>0</v>
      </c>
      <c r="BG60" s="292">
        <f t="shared" si="66"/>
        <v>1</v>
      </c>
      <c r="BH60" s="237">
        <f t="shared" si="80"/>
        <v>1</v>
      </c>
      <c r="BI60" s="237">
        <f t="shared" si="80"/>
        <v>0.85</v>
      </c>
      <c r="BJ60" s="423">
        <f t="shared" ca="1" si="67"/>
        <v>1.5076142131979697</v>
      </c>
      <c r="BK60" s="292">
        <f t="shared" ca="1" si="68"/>
        <v>2.9699999999999993</v>
      </c>
      <c r="BL60" s="892"/>
      <c r="BM60" s="301">
        <f t="shared" ca="1" si="69"/>
        <v>0.72</v>
      </c>
      <c r="BN60" s="424">
        <f t="shared" si="70"/>
        <v>0</v>
      </c>
      <c r="BO60" s="424">
        <f t="shared" ca="1" si="71"/>
        <v>0</v>
      </c>
      <c r="BP60" s="424">
        <v>1.2</v>
      </c>
      <c r="BQ60" s="424">
        <f t="shared" ca="1" si="81"/>
        <v>0</v>
      </c>
      <c r="BR60" s="260">
        <f t="shared" ca="1" si="72"/>
        <v>0</v>
      </c>
      <c r="BS60" s="260">
        <f t="shared" ca="1" si="73"/>
        <v>0</v>
      </c>
      <c r="BT60" s="260">
        <f t="shared" ca="1" si="82"/>
        <v>0</v>
      </c>
      <c r="BV60" s="358">
        <v>1</v>
      </c>
      <c r="BW60" s="358">
        <v>1</v>
      </c>
      <c r="BX60" s="358">
        <v>4</v>
      </c>
      <c r="BY60" s="358" cm="1">
        <f t="array" ref="BY60">IF(BW60=1,1,_xlfn.SINGLE(IF(BX60&gt;(COUNTA(_DR57)-COUNTIF(_DR57,0)+1),COUNTA(_DR57)-COUNTIF(_DR57,0)+1,BX60)))</f>
        <v>1</v>
      </c>
    </row>
    <row r="61" spans="1:77" x14ac:dyDescent="0.35">
      <c r="A61" s="382">
        <f t="array" ref="A61">INDEX(EngineType,BV61)</f>
        <v>0</v>
      </c>
      <c r="B61" s="383"/>
      <c r="C61" s="222"/>
      <c r="D61" s="382">
        <f t="array" ref="D61">INDEX(FuelCategory_v2,BW61)</f>
        <v>0</v>
      </c>
      <c r="E61" s="299" t="str">
        <f t="array" ref="E61">INDEX(_DR58,BY61)</f>
        <v xml:space="preserve"> </v>
      </c>
      <c r="F61" s="384"/>
      <c r="G61" s="292" t="str">
        <f>IFERROR(IF($D61=0,"",IF($D61=Liquid,BA61/_xlfn.XLOOKUP($J61,'Lookup Tables'!$C$173:$C$180,'Lookup Tables'!$G$173:$G$180,,0,1),IF($D61=Gaseous,BA61/_xlfn.XLOOKUP($J61,'Lookup Tables'!$D$173:$D$180,'Lookup Tables'!$H$173:$H$180,,0,1)))),"")</f>
        <v/>
      </c>
      <c r="H61" s="292" t="str">
        <f>IFERROR(IF($D61=0,"",IF($D61=Liquid,BT61/_xlfn.XLOOKUP($J61,'Lookup Tables'!$C$173:$C$180,'Lookup Tables'!$G$173:$G$180,,0,1),IF($D61=Gaseous,BT61/_xlfn.XLOOKUP($J61,'Lookup Tables'!$D$173:$D$180,'Lookup Tables'!$H$173:$H$180,,0,1)))),"")</f>
        <v/>
      </c>
      <c r="I61" s="604" t="str">
        <f t="shared" si="51"/>
        <v/>
      </c>
      <c r="J61" s="371"/>
      <c r="K61" s="304"/>
      <c r="L61" s="306"/>
      <c r="M61" s="381">
        <v>1</v>
      </c>
      <c r="N61" s="291"/>
      <c r="O61" s="371"/>
      <c r="P61" s="306"/>
      <c r="Q61" s="291"/>
      <c r="R61" s="225"/>
      <c r="S61" s="305"/>
      <c r="T61" s="305"/>
      <c r="U61" s="225"/>
      <c r="V61" s="305"/>
      <c r="W61" s="225"/>
      <c r="X61" s="845" t="str">
        <f t="shared" ca="1" si="52"/>
        <v/>
      </c>
      <c r="Y61" s="846"/>
      <c r="Z61" s="847"/>
      <c r="AB61" s="237" t="str">
        <f t="shared" si="74"/>
        <v/>
      </c>
      <c r="AC61" s="407" t="str">
        <f t="shared" si="75"/>
        <v xml:space="preserve"> </v>
      </c>
      <c r="AD61" s="292" t="str">
        <f>IF(ISTEXT($D61),IF($D61=Liquid,B61*F61*_xlfn.XLOOKUP($J61,'Lookup Tables'!$C$173:$C$180,'Lookup Tables'!$G$173:$G$180,,0,1),IF($D61=Gaseous,B61*F61*_xlfn.XLOOKUP($J61,'Lookup Tables'!$D$173:$D$180,'Lookup Tables'!$H$173:$H$180,,0,1))),"")</f>
        <v/>
      </c>
      <c r="AE61" s="292">
        <f t="shared" si="76"/>
        <v>0</v>
      </c>
      <c r="AF61" s="292" t="str">
        <f>IF(ISTEXT($D61),IF($D61=Liquid,B61*I61*_xlfn.XLOOKUP($J61,'Lookup Tables'!$C$173:$C$180,'Lookup Tables'!$G$173:$G$180,,0,1),IF($D61=Gaseous,B61*I61*_xlfn.XLOOKUP($J61,'Lookup Tables'!$D$173:$D$180,'Lookup Tables'!$H$173:$H$180,,0,1))),"")</f>
        <v/>
      </c>
      <c r="AG61" s="409" t="str">
        <f t="shared" ca="1" si="53"/>
        <v/>
      </c>
      <c r="AH61" s="292">
        <f t="shared" si="54"/>
        <v>0</v>
      </c>
      <c r="AI61" s="300" t="str">
        <f t="shared" ca="1" si="55"/>
        <v/>
      </c>
      <c r="AM61" s="301">
        <f t="shared" si="56"/>
        <v>1</v>
      </c>
      <c r="AN61" s="301">
        <f t="shared" si="77"/>
        <v>1</v>
      </c>
      <c r="AO61" s="300" t="str">
        <f t="shared" si="57"/>
        <v>---</v>
      </c>
      <c r="AP61" s="300" t="str">
        <f t="shared" si="58"/>
        <v xml:space="preserve"> </v>
      </c>
      <c r="AQ61" s="260" t="str">
        <f ca="1">IF($AO61=Liquid,_xlfn.XLOOKUP($AP61,'Calculations - Combustion'!$B$20:$B$29,'Calculations - Combustion'!$D$20:$D$29,FALSE,0,1),IF($AO61=Gaseous,FuelGas_HHV,""))</f>
        <v/>
      </c>
      <c r="AR61" s="300" t="str">
        <f t="shared" ca="1" si="59"/>
        <v/>
      </c>
      <c r="AS61" s="237" t="str">
        <f ca="1">IF($AO61=Liquid,_xlfn.XLOOKUP($AP61,'Calculations - Combustion'!$B$20:$B$29,'Calculations - Combustion'!$G$20:$G$29,FALSE,0,1),IF($AO61=Gaseous,FuelGas_LHV,""))</f>
        <v/>
      </c>
      <c r="AT61" s="300" t="str">
        <f t="shared" ca="1" si="60"/>
        <v/>
      </c>
      <c r="AU61" s="410" t="str">
        <f ca="1">IF($AO61=Liquid,_xlfn.XLOOKUP($AP61,'Calculations - Combustion'!$B$20:$B$29,'Calculations - Combustion'!$J$20:$J$29,FALSE,0,1),IF($AO61=Gaseous,density_FuelGas,""))</f>
        <v/>
      </c>
      <c r="AV61" s="407">
        <f>IF(ISNUMBER(N61),N61*_xlfn.XLOOKUP(O61,'Lookup Tables'!$B$319:$B$321,'Lookup Tables'!$F$319:$F$321,,0,1)*kW_to_kW,0)</f>
        <v>0</v>
      </c>
      <c r="AW61" s="407">
        <f t="shared" si="78"/>
        <v>0</v>
      </c>
      <c r="AX61" s="301">
        <f t="shared" si="61"/>
        <v>0.33</v>
      </c>
      <c r="AY61" s="260">
        <f t="shared" ca="1" si="62"/>
        <v>0</v>
      </c>
      <c r="AZ61" s="260">
        <f t="shared" ca="1" si="63"/>
        <v>0</v>
      </c>
      <c r="BA61" s="260">
        <f t="shared" ca="1" si="64"/>
        <v>0</v>
      </c>
      <c r="BB61" s="302">
        <f>IF(Q61&gt;0,Q61*_xlfn.XLOOKUP(R61,'Lookup Tables'!$B$206:$B$217,'Lookup Tables'!$F$206:$F$217,,0,1),0)*E3m3_per_d_to_E3m3_per_d</f>
        <v>0</v>
      </c>
      <c r="BC61" s="260">
        <f t="shared" si="65"/>
        <v>0</v>
      </c>
      <c r="BD61" s="422">
        <f>IF(S61&gt;0,S61*_xlfn.XLOOKUP(U61,'Lookup Tables'!$B$259:$B$262,'Lookup Tables'!$F$259:$F$262,,0,1),0)*kPa_to_kPa</f>
        <v>0</v>
      </c>
      <c r="BE61" s="422" t="str">
        <f t="shared" si="79"/>
        <v/>
      </c>
      <c r="BF61" s="422">
        <f>IF(T61&gt;0,T61*_xlfn.XLOOKUP(U61,'Lookup Tables'!$B$259:$B$262,'Lookup Tables'!$F$259:$F$262,,0,1),0)*kPa_to_kPa</f>
        <v>0</v>
      </c>
      <c r="BG61" s="292">
        <f t="shared" si="66"/>
        <v>1</v>
      </c>
      <c r="BH61" s="237">
        <f t="shared" si="80"/>
        <v>1</v>
      </c>
      <c r="BI61" s="237">
        <f t="shared" si="80"/>
        <v>0.85</v>
      </c>
      <c r="BJ61" s="423">
        <f t="shared" ca="1" si="67"/>
        <v>1.5076142131979697</v>
      </c>
      <c r="BK61" s="292">
        <f t="shared" ca="1" si="68"/>
        <v>2.9699999999999993</v>
      </c>
      <c r="BL61" s="892"/>
      <c r="BM61" s="301">
        <f t="shared" ca="1" si="69"/>
        <v>0.72</v>
      </c>
      <c r="BN61" s="424">
        <f t="shared" si="70"/>
        <v>0</v>
      </c>
      <c r="BO61" s="424">
        <f t="shared" ca="1" si="71"/>
        <v>0</v>
      </c>
      <c r="BP61" s="424">
        <v>1.2</v>
      </c>
      <c r="BQ61" s="424">
        <f t="shared" ca="1" si="81"/>
        <v>0</v>
      </c>
      <c r="BR61" s="260">
        <f t="shared" ca="1" si="72"/>
        <v>0</v>
      </c>
      <c r="BS61" s="260">
        <f t="shared" ca="1" si="73"/>
        <v>0</v>
      </c>
      <c r="BT61" s="260">
        <f t="shared" ca="1" si="82"/>
        <v>0</v>
      </c>
      <c r="BV61" s="358">
        <v>1</v>
      </c>
      <c r="BW61" s="358">
        <v>1</v>
      </c>
      <c r="BX61" s="358">
        <v>2</v>
      </c>
      <c r="BY61" s="358" cm="1">
        <f t="array" ref="BY61">IF(BW61=1,1,_xlfn.SINGLE(IF(BX61&gt;(COUNTA(_DR58)-COUNTIF(_DR58,0)+1),COUNTA(_DR58)-COUNTIF(_DR58,0)+1,BX61)))</f>
        <v>1</v>
      </c>
    </row>
    <row r="62" spans="1:77" x14ac:dyDescent="0.35">
      <c r="A62" s="382">
        <f t="array" ref="A62">INDEX(EngineType,BV62)</f>
        <v>0</v>
      </c>
      <c r="B62" s="383"/>
      <c r="C62" s="222"/>
      <c r="D62" s="382">
        <f t="array" ref="D62">INDEX(FuelCategory_v2,BW62)</f>
        <v>0</v>
      </c>
      <c r="E62" s="299" t="str">
        <f t="array" ref="E62">INDEX(_DR59,BY62)</f>
        <v xml:space="preserve"> </v>
      </c>
      <c r="F62" s="384"/>
      <c r="G62" s="293" t="str">
        <f>IFERROR(IF($D62=0,"",IF($D62=Liquid,BA62/_xlfn.XLOOKUP($J62,'Lookup Tables'!$C$173:$C$180,'Lookup Tables'!$G$173:$G$180,,0,1),IF($D62=Gaseous,BA62/_xlfn.XLOOKUP($J62,'Lookup Tables'!$D$173:$D$180,'Lookup Tables'!$H$173:$H$180,,0,1)))),"")</f>
        <v/>
      </c>
      <c r="H62" s="293" t="str">
        <f>IFERROR(IF($D62=0,"",IF($D62=Liquid,BT62/_xlfn.XLOOKUP($J62,'Lookup Tables'!$C$173:$C$180,'Lookup Tables'!$G$173:$G$180,,0,1),IF($D62=Gaseous,BT62/_xlfn.XLOOKUP($J62,'Lookup Tables'!$D$173:$D$180,'Lookup Tables'!$H$173:$H$180,,0,1)))),"")</f>
        <v/>
      </c>
      <c r="I62" s="421" t="str">
        <f t="shared" si="51"/>
        <v/>
      </c>
      <c r="J62" s="371"/>
      <c r="K62" s="304"/>
      <c r="L62" s="306"/>
      <c r="M62" s="381">
        <v>1</v>
      </c>
      <c r="N62" s="291"/>
      <c r="O62" s="371"/>
      <c r="P62" s="306"/>
      <c r="Q62" s="291"/>
      <c r="R62" s="225"/>
      <c r="S62" s="305"/>
      <c r="T62" s="305"/>
      <c r="U62" s="225"/>
      <c r="V62" s="305"/>
      <c r="W62" s="225"/>
      <c r="X62" s="848" t="str">
        <f t="shared" ca="1" si="52"/>
        <v/>
      </c>
      <c r="Y62" s="849"/>
      <c r="Z62" s="850"/>
      <c r="AB62" s="237" t="str">
        <f t="shared" si="74"/>
        <v/>
      </c>
      <c r="AC62" s="407" t="str">
        <f t="shared" si="75"/>
        <v xml:space="preserve"> </v>
      </c>
      <c r="AD62" s="292" t="str">
        <f>IF(ISTEXT($D62),IF($D62=Liquid,B62*F62*_xlfn.XLOOKUP($J62,'Lookup Tables'!$C$173:$C$180,'Lookup Tables'!$G$173:$G$180,,0,1),IF($D62=Gaseous,B62*F62*_xlfn.XLOOKUP($J62,'Lookup Tables'!$D$173:$D$180,'Lookup Tables'!$H$173:$H$180,,0,1))),"")</f>
        <v/>
      </c>
      <c r="AE62" s="292">
        <f t="shared" si="76"/>
        <v>0</v>
      </c>
      <c r="AF62" s="292" t="str">
        <f>IF(ISTEXT($D62),IF($D62=Liquid,B62*I62*_xlfn.XLOOKUP($J62,'Lookup Tables'!$C$173:$C$180,'Lookup Tables'!$G$173:$G$180,,0,1),IF($D62=Gaseous,B62*I62*_xlfn.XLOOKUP($J62,'Lookup Tables'!$D$173:$D$180,'Lookup Tables'!$H$173:$H$180,,0,1))),"")</f>
        <v/>
      </c>
      <c r="AG62" s="409" t="str">
        <f t="shared" ca="1" si="53"/>
        <v/>
      </c>
      <c r="AH62" s="292">
        <f t="shared" si="54"/>
        <v>0</v>
      </c>
      <c r="AI62" s="300" t="str">
        <f t="shared" ca="1" si="55"/>
        <v/>
      </c>
      <c r="AM62" s="301">
        <f t="shared" si="56"/>
        <v>1</v>
      </c>
      <c r="AN62" s="301">
        <f t="shared" si="77"/>
        <v>1</v>
      </c>
      <c r="AO62" s="300" t="str">
        <f t="shared" si="57"/>
        <v>---</v>
      </c>
      <c r="AP62" s="300" t="str">
        <f t="shared" si="58"/>
        <v xml:space="preserve"> </v>
      </c>
      <c r="AQ62" s="260" t="str">
        <f ca="1">IF($AO62=Liquid,_xlfn.XLOOKUP($AP62,'Calculations - Combustion'!$B$20:$B$29,'Calculations - Combustion'!$D$20:$D$29,FALSE,0,1),IF($AO62=Gaseous,FuelGas_HHV,""))</f>
        <v/>
      </c>
      <c r="AR62" s="300" t="str">
        <f t="shared" ca="1" si="59"/>
        <v/>
      </c>
      <c r="AS62" s="237" t="str">
        <f ca="1">IF($AO62=Liquid,_xlfn.XLOOKUP($AP62,'Calculations - Combustion'!$B$20:$B$29,'Calculations - Combustion'!$G$20:$G$29,FALSE,0,1),IF($AO62=Gaseous,FuelGas_LHV,""))</f>
        <v/>
      </c>
      <c r="AT62" s="300" t="str">
        <f t="shared" ca="1" si="60"/>
        <v/>
      </c>
      <c r="AU62" s="410" t="str">
        <f ca="1">IF($AO62=Liquid,_xlfn.XLOOKUP($AP62,'Calculations - Combustion'!$B$20:$B$29,'Calculations - Combustion'!$J$20:$J$29,FALSE,0,1),IF($AO62=Gaseous,density_FuelGas,""))</f>
        <v/>
      </c>
      <c r="AV62" s="407">
        <f>IF(ISNUMBER(N62),N62*_xlfn.XLOOKUP(O62,'Lookup Tables'!$B$319:$B$321,'Lookup Tables'!$F$319:$F$321,,0,1)*kW_to_kW,0)</f>
        <v>0</v>
      </c>
      <c r="AW62" s="407">
        <f t="shared" si="78"/>
        <v>0</v>
      </c>
      <c r="AX62" s="301">
        <f t="shared" si="61"/>
        <v>0.33</v>
      </c>
      <c r="AY62" s="260">
        <f t="shared" ca="1" si="62"/>
        <v>0</v>
      </c>
      <c r="AZ62" s="260">
        <f t="shared" ca="1" si="63"/>
        <v>0</v>
      </c>
      <c r="BA62" s="260">
        <f t="shared" ca="1" si="64"/>
        <v>0</v>
      </c>
      <c r="BB62" s="302">
        <f>IF(Q62&gt;0,Q62*_xlfn.XLOOKUP(R62,'Lookup Tables'!$B$206:$B$217,'Lookup Tables'!$F$206:$F$217,,0,1),0)*E3m3_per_d_to_E3m3_per_d</f>
        <v>0</v>
      </c>
      <c r="BC62" s="260">
        <f t="shared" si="65"/>
        <v>0</v>
      </c>
      <c r="BD62" s="422">
        <f>IF(S62&gt;0,S62*_xlfn.XLOOKUP(U62,'Lookup Tables'!$B$259:$B$262,'Lookup Tables'!$F$259:$F$262,,0,1),0)*kPa_to_kPa</f>
        <v>0</v>
      </c>
      <c r="BE62" s="422" t="str">
        <f t="shared" si="79"/>
        <v/>
      </c>
      <c r="BF62" s="422">
        <f>IF(T62&gt;0,T62*_xlfn.XLOOKUP(U62,'Lookup Tables'!$B$259:$B$262,'Lookup Tables'!$F$259:$F$262,,0,1),0)*kPa_to_kPa</f>
        <v>0</v>
      </c>
      <c r="BG62" s="292">
        <f t="shared" si="66"/>
        <v>1</v>
      </c>
      <c r="BH62" s="237">
        <f t="shared" si="80"/>
        <v>1</v>
      </c>
      <c r="BI62" s="237">
        <f t="shared" si="80"/>
        <v>0.85</v>
      </c>
      <c r="BJ62" s="423">
        <f t="shared" ca="1" si="67"/>
        <v>1.5076142131979697</v>
      </c>
      <c r="BK62" s="292">
        <f t="shared" ca="1" si="68"/>
        <v>2.9699999999999993</v>
      </c>
      <c r="BL62" s="892"/>
      <c r="BM62" s="301">
        <f t="shared" ca="1" si="69"/>
        <v>0.72</v>
      </c>
      <c r="BN62" s="424">
        <f t="shared" si="70"/>
        <v>0</v>
      </c>
      <c r="BO62" s="424">
        <f t="shared" ca="1" si="71"/>
        <v>0</v>
      </c>
      <c r="BP62" s="424">
        <v>1.2</v>
      </c>
      <c r="BQ62" s="424">
        <f t="shared" ca="1" si="81"/>
        <v>0</v>
      </c>
      <c r="BR62" s="260">
        <f t="shared" ca="1" si="72"/>
        <v>0</v>
      </c>
      <c r="BS62" s="260">
        <f t="shared" ca="1" si="73"/>
        <v>0</v>
      </c>
      <c r="BT62" s="260">
        <f t="shared" ca="1" si="82"/>
        <v>0</v>
      </c>
      <c r="BV62" s="358">
        <v>1</v>
      </c>
      <c r="BW62" s="358">
        <v>1</v>
      </c>
      <c r="BX62" s="358">
        <v>0</v>
      </c>
      <c r="BY62" s="358" cm="1">
        <f t="array" ref="BY62">IF(BW62=1,1,_xlfn.SINGLE(IF(BX62&gt;(COUNTA(_DR59)-COUNTIF(_DR59,0)+1),COUNTA(_DR59)-COUNTIF(_DR59,0)+1,BX62)))</f>
        <v>1</v>
      </c>
    </row>
    <row r="63" spans="1:77" x14ac:dyDescent="0.35">
      <c r="A63" s="382">
        <f t="array" ref="A63">INDEX(EngineType,BV63)</f>
        <v>0</v>
      </c>
      <c r="B63" s="383"/>
      <c r="C63" s="222"/>
      <c r="D63" s="382">
        <f t="array" ref="D63">INDEX(FuelCategory_v2,BW63)</f>
        <v>0</v>
      </c>
      <c r="E63" s="299" t="str">
        <f t="array" ref="E63">INDEX(_DR60,BY63)</f>
        <v xml:space="preserve"> </v>
      </c>
      <c r="F63" s="384"/>
      <c r="G63" s="292" t="str">
        <f>IFERROR(IF($D63=0,"",IF($D63=Liquid,BA63/_xlfn.XLOOKUP($J63,'Lookup Tables'!$C$173:$C$180,'Lookup Tables'!$G$173:$G$180,,0,1),IF($D63=Gaseous,BA63/_xlfn.XLOOKUP($J63,'Lookup Tables'!$D$173:$D$180,'Lookup Tables'!$H$173:$H$180,,0,1)))),"")</f>
        <v/>
      </c>
      <c r="H63" s="292" t="str">
        <f>IFERROR(IF($D63=0,"",IF($D63=Liquid,BT63/_xlfn.XLOOKUP($J63,'Lookup Tables'!$C$173:$C$180,'Lookup Tables'!$G$173:$G$180,,0,1),IF($D63=Gaseous,BT63/_xlfn.XLOOKUP($J63,'Lookup Tables'!$D$173:$D$180,'Lookup Tables'!$H$173:$H$180,,0,1)))),"")</f>
        <v/>
      </c>
      <c r="I63" s="604" t="str">
        <f t="shared" si="51"/>
        <v/>
      </c>
      <c r="J63" s="371"/>
      <c r="K63" s="304"/>
      <c r="L63" s="306"/>
      <c r="M63" s="381">
        <v>1</v>
      </c>
      <c r="N63" s="291"/>
      <c r="O63" s="371"/>
      <c r="P63" s="306"/>
      <c r="Q63" s="291"/>
      <c r="R63" s="225"/>
      <c r="S63" s="305"/>
      <c r="T63" s="305"/>
      <c r="U63" s="225"/>
      <c r="V63" s="305"/>
      <c r="W63" s="225"/>
      <c r="X63" s="845" t="str">
        <f t="shared" ca="1" si="52"/>
        <v/>
      </c>
      <c r="Y63" s="846"/>
      <c r="Z63" s="847"/>
      <c r="AB63" s="237" t="str">
        <f t="shared" si="74"/>
        <v/>
      </c>
      <c r="AC63" s="407" t="str">
        <f t="shared" si="75"/>
        <v xml:space="preserve"> </v>
      </c>
      <c r="AD63" s="292" t="str">
        <f>IF(ISTEXT($D63),IF($D63=Liquid,B63*F63*_xlfn.XLOOKUP($J63,'Lookup Tables'!$C$173:$C$180,'Lookup Tables'!$G$173:$G$180,,0,1),IF($D63=Gaseous,B63*F63*_xlfn.XLOOKUP($J63,'Lookup Tables'!$D$173:$D$180,'Lookup Tables'!$H$173:$H$180,,0,1))),"")</f>
        <v/>
      </c>
      <c r="AE63" s="292">
        <f t="shared" si="76"/>
        <v>0</v>
      </c>
      <c r="AF63" s="292" t="str">
        <f>IF(ISTEXT($D63),IF($D63=Liquid,B63*I63*_xlfn.XLOOKUP($J63,'Lookup Tables'!$C$173:$C$180,'Lookup Tables'!$G$173:$G$180,,0,1),IF($D63=Gaseous,B63*I63*_xlfn.XLOOKUP($J63,'Lookup Tables'!$D$173:$D$180,'Lookup Tables'!$H$173:$H$180,,0,1))),"")</f>
        <v/>
      </c>
      <c r="AG63" s="409" t="str">
        <f t="shared" ca="1" si="53"/>
        <v/>
      </c>
      <c r="AH63" s="292">
        <f t="shared" si="54"/>
        <v>0</v>
      </c>
      <c r="AI63" s="300" t="str">
        <f t="shared" ca="1" si="55"/>
        <v/>
      </c>
      <c r="AM63" s="301">
        <f t="shared" si="56"/>
        <v>1</v>
      </c>
      <c r="AN63" s="301">
        <f t="shared" si="77"/>
        <v>1</v>
      </c>
      <c r="AO63" s="300" t="str">
        <f t="shared" si="57"/>
        <v>---</v>
      </c>
      <c r="AP63" s="300" t="str">
        <f t="shared" si="58"/>
        <v xml:space="preserve"> </v>
      </c>
      <c r="AQ63" s="260" t="str">
        <f ca="1">IF($AO63=Liquid,_xlfn.XLOOKUP($AP63,'Calculations - Combustion'!$B$20:$B$29,'Calculations - Combustion'!$D$20:$D$29,FALSE,0,1),IF($AO63=Gaseous,FuelGas_HHV,""))</f>
        <v/>
      </c>
      <c r="AR63" s="300" t="str">
        <f t="shared" ca="1" si="59"/>
        <v/>
      </c>
      <c r="AS63" s="237" t="str">
        <f ca="1">IF($AO63=Liquid,_xlfn.XLOOKUP($AP63,'Calculations - Combustion'!$B$20:$B$29,'Calculations - Combustion'!$G$20:$G$29,FALSE,0,1),IF($AO63=Gaseous,FuelGas_LHV,""))</f>
        <v/>
      </c>
      <c r="AT63" s="300" t="str">
        <f t="shared" ca="1" si="60"/>
        <v/>
      </c>
      <c r="AU63" s="410" t="str">
        <f ca="1">IF($AO63=Liquid,_xlfn.XLOOKUP($AP63,'Calculations - Combustion'!$B$20:$B$29,'Calculations - Combustion'!$J$20:$J$29,FALSE,0,1),IF($AO63=Gaseous,density_FuelGas,""))</f>
        <v/>
      </c>
      <c r="AV63" s="407">
        <f>IF(ISNUMBER(N63),N63*_xlfn.XLOOKUP(O63,'Lookup Tables'!$B$319:$B$321,'Lookup Tables'!$F$319:$F$321,,0,1)*kW_to_kW,0)</f>
        <v>0</v>
      </c>
      <c r="AW63" s="407">
        <f t="shared" si="78"/>
        <v>0</v>
      </c>
      <c r="AX63" s="301">
        <f t="shared" si="61"/>
        <v>0.33</v>
      </c>
      <c r="AY63" s="260">
        <f t="shared" ca="1" si="62"/>
        <v>0</v>
      </c>
      <c r="AZ63" s="260">
        <f t="shared" ca="1" si="63"/>
        <v>0</v>
      </c>
      <c r="BA63" s="260">
        <f t="shared" ca="1" si="64"/>
        <v>0</v>
      </c>
      <c r="BB63" s="302">
        <f>IF(Q63&gt;0,Q63*_xlfn.XLOOKUP(R63,'Lookup Tables'!$B$206:$B$217,'Lookup Tables'!$F$206:$F$217,,0,1),0)*E3m3_per_d_to_E3m3_per_d</f>
        <v>0</v>
      </c>
      <c r="BC63" s="260">
        <f t="shared" si="65"/>
        <v>0</v>
      </c>
      <c r="BD63" s="422">
        <f>IF(S63&gt;0,S63*_xlfn.XLOOKUP(U63,'Lookup Tables'!$B$259:$B$262,'Lookup Tables'!$F$259:$F$262,,0,1),0)*kPa_to_kPa</f>
        <v>0</v>
      </c>
      <c r="BE63" s="422" t="str">
        <f t="shared" si="79"/>
        <v/>
      </c>
      <c r="BF63" s="422">
        <f>IF(T63&gt;0,T63*_xlfn.XLOOKUP(U63,'Lookup Tables'!$B$259:$B$262,'Lookup Tables'!$F$259:$F$262,,0,1),0)*kPa_to_kPa</f>
        <v>0</v>
      </c>
      <c r="BG63" s="292">
        <f t="shared" si="66"/>
        <v>1</v>
      </c>
      <c r="BH63" s="237">
        <f t="shared" si="80"/>
        <v>1</v>
      </c>
      <c r="BI63" s="237">
        <f t="shared" si="80"/>
        <v>0.85</v>
      </c>
      <c r="BJ63" s="423">
        <f t="shared" ca="1" si="67"/>
        <v>1.5076142131979697</v>
      </c>
      <c r="BK63" s="292">
        <f t="shared" ca="1" si="68"/>
        <v>2.9699999999999993</v>
      </c>
      <c r="BL63" s="892"/>
      <c r="BM63" s="301">
        <f t="shared" ca="1" si="69"/>
        <v>0.72</v>
      </c>
      <c r="BN63" s="424">
        <f t="shared" si="70"/>
        <v>0</v>
      </c>
      <c r="BO63" s="424">
        <f t="shared" ca="1" si="71"/>
        <v>0</v>
      </c>
      <c r="BP63" s="424">
        <v>1.2</v>
      </c>
      <c r="BQ63" s="424">
        <f t="shared" ca="1" si="81"/>
        <v>0</v>
      </c>
      <c r="BR63" s="260">
        <f t="shared" ca="1" si="72"/>
        <v>0</v>
      </c>
      <c r="BS63" s="260">
        <f t="shared" ca="1" si="73"/>
        <v>0</v>
      </c>
      <c r="BT63" s="260">
        <f t="shared" ca="1" si="82"/>
        <v>0</v>
      </c>
      <c r="BV63" s="358">
        <v>1</v>
      </c>
      <c r="BW63" s="358">
        <v>1</v>
      </c>
      <c r="BX63" s="358">
        <v>0</v>
      </c>
      <c r="BY63" s="358" cm="1">
        <f t="array" ref="BY63">IF(BW63=1,1,_xlfn.SINGLE(IF(BX63&gt;(COUNTA(_DR60)-COUNTIF(_DR60,0)+1),COUNTA(_DR60)-COUNTIF(_DR60,0)+1,BX63)))</f>
        <v>1</v>
      </c>
    </row>
    <row r="64" spans="1:77" x14ac:dyDescent="0.35">
      <c r="A64" s="382">
        <f t="array" ref="A64">INDEX(EngineType,BV64)</f>
        <v>0</v>
      </c>
      <c r="B64" s="383"/>
      <c r="C64" s="222"/>
      <c r="D64" s="382">
        <f t="array" ref="D64">INDEX(FuelCategory_v2,BW64)</f>
        <v>0</v>
      </c>
      <c r="E64" s="299" t="str">
        <f t="array" ref="E64">INDEX(_DR61,BY64)</f>
        <v xml:space="preserve"> </v>
      </c>
      <c r="F64" s="384"/>
      <c r="G64" s="293" t="str">
        <f>IFERROR(IF($D64=0,"",IF($D64=Liquid,BA64/_xlfn.XLOOKUP($J64,'Lookup Tables'!$C$173:$C$180,'Lookup Tables'!$G$173:$G$180,,0,1),IF($D64=Gaseous,BA64/_xlfn.XLOOKUP($J64,'Lookup Tables'!$D$173:$D$180,'Lookup Tables'!$H$173:$H$180,,0,1)))),"")</f>
        <v/>
      </c>
      <c r="H64" s="293" t="str">
        <f>IFERROR(IF($D64=0,"",IF($D64=Liquid,BT64/_xlfn.XLOOKUP($J64,'Lookup Tables'!$C$173:$C$180,'Lookup Tables'!$G$173:$G$180,,0,1),IF($D64=Gaseous,BT64/_xlfn.XLOOKUP($J64,'Lookup Tables'!$D$173:$D$180,'Lookup Tables'!$H$173:$H$180,,0,1)))),"")</f>
        <v/>
      </c>
      <c r="I64" s="421" t="str">
        <f t="shared" si="51"/>
        <v/>
      </c>
      <c r="J64" s="371"/>
      <c r="K64" s="304"/>
      <c r="L64" s="306"/>
      <c r="M64" s="381">
        <v>1</v>
      </c>
      <c r="N64" s="291"/>
      <c r="O64" s="371"/>
      <c r="P64" s="306"/>
      <c r="Q64" s="291"/>
      <c r="R64" s="225"/>
      <c r="S64" s="305"/>
      <c r="T64" s="305"/>
      <c r="U64" s="225"/>
      <c r="V64" s="305"/>
      <c r="W64" s="225"/>
      <c r="X64" s="848" t="str">
        <f t="shared" ca="1" si="52"/>
        <v/>
      </c>
      <c r="Y64" s="849"/>
      <c r="Z64" s="850"/>
      <c r="AB64" s="237" t="str">
        <f t="shared" si="74"/>
        <v/>
      </c>
      <c r="AC64" s="407" t="str">
        <f t="shared" si="75"/>
        <v xml:space="preserve"> </v>
      </c>
      <c r="AD64" s="292" t="str">
        <f>IF(ISTEXT($D64),IF($D64=Liquid,B64*F64*_xlfn.XLOOKUP($J64,'Lookup Tables'!$C$173:$C$180,'Lookup Tables'!$G$173:$G$180,,0,1),IF($D64=Gaseous,B64*F64*_xlfn.XLOOKUP($J64,'Lookup Tables'!$D$173:$D$180,'Lookup Tables'!$H$173:$H$180,,0,1))),"")</f>
        <v/>
      </c>
      <c r="AE64" s="292">
        <f t="shared" si="76"/>
        <v>0</v>
      </c>
      <c r="AF64" s="292" t="str">
        <f>IF(ISTEXT($D64),IF($D64=Liquid,B64*I64*_xlfn.XLOOKUP($J64,'Lookup Tables'!$C$173:$C$180,'Lookup Tables'!$G$173:$G$180,,0,1),IF($D64=Gaseous,B64*I64*_xlfn.XLOOKUP($J64,'Lookup Tables'!$D$173:$D$180,'Lookup Tables'!$H$173:$H$180,,0,1))),"")</f>
        <v/>
      </c>
      <c r="AG64" s="409" t="str">
        <f t="shared" ca="1" si="53"/>
        <v/>
      </c>
      <c r="AH64" s="292">
        <f t="shared" si="54"/>
        <v>0</v>
      </c>
      <c r="AI64" s="300" t="str">
        <f t="shared" ca="1" si="55"/>
        <v/>
      </c>
      <c r="AM64" s="301">
        <f t="shared" si="56"/>
        <v>1</v>
      </c>
      <c r="AN64" s="301">
        <f t="shared" si="77"/>
        <v>1</v>
      </c>
      <c r="AO64" s="300" t="str">
        <f t="shared" si="57"/>
        <v>---</v>
      </c>
      <c r="AP64" s="300" t="str">
        <f t="shared" si="58"/>
        <v xml:space="preserve"> </v>
      </c>
      <c r="AQ64" s="260" t="str">
        <f ca="1">IF($AO64=Liquid,_xlfn.XLOOKUP($AP64,'Calculations - Combustion'!$B$20:$B$29,'Calculations - Combustion'!$D$20:$D$29,FALSE,0,1),IF($AO64=Gaseous,FuelGas_HHV,""))</f>
        <v/>
      </c>
      <c r="AR64" s="300" t="str">
        <f t="shared" ca="1" si="59"/>
        <v/>
      </c>
      <c r="AS64" s="237" t="str">
        <f ca="1">IF($AO64=Liquid,_xlfn.XLOOKUP($AP64,'Calculations - Combustion'!$B$20:$B$29,'Calculations - Combustion'!$G$20:$G$29,FALSE,0,1),IF($AO64=Gaseous,FuelGas_LHV,""))</f>
        <v/>
      </c>
      <c r="AT64" s="300" t="str">
        <f t="shared" ca="1" si="60"/>
        <v/>
      </c>
      <c r="AU64" s="410" t="str">
        <f ca="1">IF($AO64=Liquid,_xlfn.XLOOKUP($AP64,'Calculations - Combustion'!$B$20:$B$29,'Calculations - Combustion'!$J$20:$J$29,FALSE,0,1),IF($AO64=Gaseous,density_FuelGas,""))</f>
        <v/>
      </c>
      <c r="AV64" s="407">
        <f>IF(ISNUMBER(N64),N64*_xlfn.XLOOKUP(O64,'Lookup Tables'!$B$319:$B$321,'Lookup Tables'!$F$319:$F$321,,0,1)*kW_to_kW,0)</f>
        <v>0</v>
      </c>
      <c r="AW64" s="407">
        <f t="shared" si="78"/>
        <v>0</v>
      </c>
      <c r="AX64" s="301">
        <f t="shared" si="61"/>
        <v>0.33</v>
      </c>
      <c r="AY64" s="260">
        <f t="shared" ca="1" si="62"/>
        <v>0</v>
      </c>
      <c r="AZ64" s="260">
        <f t="shared" ca="1" si="63"/>
        <v>0</v>
      </c>
      <c r="BA64" s="260">
        <f t="shared" ca="1" si="64"/>
        <v>0</v>
      </c>
      <c r="BB64" s="302">
        <f>IF(Q64&gt;0,Q64*_xlfn.XLOOKUP(R64,'Lookup Tables'!$B$206:$B$217,'Lookup Tables'!$F$206:$F$217,,0,1),0)*E3m3_per_d_to_E3m3_per_d</f>
        <v>0</v>
      </c>
      <c r="BC64" s="260">
        <f t="shared" si="65"/>
        <v>0</v>
      </c>
      <c r="BD64" s="422">
        <f>IF(S64&gt;0,S64*_xlfn.XLOOKUP(U64,'Lookup Tables'!$B$259:$B$262,'Lookup Tables'!$F$259:$F$262,,0,1),0)*kPa_to_kPa</f>
        <v>0</v>
      </c>
      <c r="BE64" s="422" t="str">
        <f t="shared" si="79"/>
        <v/>
      </c>
      <c r="BF64" s="422">
        <f>IF(T64&gt;0,T64*_xlfn.XLOOKUP(U64,'Lookup Tables'!$B$259:$B$262,'Lookup Tables'!$F$259:$F$262,,0,1),0)*kPa_to_kPa</f>
        <v>0</v>
      </c>
      <c r="BG64" s="292">
        <f t="shared" si="66"/>
        <v>1</v>
      </c>
      <c r="BH64" s="237">
        <f t="shared" si="80"/>
        <v>1</v>
      </c>
      <c r="BI64" s="237">
        <f t="shared" si="80"/>
        <v>0.85</v>
      </c>
      <c r="BJ64" s="423">
        <f t="shared" ca="1" si="67"/>
        <v>1.5076142131979697</v>
      </c>
      <c r="BK64" s="292">
        <f t="shared" ca="1" si="68"/>
        <v>2.9699999999999993</v>
      </c>
      <c r="BL64" s="892"/>
      <c r="BM64" s="301">
        <f t="shared" ca="1" si="69"/>
        <v>0.72</v>
      </c>
      <c r="BN64" s="424">
        <f t="shared" si="70"/>
        <v>0</v>
      </c>
      <c r="BO64" s="424">
        <f t="shared" ca="1" si="71"/>
        <v>0</v>
      </c>
      <c r="BP64" s="424">
        <v>1.2</v>
      </c>
      <c r="BQ64" s="424">
        <f t="shared" ca="1" si="81"/>
        <v>0</v>
      </c>
      <c r="BR64" s="260">
        <f t="shared" ca="1" si="72"/>
        <v>0</v>
      </c>
      <c r="BS64" s="260">
        <f t="shared" ca="1" si="73"/>
        <v>0</v>
      </c>
      <c r="BT64" s="260">
        <f t="shared" ca="1" si="82"/>
        <v>0</v>
      </c>
      <c r="BV64" s="358">
        <v>1</v>
      </c>
      <c r="BW64" s="358">
        <v>1</v>
      </c>
      <c r="BX64" s="358">
        <v>0</v>
      </c>
      <c r="BY64" s="358" cm="1">
        <f t="array" ref="BY64">IF(BW64=1,1,_xlfn.SINGLE(IF(BX64&gt;(COUNTA(_DR61)-COUNTIF(_DR61,0)+1),COUNTA(_DR61)-COUNTIF(_DR61,0)+1,BX64)))</f>
        <v>1</v>
      </c>
    </row>
    <row r="65" spans="1:77" x14ac:dyDescent="0.35">
      <c r="A65" s="382">
        <f t="array" ref="A65">INDEX(EngineType,BV65)</f>
        <v>0</v>
      </c>
      <c r="B65" s="383"/>
      <c r="C65" s="222"/>
      <c r="D65" s="382">
        <f t="array" ref="D65">INDEX(FuelCategory_v2,BW65)</f>
        <v>0</v>
      </c>
      <c r="E65" s="299" t="str">
        <f t="array" ref="E65">INDEX(_DR62,BY65)</f>
        <v xml:space="preserve"> </v>
      </c>
      <c r="F65" s="384"/>
      <c r="G65" s="292" t="str">
        <f>IFERROR(IF($D65=0,"",IF($D65=Liquid,BA65/_xlfn.XLOOKUP($J65,'Lookup Tables'!$C$173:$C$180,'Lookup Tables'!$G$173:$G$180,,0,1),IF($D65=Gaseous,BA65/_xlfn.XLOOKUP($J65,'Lookup Tables'!$D$173:$D$180,'Lookup Tables'!$H$173:$H$180,,0,1)))),"")</f>
        <v/>
      </c>
      <c r="H65" s="292" t="str">
        <f>IFERROR(IF($D65=0,"",IF($D65=Liquid,BT65/_xlfn.XLOOKUP($J65,'Lookup Tables'!$C$173:$C$180,'Lookup Tables'!$G$173:$G$180,,0,1),IF($D65=Gaseous,BT65/_xlfn.XLOOKUP($J65,'Lookup Tables'!$D$173:$D$180,'Lookup Tables'!$H$173:$H$180,,0,1)))),"")</f>
        <v/>
      </c>
      <c r="I65" s="604" t="str">
        <f t="shared" si="51"/>
        <v/>
      </c>
      <c r="J65" s="371"/>
      <c r="K65" s="304"/>
      <c r="L65" s="306"/>
      <c r="M65" s="381">
        <v>1</v>
      </c>
      <c r="N65" s="291"/>
      <c r="O65" s="371"/>
      <c r="P65" s="306"/>
      <c r="Q65" s="291"/>
      <c r="R65" s="225"/>
      <c r="S65" s="305"/>
      <c r="T65" s="305"/>
      <c r="U65" s="225"/>
      <c r="V65" s="305"/>
      <c r="W65" s="225"/>
      <c r="X65" s="845" t="str">
        <f t="shared" ca="1" si="52"/>
        <v/>
      </c>
      <c r="Y65" s="846"/>
      <c r="Z65" s="847"/>
      <c r="AB65" s="237" t="str">
        <f t="shared" si="74"/>
        <v/>
      </c>
      <c r="AC65" s="407" t="str">
        <f t="shared" si="75"/>
        <v xml:space="preserve"> </v>
      </c>
      <c r="AD65" s="292" t="str">
        <f>IF(ISTEXT($D65),IF($D65=Liquid,B65*F65*_xlfn.XLOOKUP($J65,'Lookup Tables'!$C$173:$C$180,'Lookup Tables'!$G$173:$G$180,,0,1),IF($D65=Gaseous,B65*F65*_xlfn.XLOOKUP($J65,'Lookup Tables'!$D$173:$D$180,'Lookup Tables'!$H$173:$H$180,,0,1))),"")</f>
        <v/>
      </c>
      <c r="AE65" s="292">
        <f t="shared" si="76"/>
        <v>0</v>
      </c>
      <c r="AF65" s="292" t="str">
        <f>IF(ISTEXT($D65),IF($D65=Liquid,B65*I65*_xlfn.XLOOKUP($J65,'Lookup Tables'!$C$173:$C$180,'Lookup Tables'!$G$173:$G$180,,0,1),IF($D65=Gaseous,B65*I65*_xlfn.XLOOKUP($J65,'Lookup Tables'!$D$173:$D$180,'Lookup Tables'!$H$173:$H$180,,0,1))),"")</f>
        <v/>
      </c>
      <c r="AG65" s="409" t="str">
        <f t="shared" ca="1" si="53"/>
        <v/>
      </c>
      <c r="AH65" s="292">
        <f t="shared" si="54"/>
        <v>0</v>
      </c>
      <c r="AI65" s="300" t="str">
        <f t="shared" ca="1" si="55"/>
        <v/>
      </c>
      <c r="AM65" s="301">
        <f t="shared" si="56"/>
        <v>1</v>
      </c>
      <c r="AN65" s="301">
        <f t="shared" si="77"/>
        <v>1</v>
      </c>
      <c r="AO65" s="300" t="str">
        <f t="shared" si="57"/>
        <v>---</v>
      </c>
      <c r="AP65" s="300" t="str">
        <f t="shared" si="58"/>
        <v xml:space="preserve"> </v>
      </c>
      <c r="AQ65" s="260" t="str">
        <f ca="1">IF($AO65=Liquid,_xlfn.XLOOKUP($AP65,'Calculations - Combustion'!$B$20:$B$29,'Calculations - Combustion'!$D$20:$D$29,FALSE,0,1),IF($AO65=Gaseous,FuelGas_HHV,""))</f>
        <v/>
      </c>
      <c r="AR65" s="300" t="str">
        <f t="shared" ca="1" si="59"/>
        <v/>
      </c>
      <c r="AS65" s="237" t="str">
        <f ca="1">IF($AO65=Liquid,_xlfn.XLOOKUP($AP65,'Calculations - Combustion'!$B$20:$B$29,'Calculations - Combustion'!$G$20:$G$29,FALSE,0,1),IF($AO65=Gaseous,FuelGas_LHV,""))</f>
        <v/>
      </c>
      <c r="AT65" s="300" t="str">
        <f t="shared" ca="1" si="60"/>
        <v/>
      </c>
      <c r="AU65" s="410" t="str">
        <f ca="1">IF($AO65=Liquid,_xlfn.XLOOKUP($AP65,'Calculations - Combustion'!$B$20:$B$29,'Calculations - Combustion'!$J$20:$J$29,FALSE,0,1),IF($AO65=Gaseous,density_FuelGas,""))</f>
        <v/>
      </c>
      <c r="AV65" s="407">
        <f>IF(ISNUMBER(N65),N65*_xlfn.XLOOKUP(O65,'Lookup Tables'!$B$319:$B$321,'Lookup Tables'!$F$319:$F$321,,0,1)*kW_to_kW,0)</f>
        <v>0</v>
      </c>
      <c r="AW65" s="407">
        <f t="shared" si="78"/>
        <v>0</v>
      </c>
      <c r="AX65" s="301">
        <f t="shared" si="61"/>
        <v>0.33</v>
      </c>
      <c r="AY65" s="260">
        <f t="shared" ca="1" si="62"/>
        <v>0</v>
      </c>
      <c r="AZ65" s="260">
        <f t="shared" ca="1" si="63"/>
        <v>0</v>
      </c>
      <c r="BA65" s="260">
        <f t="shared" ca="1" si="64"/>
        <v>0</v>
      </c>
      <c r="BB65" s="302">
        <f>IF(Q65&gt;0,Q65*_xlfn.XLOOKUP(R65,'Lookup Tables'!$B$206:$B$217,'Lookup Tables'!$F$206:$F$217,,0,1),0)*E3m3_per_d_to_E3m3_per_d</f>
        <v>0</v>
      </c>
      <c r="BC65" s="260">
        <f t="shared" si="65"/>
        <v>0</v>
      </c>
      <c r="BD65" s="422">
        <f>IF(S65&gt;0,S65*_xlfn.XLOOKUP(U65,'Lookup Tables'!$B$259:$B$262,'Lookup Tables'!$F$259:$F$262,,0,1),0)*kPa_to_kPa</f>
        <v>0</v>
      </c>
      <c r="BE65" s="422" t="str">
        <f t="shared" si="79"/>
        <v/>
      </c>
      <c r="BF65" s="422">
        <f>IF(T65&gt;0,T65*_xlfn.XLOOKUP(U65,'Lookup Tables'!$B$259:$B$262,'Lookup Tables'!$F$259:$F$262,,0,1),0)*kPa_to_kPa</f>
        <v>0</v>
      </c>
      <c r="BG65" s="292">
        <f t="shared" si="66"/>
        <v>1</v>
      </c>
      <c r="BH65" s="237">
        <f t="shared" si="80"/>
        <v>1</v>
      </c>
      <c r="BI65" s="237">
        <f t="shared" si="80"/>
        <v>0.85</v>
      </c>
      <c r="BJ65" s="423">
        <f t="shared" ca="1" si="67"/>
        <v>1.5076142131979697</v>
      </c>
      <c r="BK65" s="292">
        <f t="shared" ca="1" si="68"/>
        <v>2.9699999999999993</v>
      </c>
      <c r="BL65" s="892"/>
      <c r="BM65" s="301">
        <f t="shared" ca="1" si="69"/>
        <v>0.72</v>
      </c>
      <c r="BN65" s="424">
        <f t="shared" si="70"/>
        <v>0</v>
      </c>
      <c r="BO65" s="424">
        <f t="shared" ca="1" si="71"/>
        <v>0</v>
      </c>
      <c r="BP65" s="424">
        <v>1.2</v>
      </c>
      <c r="BQ65" s="424">
        <f t="shared" ca="1" si="81"/>
        <v>0</v>
      </c>
      <c r="BR65" s="260">
        <f t="shared" ca="1" si="72"/>
        <v>0</v>
      </c>
      <c r="BS65" s="260">
        <f t="shared" ca="1" si="73"/>
        <v>0</v>
      </c>
      <c r="BT65" s="260">
        <f t="shared" ca="1" si="82"/>
        <v>0</v>
      </c>
      <c r="BV65" s="358">
        <v>1</v>
      </c>
      <c r="BW65" s="358">
        <v>1</v>
      </c>
      <c r="BX65" s="358">
        <v>0</v>
      </c>
      <c r="BY65" s="358" cm="1">
        <f t="array" ref="BY65">IF(BW65=1,1,_xlfn.SINGLE(IF(BX65&gt;(COUNTA(_DR62)-COUNTIF(_DR62,0)+1),COUNTA(_DR62)-COUNTIF(_DR62,0)+1,BX65)))</f>
        <v>1</v>
      </c>
    </row>
    <row r="66" spans="1:77" x14ac:dyDescent="0.35">
      <c r="A66" s="382">
        <f t="array" ref="A66">INDEX(EngineType,BV66)</f>
        <v>0</v>
      </c>
      <c r="B66" s="383"/>
      <c r="C66" s="222"/>
      <c r="D66" s="382">
        <f t="array" ref="D66">INDEX(FuelCategory_v2,BW66)</f>
        <v>0</v>
      </c>
      <c r="E66" s="299" t="str">
        <f t="array" ref="E66">INDEX(_DR63,BY66)</f>
        <v xml:space="preserve"> </v>
      </c>
      <c r="F66" s="384"/>
      <c r="G66" s="293" t="str">
        <f>IFERROR(IF($D66=0,"",IF($D66=Liquid,BA66/_xlfn.XLOOKUP($J66,'Lookup Tables'!$C$173:$C$180,'Lookup Tables'!$G$173:$G$180,,0,1),IF($D66=Gaseous,BA66/_xlfn.XLOOKUP($J66,'Lookup Tables'!$D$173:$D$180,'Lookup Tables'!$H$173:$H$180,,0,1)))),"")</f>
        <v/>
      </c>
      <c r="H66" s="293" t="str">
        <f>IFERROR(IF($D66=0,"",IF($D66=Liquid,BT66/_xlfn.XLOOKUP($J66,'Lookup Tables'!$C$173:$C$180,'Lookup Tables'!$G$173:$G$180,,0,1),IF($D66=Gaseous,BT66/_xlfn.XLOOKUP($J66,'Lookup Tables'!$D$173:$D$180,'Lookup Tables'!$H$173:$H$180,,0,1)))),"")</f>
        <v/>
      </c>
      <c r="I66" s="421" t="str">
        <f t="shared" si="51"/>
        <v/>
      </c>
      <c r="J66" s="371"/>
      <c r="K66" s="304"/>
      <c r="L66" s="306"/>
      <c r="M66" s="381">
        <v>1</v>
      </c>
      <c r="N66" s="291"/>
      <c r="O66" s="371"/>
      <c r="P66" s="306"/>
      <c r="Q66" s="291"/>
      <c r="R66" s="225"/>
      <c r="S66" s="305"/>
      <c r="T66" s="305"/>
      <c r="U66" s="225"/>
      <c r="V66" s="305"/>
      <c r="W66" s="225"/>
      <c r="X66" s="848" t="str">
        <f t="shared" ca="1" si="52"/>
        <v/>
      </c>
      <c r="Y66" s="849"/>
      <c r="Z66" s="850"/>
      <c r="AB66" s="237" t="str">
        <f t="shared" si="74"/>
        <v/>
      </c>
      <c r="AC66" s="407" t="str">
        <f t="shared" si="75"/>
        <v xml:space="preserve"> </v>
      </c>
      <c r="AD66" s="292" t="str">
        <f>IF(ISTEXT($D66),IF($D66=Liquid,B66*F66*_xlfn.XLOOKUP($J66,'Lookup Tables'!$C$173:$C$180,'Lookup Tables'!$G$173:$G$180,,0,1),IF($D66=Gaseous,B66*F66*_xlfn.XLOOKUP($J66,'Lookup Tables'!$D$173:$D$180,'Lookup Tables'!$H$173:$H$180,,0,1))),"")</f>
        <v/>
      </c>
      <c r="AE66" s="292">
        <f t="shared" si="76"/>
        <v>0</v>
      </c>
      <c r="AF66" s="292" t="str">
        <f>IF(ISTEXT($D66),IF($D66=Liquid,B66*I66*_xlfn.XLOOKUP($J66,'Lookup Tables'!$C$173:$C$180,'Lookup Tables'!$G$173:$G$180,,0,1),IF($D66=Gaseous,B66*I66*_xlfn.XLOOKUP($J66,'Lookup Tables'!$D$173:$D$180,'Lookup Tables'!$H$173:$H$180,,0,1))),"")</f>
        <v/>
      </c>
      <c r="AG66" s="409" t="str">
        <f t="shared" ca="1" si="53"/>
        <v/>
      </c>
      <c r="AH66" s="292">
        <f t="shared" si="54"/>
        <v>0</v>
      </c>
      <c r="AI66" s="300" t="str">
        <f t="shared" ca="1" si="55"/>
        <v/>
      </c>
      <c r="AM66" s="301">
        <f t="shared" si="56"/>
        <v>1</v>
      </c>
      <c r="AN66" s="301">
        <f t="shared" si="77"/>
        <v>1</v>
      </c>
      <c r="AO66" s="300" t="str">
        <f t="shared" si="57"/>
        <v>---</v>
      </c>
      <c r="AP66" s="300" t="str">
        <f t="shared" si="58"/>
        <v xml:space="preserve"> </v>
      </c>
      <c r="AQ66" s="260" t="str">
        <f ca="1">IF($AO66=Liquid,_xlfn.XLOOKUP($AP66,'Calculations - Combustion'!$B$20:$B$29,'Calculations - Combustion'!$D$20:$D$29,FALSE,0,1),IF($AO66=Gaseous,FuelGas_HHV,""))</f>
        <v/>
      </c>
      <c r="AR66" s="300" t="str">
        <f t="shared" ca="1" si="59"/>
        <v/>
      </c>
      <c r="AS66" s="237" t="str">
        <f ca="1">IF($AO66=Liquid,_xlfn.XLOOKUP($AP66,'Calculations - Combustion'!$B$20:$B$29,'Calculations - Combustion'!$G$20:$G$29,FALSE,0,1),IF($AO66=Gaseous,FuelGas_LHV,""))</f>
        <v/>
      </c>
      <c r="AT66" s="300" t="str">
        <f t="shared" ca="1" si="60"/>
        <v/>
      </c>
      <c r="AU66" s="410" t="str">
        <f ca="1">IF($AO66=Liquid,_xlfn.XLOOKUP($AP66,'Calculations - Combustion'!$B$20:$B$29,'Calculations - Combustion'!$J$20:$J$29,FALSE,0,1),IF($AO66=Gaseous,density_FuelGas,""))</f>
        <v/>
      </c>
      <c r="AV66" s="407">
        <f>IF(ISNUMBER(N66),N66*_xlfn.XLOOKUP(O66,'Lookup Tables'!$B$319:$B$321,'Lookup Tables'!$F$319:$F$321,,0,1)*kW_to_kW,0)</f>
        <v>0</v>
      </c>
      <c r="AW66" s="407">
        <f t="shared" si="78"/>
        <v>0</v>
      </c>
      <c r="AX66" s="301">
        <f t="shared" si="61"/>
        <v>0.33</v>
      </c>
      <c r="AY66" s="260">
        <f t="shared" ca="1" si="62"/>
        <v>0</v>
      </c>
      <c r="AZ66" s="260">
        <f t="shared" ca="1" si="63"/>
        <v>0</v>
      </c>
      <c r="BA66" s="260">
        <f t="shared" ca="1" si="64"/>
        <v>0</v>
      </c>
      <c r="BB66" s="302">
        <f>IF(Q66&gt;0,Q66*_xlfn.XLOOKUP(R66,'Lookup Tables'!$B$206:$B$217,'Lookup Tables'!$F$206:$F$217,,0,1),0)*E3m3_per_d_to_E3m3_per_d</f>
        <v>0</v>
      </c>
      <c r="BC66" s="260">
        <f t="shared" si="65"/>
        <v>0</v>
      </c>
      <c r="BD66" s="422">
        <f>IF(S66&gt;0,S66*_xlfn.XLOOKUP(U66,'Lookup Tables'!$B$259:$B$262,'Lookup Tables'!$F$259:$F$262,,0,1),0)*kPa_to_kPa</f>
        <v>0</v>
      </c>
      <c r="BE66" s="422" t="str">
        <f t="shared" si="79"/>
        <v/>
      </c>
      <c r="BF66" s="422">
        <f>IF(T66&gt;0,T66*_xlfn.XLOOKUP(U66,'Lookup Tables'!$B$259:$B$262,'Lookup Tables'!$F$259:$F$262,,0,1),0)*kPa_to_kPa</f>
        <v>0</v>
      </c>
      <c r="BG66" s="292">
        <f t="shared" si="66"/>
        <v>1</v>
      </c>
      <c r="BH66" s="237">
        <f t="shared" si="80"/>
        <v>1</v>
      </c>
      <c r="BI66" s="237">
        <f t="shared" si="80"/>
        <v>0.85</v>
      </c>
      <c r="BJ66" s="423">
        <f t="shared" ca="1" si="67"/>
        <v>1.5076142131979697</v>
      </c>
      <c r="BK66" s="292">
        <f t="shared" ca="1" si="68"/>
        <v>2.9699999999999993</v>
      </c>
      <c r="BL66" s="892"/>
      <c r="BM66" s="301">
        <f t="shared" ca="1" si="69"/>
        <v>0.72</v>
      </c>
      <c r="BN66" s="424">
        <f t="shared" si="70"/>
        <v>0</v>
      </c>
      <c r="BO66" s="424">
        <f t="shared" ca="1" si="71"/>
        <v>0</v>
      </c>
      <c r="BP66" s="424">
        <v>1.2</v>
      </c>
      <c r="BQ66" s="424">
        <f t="shared" ca="1" si="81"/>
        <v>0</v>
      </c>
      <c r="BR66" s="260">
        <f t="shared" ca="1" si="72"/>
        <v>0</v>
      </c>
      <c r="BS66" s="260">
        <f t="shared" ca="1" si="73"/>
        <v>0</v>
      </c>
      <c r="BT66" s="260">
        <f t="shared" ca="1" si="82"/>
        <v>0</v>
      </c>
      <c r="BV66" s="358">
        <v>1</v>
      </c>
      <c r="BW66" s="358">
        <v>1</v>
      </c>
      <c r="BX66" s="358">
        <v>0</v>
      </c>
      <c r="BY66" s="358" cm="1">
        <f t="array" ref="BY66">IF(BW66=1,1,_xlfn.SINGLE(IF(BX66&gt;(COUNTA(_DR63)-COUNTIF(_DR63,0)+1),COUNTA(_DR63)-COUNTIF(_DR63,0)+1,BX66)))</f>
        <v>1</v>
      </c>
    </row>
    <row r="67" spans="1:77" x14ac:dyDescent="0.35">
      <c r="A67" s="382">
        <f t="array" ref="A67">INDEX(EngineType,BV67)</f>
        <v>0</v>
      </c>
      <c r="B67" s="383"/>
      <c r="C67" s="222"/>
      <c r="D67" s="382">
        <f t="array" ref="D67">INDEX(FuelCategory_v2,BW67)</f>
        <v>0</v>
      </c>
      <c r="E67" s="299" t="str">
        <f t="array" ref="E67">INDEX(_DR64,BY67)</f>
        <v xml:space="preserve"> </v>
      </c>
      <c r="F67" s="384"/>
      <c r="G67" s="292" t="str">
        <f>IFERROR(IF($D67=0,"",IF($D67=Liquid,BA67/_xlfn.XLOOKUP($J67,'Lookup Tables'!$C$173:$C$180,'Lookup Tables'!$G$173:$G$180,,0,1),IF($D67=Gaseous,BA67/_xlfn.XLOOKUP($J67,'Lookup Tables'!$D$173:$D$180,'Lookup Tables'!$H$173:$H$180,,0,1)))),"")</f>
        <v/>
      </c>
      <c r="H67" s="292" t="str">
        <f>IFERROR(IF($D67=0,"",IF($D67=Liquid,BT67/_xlfn.XLOOKUP($J67,'Lookup Tables'!$C$173:$C$180,'Lookup Tables'!$G$173:$G$180,,0,1),IF($D67=Gaseous,BT67/_xlfn.XLOOKUP($J67,'Lookup Tables'!$D$173:$D$180,'Lookup Tables'!$H$173:$H$180,,0,1)))),"")</f>
        <v/>
      </c>
      <c r="I67" s="604" t="str">
        <f t="shared" si="51"/>
        <v/>
      </c>
      <c r="J67" s="371"/>
      <c r="K67" s="304"/>
      <c r="L67" s="306"/>
      <c r="M67" s="381">
        <v>1</v>
      </c>
      <c r="N67" s="291"/>
      <c r="O67" s="371"/>
      <c r="P67" s="306"/>
      <c r="Q67" s="291"/>
      <c r="R67" s="225"/>
      <c r="S67" s="305"/>
      <c r="T67" s="305"/>
      <c r="U67" s="225"/>
      <c r="V67" s="305"/>
      <c r="W67" s="225"/>
      <c r="X67" s="845" t="str">
        <f t="shared" ca="1" si="52"/>
        <v/>
      </c>
      <c r="Y67" s="846"/>
      <c r="Z67" s="847"/>
      <c r="AB67" s="237" t="str">
        <f t="shared" si="74"/>
        <v/>
      </c>
      <c r="AC67" s="407" t="str">
        <f t="shared" si="75"/>
        <v xml:space="preserve"> </v>
      </c>
      <c r="AD67" s="292" t="str">
        <f>IF(ISTEXT($D67),IF($D67=Liquid,B67*F67*_xlfn.XLOOKUP($J67,'Lookup Tables'!$C$173:$C$180,'Lookup Tables'!$G$173:$G$180,,0,1),IF($D67=Gaseous,B67*F67*_xlfn.XLOOKUP($J67,'Lookup Tables'!$D$173:$D$180,'Lookup Tables'!$H$173:$H$180,,0,1))),"")</f>
        <v/>
      </c>
      <c r="AE67" s="292">
        <f t="shared" si="76"/>
        <v>0</v>
      </c>
      <c r="AF67" s="292" t="str">
        <f>IF(ISTEXT($D67),IF($D67=Liquid,B67*I67*_xlfn.XLOOKUP($J67,'Lookup Tables'!$C$173:$C$180,'Lookup Tables'!$G$173:$G$180,,0,1),IF($D67=Gaseous,B67*I67*_xlfn.XLOOKUP($J67,'Lookup Tables'!$D$173:$D$180,'Lookup Tables'!$H$173:$H$180,,0,1))),"")</f>
        <v/>
      </c>
      <c r="AG67" s="409" t="str">
        <f t="shared" ca="1" si="53"/>
        <v/>
      </c>
      <c r="AH67" s="292">
        <f t="shared" si="54"/>
        <v>0</v>
      </c>
      <c r="AI67" s="300" t="str">
        <f t="shared" ca="1" si="55"/>
        <v/>
      </c>
      <c r="AM67" s="301">
        <f t="shared" si="56"/>
        <v>1</v>
      </c>
      <c r="AN67" s="301">
        <f t="shared" si="77"/>
        <v>1</v>
      </c>
      <c r="AO67" s="300" t="str">
        <f t="shared" si="57"/>
        <v>---</v>
      </c>
      <c r="AP67" s="300" t="str">
        <f t="shared" si="58"/>
        <v xml:space="preserve"> </v>
      </c>
      <c r="AQ67" s="260" t="str">
        <f ca="1">IF($AO67=Liquid,_xlfn.XLOOKUP($AP67,'Calculations - Combustion'!$B$20:$B$29,'Calculations - Combustion'!$D$20:$D$29,FALSE,0,1),IF($AO67=Gaseous,FuelGas_HHV,""))</f>
        <v/>
      </c>
      <c r="AR67" s="300" t="str">
        <f t="shared" ca="1" si="59"/>
        <v/>
      </c>
      <c r="AS67" s="237" t="str">
        <f ca="1">IF($AO67=Liquid,_xlfn.XLOOKUP($AP67,'Calculations - Combustion'!$B$20:$B$29,'Calculations - Combustion'!$G$20:$G$29,FALSE,0,1),IF($AO67=Gaseous,FuelGas_LHV,""))</f>
        <v/>
      </c>
      <c r="AT67" s="300" t="str">
        <f t="shared" ca="1" si="60"/>
        <v/>
      </c>
      <c r="AU67" s="410" t="str">
        <f ca="1">IF($AO67=Liquid,_xlfn.XLOOKUP($AP67,'Calculations - Combustion'!$B$20:$B$29,'Calculations - Combustion'!$J$20:$J$29,FALSE,0,1),IF($AO67=Gaseous,density_FuelGas,""))</f>
        <v/>
      </c>
      <c r="AV67" s="407">
        <f>IF(ISNUMBER(N67),N67*_xlfn.XLOOKUP(O67,'Lookup Tables'!$B$319:$B$321,'Lookup Tables'!$F$319:$F$321,,0,1)*kW_to_kW,0)</f>
        <v>0</v>
      </c>
      <c r="AW67" s="407">
        <f t="shared" si="78"/>
        <v>0</v>
      </c>
      <c r="AX67" s="301">
        <f t="shared" si="61"/>
        <v>0.33</v>
      </c>
      <c r="AY67" s="260">
        <f t="shared" ca="1" si="62"/>
        <v>0</v>
      </c>
      <c r="AZ67" s="260">
        <f t="shared" ca="1" si="63"/>
        <v>0</v>
      </c>
      <c r="BA67" s="260">
        <f t="shared" ca="1" si="64"/>
        <v>0</v>
      </c>
      <c r="BB67" s="302">
        <f>IF(Q67&gt;0,Q67*_xlfn.XLOOKUP(R67,'Lookup Tables'!$B$206:$B$217,'Lookup Tables'!$F$206:$F$217,,0,1),0)*E3m3_per_d_to_E3m3_per_d</f>
        <v>0</v>
      </c>
      <c r="BC67" s="260">
        <f t="shared" si="65"/>
        <v>0</v>
      </c>
      <c r="BD67" s="422">
        <f>IF(S67&gt;0,S67*_xlfn.XLOOKUP(U67,'Lookup Tables'!$B$259:$B$262,'Lookup Tables'!$F$259:$F$262,,0,1),0)*kPa_to_kPa</f>
        <v>0</v>
      </c>
      <c r="BE67" s="422" t="str">
        <f t="shared" si="79"/>
        <v/>
      </c>
      <c r="BF67" s="422">
        <f>IF(T67&gt;0,T67*_xlfn.XLOOKUP(U67,'Lookup Tables'!$B$259:$B$262,'Lookup Tables'!$F$259:$F$262,,0,1),0)*kPa_to_kPa</f>
        <v>0</v>
      </c>
      <c r="BG67" s="292">
        <f t="shared" si="66"/>
        <v>1</v>
      </c>
      <c r="BH67" s="237">
        <f t="shared" si="80"/>
        <v>1</v>
      </c>
      <c r="BI67" s="237">
        <f t="shared" si="80"/>
        <v>0.85</v>
      </c>
      <c r="BJ67" s="423">
        <f t="shared" ca="1" si="67"/>
        <v>1.5076142131979697</v>
      </c>
      <c r="BK67" s="292">
        <f t="shared" ca="1" si="68"/>
        <v>2.9699999999999993</v>
      </c>
      <c r="BL67" s="872"/>
      <c r="BM67" s="301">
        <f t="shared" ca="1" si="69"/>
        <v>0.72</v>
      </c>
      <c r="BN67" s="424">
        <f t="shared" si="70"/>
        <v>0</v>
      </c>
      <c r="BO67" s="424">
        <f t="shared" ca="1" si="71"/>
        <v>0</v>
      </c>
      <c r="BP67" s="424">
        <v>1.2</v>
      </c>
      <c r="BQ67" s="424">
        <f t="shared" ca="1" si="81"/>
        <v>0</v>
      </c>
      <c r="BR67" s="260">
        <f t="shared" ca="1" si="72"/>
        <v>0</v>
      </c>
      <c r="BS67" s="260">
        <f t="shared" ca="1" si="73"/>
        <v>0</v>
      </c>
      <c r="BT67" s="260">
        <f t="shared" ca="1" si="82"/>
        <v>0</v>
      </c>
      <c r="BV67" s="358">
        <v>1</v>
      </c>
      <c r="BW67" s="358">
        <v>1</v>
      </c>
      <c r="BX67" s="358">
        <v>0</v>
      </c>
      <c r="BY67" s="358" cm="1">
        <f t="array" ref="BY67">IF(BW67=1,1,_xlfn.SINGLE(IF(BX67&gt;(COUNTA(_DR64)-COUNTIF(_DR64,0)+1),COUNTA(_DR64)-COUNTIF(_DR64,0)+1,BX67)))</f>
        <v>1</v>
      </c>
    </row>
    <row r="68" spans="1:77" x14ac:dyDescent="0.35">
      <c r="AM68" s="411">
        <v>1</v>
      </c>
      <c r="AN68" s="411">
        <v>1</v>
      </c>
      <c r="AO68" s="257" t="s">
        <v>2920</v>
      </c>
      <c r="AX68" s="411">
        <v>0.33</v>
      </c>
      <c r="AY68" s="257" t="s">
        <v>2901</v>
      </c>
      <c r="BD68" s="425">
        <v>20</v>
      </c>
      <c r="BE68" s="257" t="s">
        <v>2901</v>
      </c>
      <c r="BG68" s="257" t="s">
        <v>2932</v>
      </c>
      <c r="BH68" s="425">
        <v>1</v>
      </c>
      <c r="BI68" s="425">
        <v>0.85</v>
      </c>
      <c r="BL68" s="257" t="s">
        <v>2932</v>
      </c>
      <c r="BM68" s="411">
        <v>0.75</v>
      </c>
      <c r="BN68" s="257" t="s">
        <v>2933</v>
      </c>
    </row>
    <row r="69" spans="1:77" ht="12.75" customHeight="1" x14ac:dyDescent="0.35">
      <c r="AD69" s="607"/>
      <c r="AE69" s="412"/>
      <c r="BM69" s="411">
        <v>0.72</v>
      </c>
      <c r="BN69" s="257" t="s">
        <v>2935</v>
      </c>
    </row>
    <row r="70" spans="1:77" ht="22.5" x14ac:dyDescent="0.45">
      <c r="A70" s="798" t="str">
        <f ca="1">'Translation Table'!H3148</f>
        <v>Generator Engines</v>
      </c>
      <c r="B70" s="798"/>
      <c r="C70" s="798"/>
      <c r="AB70" s="102" t="s">
        <v>3112</v>
      </c>
      <c r="AD70" s="412">
        <f>J77</f>
        <v>0</v>
      </c>
      <c r="AM70" s="102" t="s">
        <v>2876</v>
      </c>
      <c r="BM70" s="411">
        <v>0.75</v>
      </c>
      <c r="BN70" s="257" t="s">
        <v>2934</v>
      </c>
    </row>
    <row r="71" spans="1:77" ht="18" customHeight="1" x14ac:dyDescent="0.35">
      <c r="A71" s="102"/>
      <c r="AM71" s="102"/>
      <c r="BM71" s="411">
        <v>0.72</v>
      </c>
      <c r="BN71" s="257" t="s">
        <v>3167</v>
      </c>
    </row>
    <row r="72" spans="1:77" ht="15.75" customHeight="1" x14ac:dyDescent="0.35">
      <c r="A72" s="810" t="str">
        <f ca="1">'Translation Table'!H3104</f>
        <v>Source Type</v>
      </c>
      <c r="B72" s="750" t="str">
        <f ca="1">'Translation Table'!H3105</f>
        <v>Quantity</v>
      </c>
      <c r="C72" s="750" t="str">
        <f ca="1">'Translation Table'!H3106</f>
        <v>Description</v>
      </c>
      <c r="D72" s="755" t="str">
        <f ca="1">'Translation Table'!H3107</f>
        <v>Fuel Type</v>
      </c>
      <c r="E72" s="781"/>
      <c r="F72" s="755" t="str">
        <f ca="1">'Translation Table'!H3110</f>
        <v>Fuel Consumption (Per unit)</v>
      </c>
      <c r="G72" s="814"/>
      <c r="H72" s="814"/>
      <c r="I72" s="814"/>
      <c r="J72" s="815"/>
      <c r="K72" s="867" t="str">
        <f ca="1">'Translation Table'!H3129</f>
        <v>Engine Operating Hours and Performance</v>
      </c>
      <c r="L72" s="814"/>
      <c r="M72" s="815"/>
      <c r="N72" s="852" t="str">
        <f ca="1">'Translation Table'!H3130</f>
        <v>Method 1 Input Data (Engine Size &amp; Loading)</v>
      </c>
      <c r="O72" s="814"/>
      <c r="P72" s="815"/>
      <c r="Q72" s="852" t="str">
        <f ca="1">'Translation Table'!H3146</f>
        <v>Method 2 Input Data (Electricity Generated)</v>
      </c>
      <c r="R72" s="815"/>
      <c r="S72" s="802" t="str">
        <f ca="1">'Translation Table'!H3127</f>
        <v>Error Messages</v>
      </c>
      <c r="T72" s="802"/>
      <c r="U72" s="802"/>
      <c r="V72" s="802"/>
      <c r="W72" s="802"/>
      <c r="AM72" s="874" t="s">
        <v>2954</v>
      </c>
      <c r="AN72" s="875"/>
      <c r="AO72" s="874" t="s">
        <v>2973</v>
      </c>
      <c r="AP72" s="875"/>
      <c r="AQ72" s="875"/>
      <c r="AR72" s="875"/>
      <c r="AS72" s="875"/>
      <c r="AT72" s="875"/>
      <c r="AU72" s="876"/>
      <c r="AV72" s="874" t="s">
        <v>2889</v>
      </c>
      <c r="AW72" s="875"/>
      <c r="AX72" s="876"/>
      <c r="AY72" s="881" t="s">
        <v>2921</v>
      </c>
      <c r="AZ72" s="882"/>
      <c r="BA72" s="882"/>
      <c r="BB72" s="871" t="s">
        <v>3066</v>
      </c>
      <c r="BC72" s="881" t="s">
        <v>2922</v>
      </c>
      <c r="BD72" s="882"/>
      <c r="BE72" s="882"/>
      <c r="BF72" s="401"/>
    </row>
    <row r="73" spans="1:77" ht="15" customHeight="1" x14ac:dyDescent="0.35">
      <c r="A73" s="811"/>
      <c r="B73" s="819"/>
      <c r="C73" s="813"/>
      <c r="D73" s="810" t="str">
        <f ca="1">'Translation Table'!H3108</f>
        <v>Category</v>
      </c>
      <c r="E73" s="810" t="str">
        <f ca="1">'Translation Table'!H3109</f>
        <v>Subcategory</v>
      </c>
      <c r="F73" s="823" t="str">
        <f ca="1">'Translation Table'!H3111</f>
        <v>Measured or Reported Value</v>
      </c>
      <c r="G73" s="816" t="str">
        <f ca="1">'Translation Table'!H3113</f>
        <v>Estimated Value</v>
      </c>
      <c r="H73" s="817"/>
      <c r="I73" s="818" t="str">
        <f ca="1">'Translation Table'!H3115</f>
        <v>Value Used</v>
      </c>
      <c r="J73" s="806" t="str">
        <f ca="1">'Translation Table'!H3116</f>
        <v>Units of Measure</v>
      </c>
      <c r="K73" s="806" t="str">
        <f ca="1">'Translation Table'!H3118</f>
        <v>Annual Operating Hours (Optional)</v>
      </c>
      <c r="L73" s="868" t="str">
        <f ca="1">'Translation Table'!H3132</f>
        <v>Engine Thermal Efficiency</v>
      </c>
      <c r="M73" s="803"/>
      <c r="N73" s="851" t="str">
        <f ca="1">'Translation Table'!H3136</f>
        <v>Maximum Rated Power Output of Engine</v>
      </c>
      <c r="O73" s="803"/>
      <c r="P73" s="818" t="str">
        <f ca="1">'Translation Table'!H3119</f>
        <v>Load Factor (%)</v>
      </c>
      <c r="Q73" s="838" t="str">
        <f ca="1">'Translation Table'!H3147</f>
        <v>Electricity Produced</v>
      </c>
      <c r="R73" s="823" t="str">
        <f ca="1">'Translation Table'!H3138</f>
        <v>Units of Measure</v>
      </c>
      <c r="S73" s="802"/>
      <c r="T73" s="802"/>
      <c r="U73" s="802"/>
      <c r="V73" s="802"/>
      <c r="W73" s="802"/>
      <c r="AB73" s="877" t="s">
        <v>2880</v>
      </c>
      <c r="AC73" s="884"/>
      <c r="AD73" s="877" t="s">
        <v>3050</v>
      </c>
      <c r="AE73" s="878"/>
      <c r="AF73" s="878"/>
      <c r="AG73" s="878"/>
      <c r="AH73" s="878"/>
      <c r="AI73" s="776"/>
      <c r="AM73" s="871" t="s">
        <v>2890</v>
      </c>
      <c r="AN73" s="871" t="s">
        <v>2885</v>
      </c>
      <c r="AO73" s="874" t="s">
        <v>2</v>
      </c>
      <c r="AP73" s="879"/>
      <c r="AQ73" s="874" t="s">
        <v>2881</v>
      </c>
      <c r="AR73" s="879"/>
      <c r="AS73" s="874" t="s">
        <v>2882</v>
      </c>
      <c r="AT73" s="879"/>
      <c r="AU73" s="404" t="s">
        <v>628</v>
      </c>
      <c r="AV73" s="871" t="s">
        <v>2891</v>
      </c>
      <c r="AW73" s="871" t="s">
        <v>3165</v>
      </c>
      <c r="AX73" s="871" t="s">
        <v>2884</v>
      </c>
      <c r="AY73" s="881" t="s">
        <v>2448</v>
      </c>
      <c r="AZ73" s="881" t="s">
        <v>2439</v>
      </c>
      <c r="BA73" s="881" t="s">
        <v>2443</v>
      </c>
      <c r="BB73" s="891"/>
      <c r="BC73" s="881" t="s">
        <v>2448</v>
      </c>
      <c r="BD73" s="881" t="s">
        <v>2439</v>
      </c>
      <c r="BE73" s="881" t="s">
        <v>2443</v>
      </c>
    </row>
    <row r="74" spans="1:77" ht="15.75" customHeight="1" x14ac:dyDescent="0.35">
      <c r="A74" s="811"/>
      <c r="B74" s="819"/>
      <c r="C74" s="813"/>
      <c r="D74" s="811"/>
      <c r="E74" s="811"/>
      <c r="F74" s="824"/>
      <c r="G74" s="415" t="str">
        <f ca="1">'Translation Table'!H3144</f>
        <v>Method 1</v>
      </c>
      <c r="H74" s="415" t="str">
        <f ca="1">'Translation Table'!H3145</f>
        <v>Method 2</v>
      </c>
      <c r="I74" s="819"/>
      <c r="J74" s="825"/>
      <c r="K74" s="825"/>
      <c r="L74" s="416" t="str">
        <f ca="1">'Translation Table'!H3133</f>
        <v>Value (%)</v>
      </c>
      <c r="M74" s="413" t="str">
        <f ca="1">'Translation Table'!H3134</f>
        <v>Basis</v>
      </c>
      <c r="N74" s="869" t="str">
        <f ca="1">'Translation Table'!H3137</f>
        <v>Value</v>
      </c>
      <c r="O74" s="823" t="str">
        <f ca="1">'Translation Table'!H3138</f>
        <v>Units of Measure</v>
      </c>
      <c r="P74" s="886"/>
      <c r="Q74" s="819"/>
      <c r="R74" s="885"/>
      <c r="S74" s="802"/>
      <c r="T74" s="802"/>
      <c r="U74" s="802"/>
      <c r="V74" s="802"/>
      <c r="W74" s="802"/>
      <c r="AB74" s="889" t="s">
        <v>2</v>
      </c>
      <c r="AC74" s="889" t="s">
        <v>3049</v>
      </c>
      <c r="AD74" s="871" t="s">
        <v>3115</v>
      </c>
      <c r="AE74" s="871" t="s">
        <v>3116</v>
      </c>
      <c r="AF74" s="871" t="s">
        <v>3117</v>
      </c>
      <c r="AG74" s="871" t="s">
        <v>3113</v>
      </c>
      <c r="AH74" s="871" t="s">
        <v>3111</v>
      </c>
      <c r="AI74" s="887" t="s">
        <v>3051</v>
      </c>
      <c r="AM74" s="892"/>
      <c r="AN74" s="872"/>
      <c r="AO74" s="871" t="s">
        <v>2769</v>
      </c>
      <c r="AP74" s="379" t="s">
        <v>46</v>
      </c>
      <c r="AQ74" s="871" t="s">
        <v>6</v>
      </c>
      <c r="AR74" s="871" t="s">
        <v>331</v>
      </c>
      <c r="AS74" s="871" t="s">
        <v>6</v>
      </c>
      <c r="AT74" s="871" t="s">
        <v>331</v>
      </c>
      <c r="AU74" s="871" t="s">
        <v>2853</v>
      </c>
      <c r="AV74" s="872"/>
      <c r="AW74" s="872"/>
      <c r="AX74" s="872"/>
      <c r="AY74" s="882"/>
      <c r="AZ74" s="882"/>
      <c r="BA74" s="883"/>
      <c r="BB74" s="873"/>
      <c r="BC74" s="882"/>
      <c r="BD74" s="882"/>
      <c r="BE74" s="883"/>
      <c r="BF74" s="278"/>
    </row>
    <row r="75" spans="1:77" ht="15.5" x14ac:dyDescent="0.35">
      <c r="A75" s="812"/>
      <c r="B75" s="820"/>
      <c r="C75" s="751"/>
      <c r="D75" s="812"/>
      <c r="E75" s="812"/>
      <c r="F75" s="378" t="str">
        <f ca="1">'Translation Table'!H3112</f>
        <v>(If Available)</v>
      </c>
      <c r="G75" s="406" t="str">
        <f ca="1">'Translation Table'!H3114</f>
        <v>(If Setup Completed)</v>
      </c>
      <c r="H75" s="406" t="str">
        <f ca="1">'Translation Table'!H3114</f>
        <v>(If Setup Completed)</v>
      </c>
      <c r="I75" s="820"/>
      <c r="J75" s="825"/>
      <c r="K75" s="825"/>
      <c r="L75" s="420" t="str">
        <f ca="1">'Translation Table'!H3135</f>
        <v>(Optional)</v>
      </c>
      <c r="M75" s="419" t="str">
        <f ca="1">'Translation Table'!H3135</f>
        <v>(Optional)</v>
      </c>
      <c r="N75" s="820"/>
      <c r="O75" s="839"/>
      <c r="P75" s="415" t="str">
        <f ca="1">'Translation Table'!H3120</f>
        <v>(Optional)</v>
      </c>
      <c r="Q75" s="820"/>
      <c r="R75" s="839"/>
      <c r="S75" s="802"/>
      <c r="T75" s="802"/>
      <c r="U75" s="802"/>
      <c r="V75" s="802"/>
      <c r="W75" s="802"/>
      <c r="AB75" s="890"/>
      <c r="AC75" s="890"/>
      <c r="AD75" s="872"/>
      <c r="AE75" s="873"/>
      <c r="AF75" s="873"/>
      <c r="AG75" s="873"/>
      <c r="AH75" s="872"/>
      <c r="AI75" s="888"/>
      <c r="AJ75" s="278"/>
      <c r="AK75" s="278"/>
      <c r="AM75" s="380" t="s">
        <v>2870</v>
      </c>
      <c r="AN75" s="380" t="s">
        <v>2870</v>
      </c>
      <c r="AO75" s="880"/>
      <c r="AP75" s="390"/>
      <c r="AQ75" s="880"/>
      <c r="AR75" s="880"/>
      <c r="AS75" s="880"/>
      <c r="AT75" s="880"/>
      <c r="AU75" s="872"/>
      <c r="AV75" s="380" t="s">
        <v>2874</v>
      </c>
      <c r="AW75" s="380" t="s">
        <v>2874</v>
      </c>
      <c r="AX75" s="380" t="s">
        <v>2870</v>
      </c>
      <c r="AY75" s="882"/>
      <c r="AZ75" s="882"/>
      <c r="BA75" s="883"/>
      <c r="BB75" s="426" t="s">
        <v>2770</v>
      </c>
      <c r="BC75" s="882"/>
      <c r="BD75" s="882"/>
      <c r="BE75" s="883"/>
      <c r="BF75" s="278"/>
    </row>
    <row r="76" spans="1:77" x14ac:dyDescent="0.35">
      <c r="A76" s="382">
        <f t="array" ref="A76">INDEX(EngineType,BV76)</f>
        <v>0</v>
      </c>
      <c r="B76" s="385"/>
      <c r="C76" s="222"/>
      <c r="D76" s="382">
        <f t="array" ref="D76">INDEX(FuelCategory_v2,BW76)</f>
        <v>0</v>
      </c>
      <c r="E76" s="299" t="str">
        <f t="array" ref="E76">INDEX(_DR73,BY76)</f>
        <v xml:space="preserve"> </v>
      </c>
      <c r="F76" s="384"/>
      <c r="G76" s="293" t="str">
        <f>IFERROR(IF(ISTEXT($D76),IF($D76=Liquid,BA76/_xlfn.XLOOKUP($J76,'Lookup Tables'!$C$173:$C$180,'Lookup Tables'!$G$173:$G$180,,0,1),IF($D76=Gaseous,BA76/_xlfn.XLOOKUP($J76,'Lookup Tables'!$D$173:$D$180,'Lookup Tables'!$H$173:$H$180,,0,1))),""),"")</f>
        <v/>
      </c>
      <c r="H76" s="293" t="str">
        <f>IFERROR(IF(ISTEXT($D76),IF($D76=Liquid,BE76/_xlfn.XLOOKUP($J76,'Lookup Tables'!$C$173:$C$180,'Lookup Tables'!$G$173:$G$180,,0,1),IF($D76=Gaseous,BE76/_xlfn.XLOOKUP($J76,'Lookup Tables'!$D$173:$D$180,'Lookup Tables'!$H$173:$H$180,,0,1))),""),"")</f>
        <v/>
      </c>
      <c r="I76" s="421" t="str">
        <f t="shared" ref="I76:I85" si="83">IF(N(F76)&gt;0,F76,IF(N(H76)&gt;0,H76,IF(N(G76)&gt;0,G76,"")))</f>
        <v/>
      </c>
      <c r="J76" s="371"/>
      <c r="K76" s="304"/>
      <c r="L76" s="306"/>
      <c r="M76" s="381">
        <v>1</v>
      </c>
      <c r="N76" s="291"/>
      <c r="O76" s="371"/>
      <c r="P76" s="306"/>
      <c r="Q76" s="291"/>
      <c r="R76" s="291"/>
      <c r="S76" s="796" t="str">
        <f t="shared" ref="S76:S85" ca="1" si="84">_xlfn.CONCAT(IF(AND(A76&lt;&gt;0,B76=""),LOOKUP("Err08",TblErrorMsg),""),IF(AND(D76&lt;&gt;0,E76=0),LOOKUP("Err09",TblErrorMsg),""),IF(AND(OR(A76&lt;&gt;0,D76&lt;&gt;0),J76=""),LOOKUP("Err11",TblErrorMsg),""),(IF(AND(A76=EngLiqFuel,D76=Gaseous),LOOKUP("Err12",TblErrorMsg),"")),(IF(AND(COUNTIF(GasEng,A76),D76=Liquid),LOOKUP("Err13",TblErrorMsg),"")))</f>
        <v/>
      </c>
      <c r="T76" s="796"/>
      <c r="U76" s="796"/>
      <c r="V76" s="796"/>
      <c r="W76" s="796"/>
      <c r="AB76" s="237" t="str">
        <f t="shared" ref="AB76:AB85" si="85">IF(ISTEXT(D76),D76,"")</f>
        <v/>
      </c>
      <c r="AC76" s="407" t="str">
        <f t="shared" ref="AC76:AC85" si="86">IF(ISTEXT(E76),E76,"")</f>
        <v xml:space="preserve"> </v>
      </c>
      <c r="AD76" s="292" t="str">
        <f>IF(ISTEXT($D76),IF($D76=Liquid,B76*F76*_xlfn.XLOOKUP($J76,'Lookup Tables'!$C$173:$C$180,'Lookup Tables'!$G$173:$G$180,,0,1),IF($D76=Gaseous,B76*F76*_xlfn.XLOOKUP($J76,'Lookup Tables'!$D$173:$D$180,'Lookup Tables'!$H$173:$H$180,,0,1))),"")</f>
        <v/>
      </c>
      <c r="AE76" s="292">
        <f>IF(AD76&gt;0,0,AF76)</f>
        <v>0</v>
      </c>
      <c r="AF76" s="292" t="str">
        <f>IF(ISTEXT($D76),IF($D76=Liquid,B76*I76*_xlfn.XLOOKUP($J76,'Lookup Tables'!$C$173:$C$180,'Lookup Tables'!$G$173:$G$180,,0,1),IF($D76=Gaseous,B76*I76*_xlfn.XLOOKUP($J76,'Lookup Tables'!$D$173:$D$180,'Lookup Tables'!$H$173:$H$180,,0,1))),"")</f>
        <v/>
      </c>
      <c r="AG76" s="409" t="str">
        <f ca="1">IF(AB76=Liquid,"m3/h",IF(AB76=Gaseous,"m3/h",""))</f>
        <v/>
      </c>
      <c r="AH76" s="292">
        <f t="shared" ref="AH76:AH85" si="87">IF(N(AF76)&gt;0,AF76*IF(AB76=Liquid,m3_per_h_to_m3_per_y,IF(AB76=Gaseous,m3_per_h_to_E3m3_per_y)),0)</f>
        <v>0</v>
      </c>
      <c r="AI76" s="300" t="str">
        <f t="shared" ref="AI76:AI85" ca="1" si="88">IF(AB76=Liquid,"m3/y",IF(AB76=Gaseous,"E3 m3/y",""))</f>
        <v/>
      </c>
      <c r="AM76" s="301">
        <f t="shared" ref="AM76:AM85" si="89">IF(N(K76)&gt;0,K76/y_to_h,AM$68)</f>
        <v>1</v>
      </c>
      <c r="AN76" s="301">
        <f t="shared" ref="AN76:AN85" si="90">IF(ISNUMBER(P76),P76,AN$86)</f>
        <v>1</v>
      </c>
      <c r="AO76" s="300" t="str">
        <f t="shared" ref="AO76:AO85" si="91">IF(ISTEXT(D76),D76,"---")</f>
        <v>---</v>
      </c>
      <c r="AP76" s="300" t="str">
        <f t="shared" ref="AP76:AP85" si="92">IF(ISTEXT(E76),E76,"---")</f>
        <v xml:space="preserve"> </v>
      </c>
      <c r="AQ76" s="260" t="str">
        <f ca="1">IF($AO76=Liquid,_xlfn.XLOOKUP($AP76,'Calculations - Combustion'!$B$20:$B$29,'Calculations - Combustion'!$D$20:$D$29,FALSE,0,1),IF($AO76=Gaseous,FuelGas_HHV,""))</f>
        <v/>
      </c>
      <c r="AR76" s="300" t="str">
        <f ca="1">IF(AO76=Liquid,"GJ/Tonne",IF(AO76=Gaseous,"MJ/m3",""))</f>
        <v/>
      </c>
      <c r="AS76" s="237" t="str">
        <f ca="1">IF($AO76=Liquid,_xlfn.XLOOKUP($AP76,'Calculations - Combustion'!$B$20:$B$29,'Calculations - Combustion'!$G$20:$G$29,FALSE,0,1),IF($AO76=Gaseous,FuelGas_LHV,""))</f>
        <v/>
      </c>
      <c r="AT76" s="300" t="str">
        <f t="shared" ref="AT76:AT85" ca="1" si="93">AR76</f>
        <v/>
      </c>
      <c r="AU76" s="410" t="str">
        <f ca="1">IF($AO76=Liquid,_xlfn.XLOOKUP($AP76,'Calculations - Combustion'!$B$20:$B$29,'Calculations - Combustion'!$J$20:$J$29,FALSE,0,1),IF($AO76=Gaseous,density_FuelGas,""))</f>
        <v/>
      </c>
      <c r="AV76" s="407">
        <f>IF(ISNUMBER(N76),N76*_xlfn.XLOOKUP(O76,'Lookup Tables'!$B$319:$B$321,'Lookup Tables'!$F$319:$F$321,,0,1)*kW_to_kW,0)</f>
        <v>0</v>
      </c>
      <c r="AW76" s="407">
        <f t="shared" ref="AW76:AW85" si="94">IF(ISNUMBER(AN76),AV76*AM76*AN76,0)</f>
        <v>0</v>
      </c>
      <c r="AX76" s="301">
        <f t="shared" ref="AX76:AX85" si="95">IF(ISNUMBER(L76),L76,AX$86)</f>
        <v>0.33</v>
      </c>
      <c r="AY76" s="260">
        <f ca="1">IF(AND(AW76&gt;0,OR(AO76=Gaseous,AO76=Liquid)),AW76/$AX76*kW_to_GJ_per_h*$AQ76/$AS76,0)</f>
        <v>0</v>
      </c>
      <c r="AZ76" s="260">
        <f t="shared" ref="AZ76:AZ85" ca="1" si="96">IF(AO76=Gaseous,AY76/AQ76*1000*AU76,IF(AO76=Liquid,AY76/AQ76*1000,0))</f>
        <v>0</v>
      </c>
      <c r="BA76" s="260">
        <f t="shared" ref="BA76:BA85" ca="1" si="97">IF(N(AU76)&gt;0,AZ76/AU76,0)</f>
        <v>0</v>
      </c>
      <c r="BB76" s="260">
        <f>IF(Q76&gt;0,Q76*_xlfn.XLOOKUP(R76,'Lookup Tables'!$B$295:$B$298,'Lookup Tables'!$F$295:$F$298,,0,1),0)*kW_to_kW</f>
        <v>0</v>
      </c>
      <c r="BC76" s="260">
        <f t="shared" ref="BC76:BC85" ca="1" si="98">IF(AND(BB76&gt;0,OR(AO76=Gaseous,AO76=Liquid)),BB76/AX76*kW_to_GJ_per_h*AQ76/AS76,0)</f>
        <v>0</v>
      </c>
      <c r="BD76" s="260">
        <f ca="1">IF(AO76=Gaseous,BC76/AQ76*1000*AU76,IF(AO76=Liquid,BC76/AQ76*1000,0))</f>
        <v>0</v>
      </c>
      <c r="BE76" s="260">
        <f ca="1">IF(N(AU76)&gt;0,BD76/AU76,0)</f>
        <v>0</v>
      </c>
      <c r="BG76" s="399"/>
      <c r="BV76" s="358">
        <v>1</v>
      </c>
      <c r="BW76" s="358">
        <v>1</v>
      </c>
      <c r="BX76" s="358">
        <v>5</v>
      </c>
      <c r="BY76" s="358" cm="1">
        <f t="array" ref="BY76">IF(BW76=1,1,_xlfn.SINGLE(IF(BX76&gt;(COUNTA(_DR73)-COUNTIF(_DR73,0)+1),COUNTA(_DR73)-COUNTIF(_DR73,0)+1,BX76)))</f>
        <v>1</v>
      </c>
    </row>
    <row r="77" spans="1:77" x14ac:dyDescent="0.35">
      <c r="A77" s="382">
        <f t="array" ref="A77">INDEX(EngineType,BV77)</f>
        <v>0</v>
      </c>
      <c r="B77" s="385"/>
      <c r="C77" s="222"/>
      <c r="D77" s="382">
        <f t="array" ref="D77">INDEX(FuelCategory_v2,BW77)</f>
        <v>0</v>
      </c>
      <c r="E77" s="299" t="str">
        <f t="array" ref="E77">INDEX(_DR74,BY77)</f>
        <v xml:space="preserve"> </v>
      </c>
      <c r="F77" s="384"/>
      <c r="G77" s="292" t="str">
        <f>IFERROR(IF(ISTEXT($D77),IF($D77=Liquid,BA77/_xlfn.XLOOKUP($J77,'Lookup Tables'!$C$173:$C$180,'Lookup Tables'!$G$173:$G$180,,0,1),IF($D77=Gaseous,BA77/_xlfn.XLOOKUP($J77,'Lookup Tables'!$D$173:$D$180,'Lookup Tables'!$H$173:$H$180,,0,1))),""),"")</f>
        <v/>
      </c>
      <c r="H77" s="292" t="str">
        <f>IFERROR(IF(ISTEXT($D77),IF($D77=Liquid,BE77/_xlfn.XLOOKUP($J77,'Lookup Tables'!$C$173:$C$180,'Lookup Tables'!$G$173:$G$180,,0,1),IF($D77=Gaseous,BE77/_xlfn.XLOOKUP($J77,'Lookup Tables'!$D$173:$D$180,'Lookup Tables'!$H$173:$H$180,,0,1))),""),"")</f>
        <v/>
      </c>
      <c r="I77" s="604" t="str">
        <f t="shared" si="83"/>
        <v/>
      </c>
      <c r="J77" s="371"/>
      <c r="K77" s="304"/>
      <c r="L77" s="306"/>
      <c r="M77" s="381">
        <v>1</v>
      </c>
      <c r="N77" s="291"/>
      <c r="O77" s="371"/>
      <c r="P77" s="306"/>
      <c r="Q77" s="291"/>
      <c r="R77" s="291"/>
      <c r="S77" s="797" t="str">
        <f t="shared" ca="1" si="84"/>
        <v/>
      </c>
      <c r="T77" s="797"/>
      <c r="U77" s="797"/>
      <c r="V77" s="797"/>
      <c r="W77" s="797"/>
      <c r="AB77" s="237" t="str">
        <f t="shared" si="85"/>
        <v/>
      </c>
      <c r="AC77" s="407" t="str">
        <f t="shared" si="86"/>
        <v xml:space="preserve"> </v>
      </c>
      <c r="AD77" s="292" t="str">
        <f>IF(ISTEXT($D77),IF($D77=Liquid,B77*F77*_xlfn.XLOOKUP($J77,'Lookup Tables'!$C$173:$C$180,'Lookup Tables'!$G$173:$G$180,,0,1),IF($D77=Gaseous,B77*F77*_xlfn.XLOOKUP($J77,'Lookup Tables'!$D$173:$D$180,'Lookup Tables'!$H$173:$H$180,,0,1))),"")</f>
        <v/>
      </c>
      <c r="AE77" s="292">
        <f t="shared" ref="AE77:AE85" si="99">IF(AD77&gt;0,0,AF77)</f>
        <v>0</v>
      </c>
      <c r="AF77" s="292" t="str">
        <f>IF(ISTEXT($D77),IF($D77=Liquid,B77*I77*_xlfn.XLOOKUP($J77,'Lookup Tables'!$C$173:$C$180,'Lookup Tables'!$G$173:$G$180,,0,1),IF($D77=Gaseous,B77*I77*_xlfn.XLOOKUP($J77,'Lookup Tables'!$D$173:$D$180,'Lookup Tables'!$H$173:$H$180,,0,1))),"")</f>
        <v/>
      </c>
      <c r="AG77" s="409" t="str">
        <f t="shared" ref="AG77:AG85" ca="1" si="100">IF(AB77=Liquid,"m3/h",IF(AB77=Gaseous,"m3/h",""))</f>
        <v/>
      </c>
      <c r="AH77" s="292">
        <f t="shared" si="87"/>
        <v>0</v>
      </c>
      <c r="AI77" s="300" t="str">
        <f t="shared" ca="1" si="88"/>
        <v/>
      </c>
      <c r="AM77" s="301">
        <f t="shared" si="89"/>
        <v>1</v>
      </c>
      <c r="AN77" s="301">
        <f t="shared" si="90"/>
        <v>1</v>
      </c>
      <c r="AO77" s="300" t="str">
        <f t="shared" si="91"/>
        <v>---</v>
      </c>
      <c r="AP77" s="300" t="str">
        <f t="shared" si="92"/>
        <v xml:space="preserve"> </v>
      </c>
      <c r="AQ77" s="260" t="str">
        <f ca="1">IF($AO77=Liquid,_xlfn.XLOOKUP($AP77,'Calculations - Combustion'!$B$20:$B$29,'Calculations - Combustion'!$D$20:$D$29,FALSE,0,1),IF($AO77=Gaseous,FuelGas_HHV,""))</f>
        <v/>
      </c>
      <c r="AR77" s="300" t="str">
        <f t="shared" ref="AR77:AR85" ca="1" si="101">IF(AO77=Liquid,"GJ/Tonne",IF(AO77=Gaseous,"MJ/m3",""))</f>
        <v/>
      </c>
      <c r="AS77" s="237" t="str">
        <f ca="1">IF($AO77=Liquid,_xlfn.XLOOKUP($AP77,'Calculations - Combustion'!$B$20:$B$29,'Calculations - Combustion'!$G$20:$G$29,FALSE,0,1),IF($AO77=Gaseous,FuelGas_LHV,""))</f>
        <v/>
      </c>
      <c r="AT77" s="300" t="str">
        <f t="shared" ca="1" si="93"/>
        <v/>
      </c>
      <c r="AU77" s="410" t="str">
        <f ca="1">IF($AO77=Liquid,_xlfn.XLOOKUP($AP77,'Calculations - Combustion'!$B$20:$B$29,'Calculations - Combustion'!$J$20:$J$29,FALSE,0,1),IF($AO77=Gaseous,density_FuelGas,""))</f>
        <v/>
      </c>
      <c r="AV77" s="407">
        <f>IF(ISNUMBER(N77),N77*_xlfn.XLOOKUP(O77,'Lookup Tables'!$B$319:$B$321,'Lookup Tables'!$F$319:$F$321,,0,1)*kW_to_kW,0)</f>
        <v>0</v>
      </c>
      <c r="AW77" s="407">
        <f t="shared" si="94"/>
        <v>0</v>
      </c>
      <c r="AX77" s="301">
        <f t="shared" si="95"/>
        <v>0.33</v>
      </c>
      <c r="AY77" s="260">
        <f t="shared" ref="AY77:AY85" ca="1" si="102">IF(AND(AW77&gt;0,OR(AO77=Gaseous,AO77=Liquid)),AW77/$AX77*kW_to_GJ_per_h*$AQ77/$AS77,0)</f>
        <v>0</v>
      </c>
      <c r="AZ77" s="260">
        <f t="shared" ca="1" si="96"/>
        <v>0</v>
      </c>
      <c r="BA77" s="260">
        <f t="shared" ca="1" si="97"/>
        <v>0</v>
      </c>
      <c r="BB77" s="260">
        <f>IF(Q77&gt;0,Q77*_xlfn.XLOOKUP(R77,'Lookup Tables'!$B$295:$B$298,'Lookup Tables'!$F$295:$F$298,,0,1),0)*kW_to_kW</f>
        <v>0</v>
      </c>
      <c r="BC77" s="260">
        <f t="shared" ca="1" si="98"/>
        <v>0</v>
      </c>
      <c r="BD77" s="260">
        <f ca="1">IF(AO77=Gaseous,BC77/AQ77*1000*AU77,IF(AO77=Liquid,BC77/AQ77*1000,0))</f>
        <v>0</v>
      </c>
      <c r="BE77" s="260">
        <f t="shared" ref="BE77:BE85" ca="1" si="103">IF(N(AU77)&gt;0,BD77/AU77,0)</f>
        <v>0</v>
      </c>
      <c r="BV77" s="358">
        <v>1</v>
      </c>
      <c r="BW77" s="358">
        <v>1</v>
      </c>
      <c r="BX77" s="358">
        <v>5</v>
      </c>
      <c r="BY77" s="358" cm="1">
        <f t="array" ref="BY77">IF(BW77=1,1,_xlfn.SINGLE(IF(BX77&gt;(COUNTA(_DR74)-COUNTIF(_DR74,0)+1),COUNTA(_DR74)-COUNTIF(_DR74,0)+1,BX77)))</f>
        <v>1</v>
      </c>
    </row>
    <row r="78" spans="1:77" x14ac:dyDescent="0.35">
      <c r="A78" s="382">
        <f t="array" ref="A78">INDEX(EngineType,BV78)</f>
        <v>0</v>
      </c>
      <c r="B78" s="385"/>
      <c r="C78" s="222"/>
      <c r="D78" s="382">
        <f t="array" ref="D78">INDEX(FuelCategory_v2,BW78)</f>
        <v>0</v>
      </c>
      <c r="E78" s="299" t="str">
        <f t="array" ref="E78">INDEX(_DR75,BY78)</f>
        <v xml:space="preserve"> </v>
      </c>
      <c r="F78" s="384"/>
      <c r="G78" s="293" t="str">
        <f>IFERROR(IF(ISTEXT($D78),IF($D78=Liquid,BA78/_xlfn.XLOOKUP($J78,'Lookup Tables'!$C$173:$C$180,'Lookup Tables'!$G$173:$G$180,,0,1),IF($D78=Gaseous,BA78/_xlfn.XLOOKUP($J78,'Lookup Tables'!$D$173:$D$180,'Lookup Tables'!$H$173:$H$180,,0,1))),""),"")</f>
        <v/>
      </c>
      <c r="H78" s="293" t="str">
        <f>IFERROR(IF(ISTEXT($D78),IF($D78=Liquid,BE78/_xlfn.XLOOKUP($J78,'Lookup Tables'!$C$173:$C$180,'Lookup Tables'!$G$173:$G$180,,0,1),IF($D78=Gaseous,BE78/_xlfn.XLOOKUP($J78,'Lookup Tables'!$D$173:$D$180,'Lookup Tables'!$H$173:$H$180,,0,1))),""),"")</f>
        <v/>
      </c>
      <c r="I78" s="421" t="str">
        <f t="shared" si="83"/>
        <v/>
      </c>
      <c r="J78" s="371"/>
      <c r="K78" s="304"/>
      <c r="L78" s="306"/>
      <c r="M78" s="381">
        <v>1</v>
      </c>
      <c r="N78" s="291"/>
      <c r="O78" s="371"/>
      <c r="P78" s="306"/>
      <c r="Q78" s="291"/>
      <c r="R78" s="291"/>
      <c r="S78" s="796" t="str">
        <f t="shared" ca="1" si="84"/>
        <v/>
      </c>
      <c r="T78" s="796"/>
      <c r="U78" s="796"/>
      <c r="V78" s="796"/>
      <c r="W78" s="796"/>
      <c r="AB78" s="237" t="str">
        <f t="shared" si="85"/>
        <v/>
      </c>
      <c r="AC78" s="407" t="str">
        <f t="shared" si="86"/>
        <v xml:space="preserve"> </v>
      </c>
      <c r="AD78" s="292" t="str">
        <f>IF(ISTEXT($D78),IF($D78=Liquid,B78*F78*_xlfn.XLOOKUP($J78,'Lookup Tables'!$C$173:$C$180,'Lookup Tables'!$G$173:$G$180,,0,1),IF($D78=Gaseous,B78*F78*_xlfn.XLOOKUP($J78,'Lookup Tables'!$D$173:$D$180,'Lookup Tables'!$H$173:$H$180,,0,1))),"")</f>
        <v/>
      </c>
      <c r="AE78" s="292">
        <f t="shared" si="99"/>
        <v>0</v>
      </c>
      <c r="AF78" s="292" t="str">
        <f>IF(ISTEXT($D78),IF($D78=Liquid,B78*I78*_xlfn.XLOOKUP($J78,'Lookup Tables'!$C$173:$C$180,'Lookup Tables'!$G$173:$G$180,,0,1),IF($D78=Gaseous,B78*I78*_xlfn.XLOOKUP($J78,'Lookup Tables'!$D$173:$D$180,'Lookup Tables'!$H$173:$H$180,,0,1))),"")</f>
        <v/>
      </c>
      <c r="AG78" s="409" t="str">
        <f t="shared" ca="1" si="100"/>
        <v/>
      </c>
      <c r="AH78" s="292">
        <f t="shared" si="87"/>
        <v>0</v>
      </c>
      <c r="AI78" s="300" t="str">
        <f t="shared" ca="1" si="88"/>
        <v/>
      </c>
      <c r="AM78" s="301">
        <f t="shared" si="89"/>
        <v>1</v>
      </c>
      <c r="AN78" s="301">
        <f t="shared" si="90"/>
        <v>1</v>
      </c>
      <c r="AO78" s="300" t="str">
        <f t="shared" si="91"/>
        <v>---</v>
      </c>
      <c r="AP78" s="300" t="str">
        <f t="shared" si="92"/>
        <v xml:space="preserve"> </v>
      </c>
      <c r="AQ78" s="260" t="str">
        <f ca="1">IF($AO78=Liquid,_xlfn.XLOOKUP($AP78,'Calculations - Combustion'!$B$20:$B$29,'Calculations - Combustion'!$D$20:$D$29,FALSE,0,1),IF($AO78=Gaseous,FuelGas_HHV,""))</f>
        <v/>
      </c>
      <c r="AR78" s="300" t="str">
        <f t="shared" ca="1" si="101"/>
        <v/>
      </c>
      <c r="AS78" s="237" t="str">
        <f ca="1">IF($AO78=Liquid,_xlfn.XLOOKUP($AP78,'Calculations - Combustion'!$B$20:$B$29,'Calculations - Combustion'!$G$20:$G$29,FALSE,0,1),IF($AO78=Gaseous,FuelGas_LHV,""))</f>
        <v/>
      </c>
      <c r="AT78" s="300" t="str">
        <f t="shared" ca="1" si="93"/>
        <v/>
      </c>
      <c r="AU78" s="410" t="str">
        <f ca="1">IF($AO78=Liquid,_xlfn.XLOOKUP($AP78,'Calculations - Combustion'!$B$20:$B$29,'Calculations - Combustion'!$J$20:$J$29,FALSE,0,1),IF($AO78=Gaseous,density_FuelGas,""))</f>
        <v/>
      </c>
      <c r="AV78" s="407">
        <f>IF(ISNUMBER(N78),N78*_xlfn.XLOOKUP(O78,'Lookup Tables'!$B$319:$B$321,'Lookup Tables'!$F$319:$F$321,,0,1)*kW_to_kW,0)</f>
        <v>0</v>
      </c>
      <c r="AW78" s="407">
        <f t="shared" si="94"/>
        <v>0</v>
      </c>
      <c r="AX78" s="301">
        <f t="shared" si="95"/>
        <v>0.33</v>
      </c>
      <c r="AY78" s="260">
        <f t="shared" ca="1" si="102"/>
        <v>0</v>
      </c>
      <c r="AZ78" s="260">
        <f t="shared" ca="1" si="96"/>
        <v>0</v>
      </c>
      <c r="BA78" s="260">
        <f t="shared" ca="1" si="97"/>
        <v>0</v>
      </c>
      <c r="BB78" s="260">
        <f>IF(Q78&gt;0,Q78*_xlfn.XLOOKUP(R78,'Lookup Tables'!$B$295:$B$298,'Lookup Tables'!$F$295:$F$298,,0,1),0)*kW_to_kW</f>
        <v>0</v>
      </c>
      <c r="BC78" s="260">
        <f t="shared" ca="1" si="98"/>
        <v>0</v>
      </c>
      <c r="BD78" s="260">
        <f ca="1">IF(AO78=Gaseous,BC78/AQ78*1000*AU78,IF(AO78=Liquid,BC78/AQ78*1000,0))</f>
        <v>0</v>
      </c>
      <c r="BE78" s="260">
        <f t="shared" ca="1" si="103"/>
        <v>0</v>
      </c>
      <c r="BV78" s="358">
        <v>1</v>
      </c>
      <c r="BW78" s="358">
        <v>1</v>
      </c>
      <c r="BX78" s="358">
        <v>2</v>
      </c>
      <c r="BY78" s="358" cm="1">
        <f t="array" ref="BY78">IF(BW78=1,1,_xlfn.SINGLE(IF(BX78&gt;(COUNTA(_DR75)-COUNTIF(_DR75,0)+1),COUNTA(_DR75)-COUNTIF(_DR75,0)+1,BX78)))</f>
        <v>1</v>
      </c>
    </row>
    <row r="79" spans="1:77" x14ac:dyDescent="0.35">
      <c r="A79" s="382">
        <f t="array" ref="A79">INDEX(EngineType,BV79)</f>
        <v>0</v>
      </c>
      <c r="B79" s="385"/>
      <c r="C79" s="222"/>
      <c r="D79" s="382">
        <f t="array" ref="D79">INDEX(FuelCategory_v2,BW79)</f>
        <v>0</v>
      </c>
      <c r="E79" s="299" t="str" cm="1">
        <f t="array" ref="E79">INDEX(_DR76,BY79)</f>
        <v xml:space="preserve"> </v>
      </c>
      <c r="F79" s="384"/>
      <c r="G79" s="292" t="str">
        <f>IFERROR(IF(ISTEXT($D79),IF($D79=Liquid,BA79/_xlfn.XLOOKUP($J79,'Lookup Tables'!$C$173:$C$180,'Lookup Tables'!$G$173:$G$180,,0,1),IF($D79=Gaseous,BA79/_xlfn.XLOOKUP($J79,'Lookup Tables'!$D$173:$D$180,'Lookup Tables'!$H$173:$H$180,,0,1))),""),"")</f>
        <v/>
      </c>
      <c r="H79" s="292" t="str">
        <f>IFERROR(IF(ISTEXT($D79),IF($D79=Liquid,BE79/_xlfn.XLOOKUP($J79,'Lookup Tables'!$C$173:$C$180,'Lookup Tables'!$G$173:$G$180,,0,1),IF($D79=Gaseous,BE79/_xlfn.XLOOKUP($J79,'Lookup Tables'!$D$173:$D$180,'Lookup Tables'!$H$173:$H$180,,0,1))),""),"")</f>
        <v/>
      </c>
      <c r="I79" s="604" t="str">
        <f t="shared" si="83"/>
        <v/>
      </c>
      <c r="J79" s="371"/>
      <c r="K79" s="304"/>
      <c r="L79" s="306"/>
      <c r="M79" s="381">
        <v>1</v>
      </c>
      <c r="N79" s="291"/>
      <c r="O79" s="371"/>
      <c r="P79" s="306"/>
      <c r="Q79" s="291"/>
      <c r="R79" s="291"/>
      <c r="S79" s="797" t="str">
        <f t="shared" ca="1" si="84"/>
        <v/>
      </c>
      <c r="T79" s="797"/>
      <c r="U79" s="797"/>
      <c r="V79" s="797"/>
      <c r="W79" s="797"/>
      <c r="AB79" s="237" t="str">
        <f t="shared" si="85"/>
        <v/>
      </c>
      <c r="AC79" s="407" t="str">
        <f t="shared" si="86"/>
        <v xml:space="preserve"> </v>
      </c>
      <c r="AD79" s="292" t="str">
        <f>IF(ISTEXT($D79),IF($D79=Liquid,B79*F79*_xlfn.XLOOKUP($J79,'Lookup Tables'!$C$173:$C$180,'Lookup Tables'!$G$173:$G$180,,0,1),IF($D79=Gaseous,B79*F79*_xlfn.XLOOKUP($J79,'Lookup Tables'!$D$173:$D$180,'Lookup Tables'!$H$173:$H$180,,0,1))),"")</f>
        <v/>
      </c>
      <c r="AE79" s="292">
        <f t="shared" si="99"/>
        <v>0</v>
      </c>
      <c r="AF79" s="292" t="str">
        <f>IF(ISTEXT($D79),IF($D79=Liquid,B79*I79*_xlfn.XLOOKUP($J79,'Lookup Tables'!$C$173:$C$180,'Lookup Tables'!$G$173:$G$180,,0,1),IF($D79=Gaseous,B79*I79*_xlfn.XLOOKUP($J79,'Lookup Tables'!$D$173:$D$180,'Lookup Tables'!$H$173:$H$180,,0,1))),"")</f>
        <v/>
      </c>
      <c r="AG79" s="409" t="str">
        <f t="shared" ca="1" si="100"/>
        <v/>
      </c>
      <c r="AH79" s="292">
        <f t="shared" si="87"/>
        <v>0</v>
      </c>
      <c r="AI79" s="300" t="str">
        <f t="shared" ca="1" si="88"/>
        <v/>
      </c>
      <c r="AM79" s="301">
        <f t="shared" si="89"/>
        <v>1</v>
      </c>
      <c r="AN79" s="301">
        <f t="shared" si="90"/>
        <v>1</v>
      </c>
      <c r="AO79" s="300" t="str">
        <f t="shared" si="91"/>
        <v>---</v>
      </c>
      <c r="AP79" s="300" t="str">
        <f t="shared" si="92"/>
        <v xml:space="preserve"> </v>
      </c>
      <c r="AQ79" s="260" t="str">
        <f ca="1">IF($AO79=Liquid,_xlfn.XLOOKUP($AP79,'Calculations - Combustion'!$B$20:$B$29,'Calculations - Combustion'!$D$20:$D$29,FALSE,0,1),IF($AO79=Gaseous,FuelGas_HHV,""))</f>
        <v/>
      </c>
      <c r="AR79" s="300" t="str">
        <f t="shared" ca="1" si="101"/>
        <v/>
      </c>
      <c r="AS79" s="237" t="str">
        <f ca="1">IF($AO79=Liquid,_xlfn.XLOOKUP($AP79,'Calculations - Combustion'!$B$20:$B$29,'Calculations - Combustion'!$G$20:$G$29,FALSE,0,1),IF($AO79=Gaseous,FuelGas_LHV,""))</f>
        <v/>
      </c>
      <c r="AT79" s="300" t="str">
        <f t="shared" ca="1" si="93"/>
        <v/>
      </c>
      <c r="AU79" s="410" t="str">
        <f ca="1">IF($AO79=Liquid,_xlfn.XLOOKUP($AP79,'Calculations - Combustion'!$B$20:$B$29,'Calculations - Combustion'!$J$20:$J$29,FALSE,0,1),IF($AO79=Gaseous,density_FuelGas,""))</f>
        <v/>
      </c>
      <c r="AV79" s="407">
        <f>IF(ISNUMBER(N79),N79*_xlfn.XLOOKUP(O79,'Lookup Tables'!$B$319:$B$321,'Lookup Tables'!$F$319:$F$321,,0,1)*kW_to_kW,0)</f>
        <v>0</v>
      </c>
      <c r="AW79" s="407">
        <f t="shared" si="94"/>
        <v>0</v>
      </c>
      <c r="AX79" s="301">
        <f t="shared" si="95"/>
        <v>0.33</v>
      </c>
      <c r="AY79" s="260">
        <f t="shared" ca="1" si="102"/>
        <v>0</v>
      </c>
      <c r="AZ79" s="260">
        <f t="shared" ca="1" si="96"/>
        <v>0</v>
      </c>
      <c r="BA79" s="260">
        <f t="shared" ca="1" si="97"/>
        <v>0</v>
      </c>
      <c r="BB79" s="260">
        <f>IF(Q79&gt;0,Q79*_xlfn.XLOOKUP(R79,'Lookup Tables'!$B$295:$B$298,'Lookup Tables'!$F$295:$F$298,,0,1),0)*kW_to_kW</f>
        <v>0</v>
      </c>
      <c r="BC79" s="260">
        <f t="shared" ca="1" si="98"/>
        <v>0</v>
      </c>
      <c r="BD79" s="260">
        <f t="shared" ref="BD79:BD85" ca="1" si="104">IF(AO79=Gaseous,BC79*AY79/AQ79*1000*AU79,IF(AO79=Liquid,BC79/AV79*1000,0))</f>
        <v>0</v>
      </c>
      <c r="BE79" s="260">
        <f t="shared" ca="1" si="103"/>
        <v>0</v>
      </c>
      <c r="BV79" s="358">
        <v>1</v>
      </c>
      <c r="BW79" s="358">
        <v>1</v>
      </c>
      <c r="BX79" s="358">
        <v>5</v>
      </c>
      <c r="BY79" s="358" cm="1">
        <f t="array" ref="BY79">IF(BW79=1,1,_xlfn.SINGLE(IF(BX79&gt;(COUNTA(_DR76)-COUNTIF(_DR76,0)+1),COUNTA(_DR76)-COUNTIF(_DR76,0)+1,BX79)))</f>
        <v>1</v>
      </c>
    </row>
    <row r="80" spans="1:77" x14ac:dyDescent="0.35">
      <c r="A80" s="382">
        <f t="array" ref="A80">INDEX(EngineType,BV80)</f>
        <v>0</v>
      </c>
      <c r="B80" s="385"/>
      <c r="C80" s="222"/>
      <c r="D80" s="382">
        <f t="array" ref="D80">INDEX(FuelCategory_v2,BW80)</f>
        <v>0</v>
      </c>
      <c r="E80" s="299" t="str">
        <f t="array" ref="E80">INDEX(_DR77,BY80)</f>
        <v xml:space="preserve"> </v>
      </c>
      <c r="F80" s="384"/>
      <c r="G80" s="293" t="str">
        <f>IFERROR(IF(ISTEXT($D80),IF($D80=Liquid,BA80/_xlfn.XLOOKUP($J80,'Lookup Tables'!$C$173:$C$180,'Lookup Tables'!$G$173:$G$180,,0,1),IF($D80=Gaseous,BA80/_xlfn.XLOOKUP($J80,'Lookup Tables'!$D$173:$D$180,'Lookup Tables'!$H$173:$H$180,,0,1))),""),"")</f>
        <v/>
      </c>
      <c r="H80" s="293" t="str">
        <f>IFERROR(IF(ISTEXT($D80),IF($D80=Liquid,BE80/_xlfn.XLOOKUP($J80,'Lookup Tables'!$C$173:$C$180,'Lookup Tables'!$G$173:$G$180,,0,1),IF($D80=Gaseous,BE80/_xlfn.XLOOKUP($J80,'Lookup Tables'!$D$173:$D$180,'Lookup Tables'!$H$173:$H$180,,0,1))),""),"")</f>
        <v/>
      </c>
      <c r="I80" s="421" t="str">
        <f t="shared" si="83"/>
        <v/>
      </c>
      <c r="J80" s="371"/>
      <c r="K80" s="304"/>
      <c r="L80" s="306"/>
      <c r="M80" s="381">
        <v>1</v>
      </c>
      <c r="N80" s="291"/>
      <c r="O80" s="371"/>
      <c r="P80" s="306"/>
      <c r="Q80" s="291"/>
      <c r="R80" s="291"/>
      <c r="S80" s="796" t="str">
        <f t="shared" ca="1" si="84"/>
        <v/>
      </c>
      <c r="T80" s="796"/>
      <c r="U80" s="796"/>
      <c r="V80" s="796"/>
      <c r="W80" s="796"/>
      <c r="AB80" s="237" t="str">
        <f t="shared" si="85"/>
        <v/>
      </c>
      <c r="AC80" s="407" t="str">
        <f t="shared" si="86"/>
        <v xml:space="preserve"> </v>
      </c>
      <c r="AD80" s="292" t="str">
        <f>IF(ISTEXT($D80),IF($D80=Liquid,B80*F80*_xlfn.XLOOKUP($J80,'Lookup Tables'!$C$173:$C$180,'Lookup Tables'!$G$173:$G$180,,0,1),IF($D80=Gaseous,B80*F80*_xlfn.XLOOKUP($J80,'Lookup Tables'!$D$173:$D$180,'Lookup Tables'!$H$173:$H$180,,0,1))),"")</f>
        <v/>
      </c>
      <c r="AE80" s="292">
        <f t="shared" si="99"/>
        <v>0</v>
      </c>
      <c r="AF80" s="292" t="str">
        <f>IF(ISTEXT($D80),IF($D80=Liquid,B80*I80*_xlfn.XLOOKUP($J80,'Lookup Tables'!$C$173:$C$180,'Lookup Tables'!$G$173:$G$180,,0,1),IF($D80=Gaseous,B80*I80*_xlfn.XLOOKUP($J80,'Lookup Tables'!$D$173:$D$180,'Lookup Tables'!$H$173:$H$180,,0,1))),"")</f>
        <v/>
      </c>
      <c r="AG80" s="409" t="str">
        <f t="shared" ca="1" si="100"/>
        <v/>
      </c>
      <c r="AH80" s="292">
        <f t="shared" si="87"/>
        <v>0</v>
      </c>
      <c r="AI80" s="300" t="str">
        <f t="shared" ca="1" si="88"/>
        <v/>
      </c>
      <c r="AM80" s="301">
        <f t="shared" si="89"/>
        <v>1</v>
      </c>
      <c r="AN80" s="301">
        <f t="shared" si="90"/>
        <v>1</v>
      </c>
      <c r="AO80" s="300" t="str">
        <f t="shared" si="91"/>
        <v>---</v>
      </c>
      <c r="AP80" s="300" t="str">
        <f t="shared" si="92"/>
        <v xml:space="preserve"> </v>
      </c>
      <c r="AQ80" s="260" t="str">
        <f ca="1">IF($AO80=Liquid,_xlfn.XLOOKUP($AP80,'Calculations - Combustion'!$B$20:$B$29,'Calculations - Combustion'!$D$20:$D$29,FALSE,0,1),IF($AO80=Gaseous,FuelGas_HHV,""))</f>
        <v/>
      </c>
      <c r="AR80" s="300" t="str">
        <f t="shared" ca="1" si="101"/>
        <v/>
      </c>
      <c r="AS80" s="237" t="str">
        <f ca="1">IF($AO80=Liquid,_xlfn.XLOOKUP($AP80,'Calculations - Combustion'!$B$20:$B$29,'Calculations - Combustion'!$G$20:$G$29,FALSE,0,1),IF($AO80=Gaseous,FuelGas_LHV,""))</f>
        <v/>
      </c>
      <c r="AT80" s="300" t="str">
        <f t="shared" ca="1" si="93"/>
        <v/>
      </c>
      <c r="AU80" s="410" t="str">
        <f ca="1">IF($AO80=Liquid,_xlfn.XLOOKUP($AP80,'Calculations - Combustion'!$B$20:$B$29,'Calculations - Combustion'!$J$20:$J$29,FALSE,0,1),IF($AO80=Gaseous,density_FuelGas,""))</f>
        <v/>
      </c>
      <c r="AV80" s="407">
        <f>IF(ISNUMBER(N80),N80*_xlfn.XLOOKUP(O80,'Lookup Tables'!$B$319:$B$321,'Lookup Tables'!$F$319:$F$321,,0,1)*kW_to_kW,0)</f>
        <v>0</v>
      </c>
      <c r="AW80" s="407">
        <f t="shared" si="94"/>
        <v>0</v>
      </c>
      <c r="AX80" s="301">
        <f t="shared" si="95"/>
        <v>0.33</v>
      </c>
      <c r="AY80" s="260">
        <f t="shared" ca="1" si="102"/>
        <v>0</v>
      </c>
      <c r="AZ80" s="260">
        <f t="shared" ca="1" si="96"/>
        <v>0</v>
      </c>
      <c r="BA80" s="260">
        <f t="shared" ca="1" si="97"/>
        <v>0</v>
      </c>
      <c r="BB80" s="260">
        <f>IF(Q80&gt;0,Q80*_xlfn.XLOOKUP(R80,'Lookup Tables'!$B$295:$B$298,'Lookup Tables'!$F$295:$F$298,,0,1),0)*kW_to_kW</f>
        <v>0</v>
      </c>
      <c r="BC80" s="260">
        <f t="shared" ca="1" si="98"/>
        <v>0</v>
      </c>
      <c r="BD80" s="260">
        <f t="shared" ca="1" si="104"/>
        <v>0</v>
      </c>
      <c r="BE80" s="260">
        <f t="shared" ca="1" si="103"/>
        <v>0</v>
      </c>
      <c r="BV80" s="358">
        <v>1</v>
      </c>
      <c r="BW80" s="358">
        <v>1</v>
      </c>
      <c r="BX80" s="358">
        <v>5</v>
      </c>
      <c r="BY80" s="358" cm="1">
        <f t="array" ref="BY80">IF(BW80=1,1,_xlfn.SINGLE(IF(BX80&gt;(COUNTA(_DR77)-COUNTIF(_DR77,0)+1),COUNTA(_DR77)-COUNTIF(_DR77,0)+1,BX80)))</f>
        <v>1</v>
      </c>
    </row>
    <row r="81" spans="1:77" x14ac:dyDescent="0.35">
      <c r="A81" s="382">
        <f t="array" ref="A81">INDEX(EngineType,BV81)</f>
        <v>0</v>
      </c>
      <c r="B81" s="385"/>
      <c r="C81" s="222"/>
      <c r="D81" s="382">
        <f t="array" ref="D81">INDEX(FuelCategory_v2,BW81)</f>
        <v>0</v>
      </c>
      <c r="E81" s="299" t="str">
        <f t="array" ref="E81">INDEX(_DR78,BY81)</f>
        <v xml:space="preserve"> </v>
      </c>
      <c r="F81" s="384"/>
      <c r="G81" s="292" t="str">
        <f>IFERROR(IF(ISTEXT($D81),IF($D81=Liquid,BA81/_xlfn.XLOOKUP($J81,'Lookup Tables'!$C$173:$C$180,'Lookup Tables'!$G$173:$G$180,,0,1),IF($D81=Gaseous,BA81/_xlfn.XLOOKUP($J81,'Lookup Tables'!$D$173:$D$180,'Lookup Tables'!$H$173:$H$180,,0,1))),""),"")</f>
        <v/>
      </c>
      <c r="H81" s="292" t="str">
        <f>IFERROR(IF(ISTEXT($D81),IF($D81=Liquid,BE81/_xlfn.XLOOKUP($J81,'Lookup Tables'!$C$173:$C$180,'Lookup Tables'!$G$173:$G$180,,0,1),IF($D81=Gaseous,BE81/_xlfn.XLOOKUP($J81,'Lookup Tables'!$D$173:$D$180,'Lookup Tables'!$H$173:$H$180,,0,1))),""),"")</f>
        <v/>
      </c>
      <c r="I81" s="604" t="str">
        <f t="shared" si="83"/>
        <v/>
      </c>
      <c r="J81" s="371"/>
      <c r="K81" s="304"/>
      <c r="L81" s="306"/>
      <c r="M81" s="381">
        <v>1</v>
      </c>
      <c r="N81" s="291"/>
      <c r="O81" s="371"/>
      <c r="P81" s="306"/>
      <c r="Q81" s="291"/>
      <c r="R81" s="291"/>
      <c r="S81" s="797" t="str">
        <f t="shared" ca="1" si="84"/>
        <v/>
      </c>
      <c r="T81" s="797"/>
      <c r="U81" s="797"/>
      <c r="V81" s="797"/>
      <c r="W81" s="797"/>
      <c r="AB81" s="237" t="str">
        <f t="shared" si="85"/>
        <v/>
      </c>
      <c r="AC81" s="407" t="str">
        <f t="shared" si="86"/>
        <v xml:space="preserve"> </v>
      </c>
      <c r="AD81" s="292" t="str">
        <f>IF(ISTEXT($D81),IF($D81=Liquid,B81*F81*_xlfn.XLOOKUP($J81,'Lookup Tables'!$C$173:$C$180,'Lookup Tables'!$G$173:$G$180,,0,1),IF($D81=Gaseous,B81*F81*_xlfn.XLOOKUP($J81,'Lookup Tables'!$D$173:$D$180,'Lookup Tables'!$H$173:$H$180,,0,1))),"")</f>
        <v/>
      </c>
      <c r="AE81" s="292">
        <f t="shared" si="99"/>
        <v>0</v>
      </c>
      <c r="AF81" s="292" t="str">
        <f>IF(ISTEXT($D81),IF($D81=Liquid,B81*I81*_xlfn.XLOOKUP($J81,'Lookup Tables'!$C$173:$C$180,'Lookup Tables'!$G$173:$G$180,,0,1),IF($D81=Gaseous,B81*I81*_xlfn.XLOOKUP($J81,'Lookup Tables'!$D$173:$D$180,'Lookup Tables'!$H$173:$H$180,,0,1))),"")</f>
        <v/>
      </c>
      <c r="AG81" s="409" t="str">
        <f t="shared" ca="1" si="100"/>
        <v/>
      </c>
      <c r="AH81" s="292">
        <f t="shared" si="87"/>
        <v>0</v>
      </c>
      <c r="AI81" s="300" t="str">
        <f t="shared" ca="1" si="88"/>
        <v/>
      </c>
      <c r="AM81" s="301">
        <f t="shared" si="89"/>
        <v>1</v>
      </c>
      <c r="AN81" s="301">
        <f t="shared" si="90"/>
        <v>1</v>
      </c>
      <c r="AO81" s="300" t="str">
        <f t="shared" si="91"/>
        <v>---</v>
      </c>
      <c r="AP81" s="300" t="str">
        <f t="shared" si="92"/>
        <v xml:space="preserve"> </v>
      </c>
      <c r="AQ81" s="260" t="str">
        <f ca="1">IF($AO81=Liquid,_xlfn.XLOOKUP($AP81,'Calculations - Combustion'!$B$20:$B$29,'Calculations - Combustion'!$D$20:$D$29,FALSE,0,1),IF($AO81=Gaseous,FuelGas_HHV,""))</f>
        <v/>
      </c>
      <c r="AR81" s="300" t="str">
        <f t="shared" ca="1" si="101"/>
        <v/>
      </c>
      <c r="AS81" s="237" t="str">
        <f ca="1">IF($AO81=Liquid,_xlfn.XLOOKUP($AP81,'Calculations - Combustion'!$B$20:$B$29,'Calculations - Combustion'!$G$20:$G$29,FALSE,0,1),IF($AO81=Gaseous,FuelGas_LHV,""))</f>
        <v/>
      </c>
      <c r="AT81" s="300" t="str">
        <f t="shared" ca="1" si="93"/>
        <v/>
      </c>
      <c r="AU81" s="410" t="str">
        <f ca="1">IF($AO81=Liquid,_xlfn.XLOOKUP($AP81,'Calculations - Combustion'!$B$20:$B$29,'Calculations - Combustion'!$J$20:$J$29,FALSE,0,1),IF($AO81=Gaseous,density_FuelGas,""))</f>
        <v/>
      </c>
      <c r="AV81" s="407">
        <f>IF(ISNUMBER(N81),N81*_xlfn.XLOOKUP(O81,'Lookup Tables'!$B$319:$B$321,'Lookup Tables'!$F$319:$F$321,,0,1)*kW_to_kW,0)</f>
        <v>0</v>
      </c>
      <c r="AW81" s="407">
        <f t="shared" si="94"/>
        <v>0</v>
      </c>
      <c r="AX81" s="301">
        <f t="shared" si="95"/>
        <v>0.33</v>
      </c>
      <c r="AY81" s="260">
        <f t="shared" ca="1" si="102"/>
        <v>0</v>
      </c>
      <c r="AZ81" s="260">
        <f t="shared" ca="1" si="96"/>
        <v>0</v>
      </c>
      <c r="BA81" s="260">
        <f t="shared" ca="1" si="97"/>
        <v>0</v>
      </c>
      <c r="BB81" s="260">
        <f>IF(Q81&gt;0,Q81*_xlfn.XLOOKUP(R81,'Lookup Tables'!$B$295:$B$298,'Lookup Tables'!$F$295:$F$298,,0,1),0)*kW_to_kW</f>
        <v>0</v>
      </c>
      <c r="BC81" s="260">
        <f t="shared" ca="1" si="98"/>
        <v>0</v>
      </c>
      <c r="BD81" s="260">
        <f t="shared" ca="1" si="104"/>
        <v>0</v>
      </c>
      <c r="BE81" s="260">
        <f t="shared" ca="1" si="103"/>
        <v>0</v>
      </c>
      <c r="BV81" s="358">
        <v>1</v>
      </c>
      <c r="BW81" s="358">
        <v>1</v>
      </c>
      <c r="BX81" s="358">
        <v>0</v>
      </c>
      <c r="BY81" s="358" cm="1">
        <f t="array" ref="BY81">IF(BW81=1,1,_xlfn.SINGLE(IF(BX81&gt;(COUNTA(_DR78)-COUNTIF(_DR78,0)+1),COUNTA(_DR78)-COUNTIF(_DR78,0)+1,BX81)))</f>
        <v>1</v>
      </c>
    </row>
    <row r="82" spans="1:77" x14ac:dyDescent="0.35">
      <c r="A82" s="382">
        <f t="array" ref="A82">INDEX(EngineType,BV82)</f>
        <v>0</v>
      </c>
      <c r="B82" s="385"/>
      <c r="C82" s="222"/>
      <c r="D82" s="382">
        <f t="array" ref="D82">INDEX(FuelCategory_v2,BW82)</f>
        <v>0</v>
      </c>
      <c r="E82" s="299" t="str">
        <f t="array" ref="E82">INDEX(_DR79,BY82)</f>
        <v xml:space="preserve"> </v>
      </c>
      <c r="F82" s="384"/>
      <c r="G82" s="293" t="str">
        <f>IFERROR(IF(ISTEXT($D82),IF($D82=Liquid,BA82/_xlfn.XLOOKUP($J82,'Lookup Tables'!$C$173:$C$180,'Lookup Tables'!$G$173:$G$180,,0,1),IF($D82=Gaseous,BA82/_xlfn.XLOOKUP($J82,'Lookup Tables'!$D$173:$D$180,'Lookup Tables'!$H$173:$H$180,,0,1))),""),"")</f>
        <v/>
      </c>
      <c r="H82" s="293" t="str">
        <f>IFERROR(IF(ISTEXT($D82),IF($D82=Liquid,BE82/_xlfn.XLOOKUP($J82,'Lookup Tables'!$C$173:$C$180,'Lookup Tables'!$G$173:$G$180,,0,1),IF($D82=Gaseous,BE82/_xlfn.XLOOKUP($J82,'Lookup Tables'!$D$173:$D$180,'Lookup Tables'!$H$173:$H$180,,0,1))),""),"")</f>
        <v/>
      </c>
      <c r="I82" s="421" t="str">
        <f t="shared" si="83"/>
        <v/>
      </c>
      <c r="J82" s="371"/>
      <c r="K82" s="304"/>
      <c r="L82" s="306"/>
      <c r="M82" s="381">
        <v>1</v>
      </c>
      <c r="N82" s="291"/>
      <c r="O82" s="371"/>
      <c r="P82" s="306"/>
      <c r="Q82" s="291"/>
      <c r="R82" s="291"/>
      <c r="S82" s="796" t="str">
        <f t="shared" ca="1" si="84"/>
        <v/>
      </c>
      <c r="T82" s="796"/>
      <c r="U82" s="796"/>
      <c r="V82" s="796"/>
      <c r="W82" s="796"/>
      <c r="AB82" s="237" t="str">
        <f t="shared" si="85"/>
        <v/>
      </c>
      <c r="AC82" s="407" t="str">
        <f t="shared" si="86"/>
        <v xml:space="preserve"> </v>
      </c>
      <c r="AD82" s="292" t="str">
        <f>IF(ISTEXT($D82),IF($D82=Liquid,B82*F82*_xlfn.XLOOKUP($J82,'Lookup Tables'!$C$173:$C$180,'Lookup Tables'!$G$173:$G$180,,0,1),IF($D82=Gaseous,B82*F82*_xlfn.XLOOKUP($J82,'Lookup Tables'!$D$173:$D$180,'Lookup Tables'!$H$173:$H$180,,0,1))),"")</f>
        <v/>
      </c>
      <c r="AE82" s="292">
        <f t="shared" si="99"/>
        <v>0</v>
      </c>
      <c r="AF82" s="292" t="str">
        <f>IF(ISTEXT($D82),IF($D82=Liquid,B82*I82*_xlfn.XLOOKUP($J82,'Lookup Tables'!$C$173:$C$180,'Lookup Tables'!$G$173:$G$180,,0,1),IF($D82=Gaseous,B82*I82*_xlfn.XLOOKUP($J82,'Lookup Tables'!$D$173:$D$180,'Lookup Tables'!$H$173:$H$180,,0,1))),"")</f>
        <v/>
      </c>
      <c r="AG82" s="409" t="str">
        <f t="shared" ca="1" si="100"/>
        <v/>
      </c>
      <c r="AH82" s="292">
        <f t="shared" si="87"/>
        <v>0</v>
      </c>
      <c r="AI82" s="300" t="str">
        <f t="shared" ca="1" si="88"/>
        <v/>
      </c>
      <c r="AM82" s="301">
        <f t="shared" si="89"/>
        <v>1</v>
      </c>
      <c r="AN82" s="301">
        <f t="shared" si="90"/>
        <v>1</v>
      </c>
      <c r="AO82" s="300" t="str">
        <f t="shared" si="91"/>
        <v>---</v>
      </c>
      <c r="AP82" s="300" t="str">
        <f t="shared" si="92"/>
        <v xml:space="preserve"> </v>
      </c>
      <c r="AQ82" s="260" t="str">
        <f ca="1">IF($AO82=Liquid,_xlfn.XLOOKUP($AP82,'Calculations - Combustion'!$B$20:$B$29,'Calculations - Combustion'!$D$20:$D$29,FALSE,0,1),IF($AO82=Gaseous,FuelGas_HHV,""))</f>
        <v/>
      </c>
      <c r="AR82" s="300" t="str">
        <f t="shared" ca="1" si="101"/>
        <v/>
      </c>
      <c r="AS82" s="237" t="str">
        <f ca="1">IF($AO82=Liquid,_xlfn.XLOOKUP($AP82,'Calculations - Combustion'!$B$20:$B$29,'Calculations - Combustion'!$G$20:$G$29,FALSE,0,1),IF($AO82=Gaseous,FuelGas_LHV,""))</f>
        <v/>
      </c>
      <c r="AT82" s="300" t="str">
        <f t="shared" ca="1" si="93"/>
        <v/>
      </c>
      <c r="AU82" s="410" t="str">
        <f ca="1">IF($AO82=Liquid,_xlfn.XLOOKUP($AP82,'Calculations - Combustion'!$B$20:$B$29,'Calculations - Combustion'!$J$20:$J$29,FALSE,0,1),IF($AO82=Gaseous,density_FuelGas,""))</f>
        <v/>
      </c>
      <c r="AV82" s="407">
        <f>IF(ISNUMBER(N82),N82*_xlfn.XLOOKUP(O82,'Lookup Tables'!$B$319:$B$321,'Lookup Tables'!$F$319:$F$321,,0,1)*kW_to_kW,0)</f>
        <v>0</v>
      </c>
      <c r="AW82" s="407">
        <f t="shared" si="94"/>
        <v>0</v>
      </c>
      <c r="AX82" s="301">
        <f t="shared" si="95"/>
        <v>0.33</v>
      </c>
      <c r="AY82" s="260">
        <f t="shared" ca="1" si="102"/>
        <v>0</v>
      </c>
      <c r="AZ82" s="260">
        <f t="shared" ca="1" si="96"/>
        <v>0</v>
      </c>
      <c r="BA82" s="260">
        <f t="shared" ca="1" si="97"/>
        <v>0</v>
      </c>
      <c r="BB82" s="260">
        <f>IF(Q82&gt;0,Q82*_xlfn.XLOOKUP(R82,'Lookup Tables'!$B$295:$B$298,'Lookup Tables'!$F$295:$F$298,,0,1),0)*kW_to_kW</f>
        <v>0</v>
      </c>
      <c r="BC82" s="260">
        <f t="shared" ca="1" si="98"/>
        <v>0</v>
      </c>
      <c r="BD82" s="260">
        <f t="shared" ca="1" si="104"/>
        <v>0</v>
      </c>
      <c r="BE82" s="260">
        <f t="shared" ca="1" si="103"/>
        <v>0</v>
      </c>
      <c r="BV82" s="358">
        <v>1</v>
      </c>
      <c r="BW82" s="358">
        <v>1</v>
      </c>
      <c r="BX82" s="358">
        <v>0</v>
      </c>
      <c r="BY82" s="358" cm="1">
        <f t="array" ref="BY82">IF(BW82=1,1,_xlfn.SINGLE(IF(BX82&gt;(COUNTA(_DR79)-COUNTIF(_DR79,0)+1),COUNTA(_DR79)-COUNTIF(_DR79,0)+1,BX82)))</f>
        <v>1</v>
      </c>
    </row>
    <row r="83" spans="1:77" x14ac:dyDescent="0.35">
      <c r="A83" s="382">
        <f t="array" ref="A83">INDEX(EngineType,BV83)</f>
        <v>0</v>
      </c>
      <c r="B83" s="385"/>
      <c r="C83" s="222"/>
      <c r="D83" s="382">
        <f t="array" ref="D83">INDEX(FuelCategory_v2,BW83)</f>
        <v>0</v>
      </c>
      <c r="E83" s="299" t="str">
        <f t="array" ref="E83">INDEX(_DR80,BY83)</f>
        <v xml:space="preserve"> </v>
      </c>
      <c r="F83" s="384"/>
      <c r="G83" s="292" t="str">
        <f>IFERROR(IF(ISTEXT($D83),IF($D83=Liquid,BA83/_xlfn.XLOOKUP($J83,'Lookup Tables'!$C$173:$C$180,'Lookup Tables'!$G$173:$G$180,,0,1),IF($D83=Gaseous,BA83/_xlfn.XLOOKUP($J83,'Lookup Tables'!$D$173:$D$180,'Lookup Tables'!$H$173:$H$180,,0,1))),""),"")</f>
        <v/>
      </c>
      <c r="H83" s="292" t="str">
        <f>IFERROR(IF(ISTEXT($D83),IF($D83=Liquid,BE83/_xlfn.XLOOKUP($J83,'Lookup Tables'!$C$173:$C$180,'Lookup Tables'!$G$173:$G$180,,0,1),IF($D83=Gaseous,BE83/_xlfn.XLOOKUP($J83,'Lookup Tables'!$D$173:$D$180,'Lookup Tables'!$H$173:$H$180,,0,1))),""),"")</f>
        <v/>
      </c>
      <c r="I83" s="604" t="str">
        <f t="shared" si="83"/>
        <v/>
      </c>
      <c r="J83" s="371"/>
      <c r="K83" s="304"/>
      <c r="L83" s="306"/>
      <c r="M83" s="381">
        <v>1</v>
      </c>
      <c r="N83" s="291"/>
      <c r="O83" s="371"/>
      <c r="P83" s="306"/>
      <c r="Q83" s="291"/>
      <c r="R83" s="291"/>
      <c r="S83" s="797" t="str">
        <f t="shared" ca="1" si="84"/>
        <v/>
      </c>
      <c r="T83" s="797"/>
      <c r="U83" s="797"/>
      <c r="V83" s="797"/>
      <c r="W83" s="797"/>
      <c r="AB83" s="237" t="str">
        <f t="shared" si="85"/>
        <v/>
      </c>
      <c r="AC83" s="407" t="str">
        <f t="shared" si="86"/>
        <v xml:space="preserve"> </v>
      </c>
      <c r="AD83" s="292" t="str">
        <f>IF(ISTEXT($D83),IF($D83=Liquid,B83*F83*_xlfn.XLOOKUP($J83,'Lookup Tables'!$C$173:$C$180,'Lookup Tables'!$G$173:$G$180,,0,1),IF($D83=Gaseous,B83*F83*_xlfn.XLOOKUP($J83,'Lookup Tables'!$D$173:$D$180,'Lookup Tables'!$H$173:$H$180,,0,1))),"")</f>
        <v/>
      </c>
      <c r="AE83" s="292">
        <f t="shared" si="99"/>
        <v>0</v>
      </c>
      <c r="AF83" s="292" t="str">
        <f>IF(ISTEXT($D83),IF($D83=Liquid,B83*I83*_xlfn.XLOOKUP($J83,'Lookup Tables'!$C$173:$C$180,'Lookup Tables'!$G$173:$G$180,,0,1),IF($D83=Gaseous,B83*I83*_xlfn.XLOOKUP($J83,'Lookup Tables'!$D$173:$D$180,'Lookup Tables'!$H$173:$H$180,,0,1))),"")</f>
        <v/>
      </c>
      <c r="AG83" s="409" t="str">
        <f t="shared" ca="1" si="100"/>
        <v/>
      </c>
      <c r="AH83" s="292">
        <f t="shared" si="87"/>
        <v>0</v>
      </c>
      <c r="AI83" s="300" t="str">
        <f t="shared" ca="1" si="88"/>
        <v/>
      </c>
      <c r="AM83" s="301">
        <f t="shared" si="89"/>
        <v>1</v>
      </c>
      <c r="AN83" s="301">
        <f t="shared" si="90"/>
        <v>1</v>
      </c>
      <c r="AO83" s="300" t="str">
        <f t="shared" si="91"/>
        <v>---</v>
      </c>
      <c r="AP83" s="300" t="str">
        <f t="shared" si="92"/>
        <v xml:space="preserve"> </v>
      </c>
      <c r="AQ83" s="260" t="str">
        <f ca="1">IF($AO83=Liquid,_xlfn.XLOOKUP($AP83,'Calculations - Combustion'!$B$20:$B$29,'Calculations - Combustion'!$D$20:$D$29,FALSE,0,1),IF($AO83=Gaseous,FuelGas_HHV,""))</f>
        <v/>
      </c>
      <c r="AR83" s="300" t="str">
        <f t="shared" ca="1" si="101"/>
        <v/>
      </c>
      <c r="AS83" s="237" t="str">
        <f ca="1">IF($AO83=Liquid,_xlfn.XLOOKUP($AP83,'Calculations - Combustion'!$B$20:$B$29,'Calculations - Combustion'!$G$20:$G$29,FALSE,0,1),IF($AO83=Gaseous,FuelGas_LHV,""))</f>
        <v/>
      </c>
      <c r="AT83" s="300" t="str">
        <f t="shared" ca="1" si="93"/>
        <v/>
      </c>
      <c r="AU83" s="410" t="str">
        <f ca="1">IF($AO83=Liquid,_xlfn.XLOOKUP($AP83,'Calculations - Combustion'!$B$20:$B$29,'Calculations - Combustion'!$J$20:$J$29,FALSE,0,1),IF($AO83=Gaseous,density_FuelGas,""))</f>
        <v/>
      </c>
      <c r="AV83" s="407">
        <f>IF(ISNUMBER(N83),N83*_xlfn.XLOOKUP(O83,'Lookup Tables'!$B$319:$B$321,'Lookup Tables'!$F$319:$F$321,,0,1)*kW_to_kW,0)</f>
        <v>0</v>
      </c>
      <c r="AW83" s="407">
        <f t="shared" si="94"/>
        <v>0</v>
      </c>
      <c r="AX83" s="301">
        <f t="shared" si="95"/>
        <v>0.33</v>
      </c>
      <c r="AY83" s="260">
        <f t="shared" ca="1" si="102"/>
        <v>0</v>
      </c>
      <c r="AZ83" s="260">
        <f t="shared" ca="1" si="96"/>
        <v>0</v>
      </c>
      <c r="BA83" s="260">
        <f t="shared" ca="1" si="97"/>
        <v>0</v>
      </c>
      <c r="BB83" s="260">
        <f>IF(Q83&gt;0,Q83*_xlfn.XLOOKUP(R83,'Lookup Tables'!$B$295:$B$298,'Lookup Tables'!$F$295:$F$298,,0,1),0)*kW_to_kW</f>
        <v>0</v>
      </c>
      <c r="BC83" s="260">
        <f t="shared" ca="1" si="98"/>
        <v>0</v>
      </c>
      <c r="BD83" s="260">
        <f t="shared" ca="1" si="104"/>
        <v>0</v>
      </c>
      <c r="BE83" s="260">
        <f t="shared" ca="1" si="103"/>
        <v>0</v>
      </c>
      <c r="BV83" s="358">
        <v>1</v>
      </c>
      <c r="BW83" s="358">
        <v>1</v>
      </c>
      <c r="BX83" s="358">
        <v>0</v>
      </c>
      <c r="BY83" s="358" cm="1">
        <f t="array" ref="BY83">IF(BW83=1,1,_xlfn.SINGLE(IF(BX83&gt;(COUNTA(_DR80)-COUNTIF(_DR80,0)+1),COUNTA(_DR80)-COUNTIF(_DR80,0)+1,BX83)))</f>
        <v>1</v>
      </c>
    </row>
    <row r="84" spans="1:77" x14ac:dyDescent="0.35">
      <c r="A84" s="382">
        <f t="array" ref="A84">INDEX(EngineType,BV84)</f>
        <v>0</v>
      </c>
      <c r="B84" s="385"/>
      <c r="C84" s="222"/>
      <c r="D84" s="382">
        <f t="array" ref="D84">INDEX(FuelCategory_v2,BW84)</f>
        <v>0</v>
      </c>
      <c r="E84" s="299" t="str">
        <f t="array" ref="E84">INDEX(_DR81,BY84)</f>
        <v xml:space="preserve"> </v>
      </c>
      <c r="F84" s="384"/>
      <c r="G84" s="293" t="str">
        <f>IFERROR(IF(ISTEXT($D84),IF($D84=Liquid,BA84/_xlfn.XLOOKUP($J84,'Lookup Tables'!$C$173:$C$180,'Lookup Tables'!$G$173:$G$180,,0,1),IF($D84=Gaseous,BA84/_xlfn.XLOOKUP($J84,'Lookup Tables'!$D$173:$D$180,'Lookup Tables'!$H$173:$H$180,,0,1))),""),"")</f>
        <v/>
      </c>
      <c r="H84" s="293" t="str">
        <f>IFERROR(IF(ISTEXT($D84),IF($D84=Liquid,BE84/_xlfn.XLOOKUP($J84,'Lookup Tables'!$C$173:$C$180,'Lookup Tables'!$G$173:$G$180,,0,1),IF($D84=Gaseous,BE84/_xlfn.XLOOKUP($J84,'Lookup Tables'!$D$173:$D$180,'Lookup Tables'!$H$173:$H$180,,0,1))),""),"")</f>
        <v/>
      </c>
      <c r="I84" s="421" t="str">
        <f t="shared" si="83"/>
        <v/>
      </c>
      <c r="J84" s="371"/>
      <c r="K84" s="304"/>
      <c r="L84" s="306"/>
      <c r="M84" s="381">
        <v>1</v>
      </c>
      <c r="N84" s="291"/>
      <c r="O84" s="371"/>
      <c r="P84" s="306"/>
      <c r="Q84" s="291"/>
      <c r="R84" s="291"/>
      <c r="S84" s="796" t="str">
        <f t="shared" ca="1" si="84"/>
        <v/>
      </c>
      <c r="T84" s="796"/>
      <c r="U84" s="796"/>
      <c r="V84" s="796"/>
      <c r="W84" s="796"/>
      <c r="AB84" s="237" t="str">
        <f t="shared" si="85"/>
        <v/>
      </c>
      <c r="AC84" s="407" t="str">
        <f t="shared" si="86"/>
        <v xml:space="preserve"> </v>
      </c>
      <c r="AD84" s="292" t="str">
        <f>IF(ISTEXT($D84),IF($D84=Liquid,B84*F84*_xlfn.XLOOKUP($J84,'Lookup Tables'!$C$173:$C$180,'Lookup Tables'!$G$173:$G$180,,0,1),IF($D84=Gaseous,B84*F84*_xlfn.XLOOKUP($J84,'Lookup Tables'!$D$173:$D$180,'Lookup Tables'!$H$173:$H$180,,0,1))),"")</f>
        <v/>
      </c>
      <c r="AE84" s="292">
        <f t="shared" si="99"/>
        <v>0</v>
      </c>
      <c r="AF84" s="292" t="str">
        <f>IF(ISTEXT($D84),IF($D84=Liquid,B84*I84*_xlfn.XLOOKUP($J84,'Lookup Tables'!$C$173:$C$180,'Lookup Tables'!$G$173:$G$180,,0,1),IF($D84=Gaseous,B84*I84*_xlfn.XLOOKUP($J84,'Lookup Tables'!$D$173:$D$180,'Lookup Tables'!$H$173:$H$180,,0,1))),"")</f>
        <v/>
      </c>
      <c r="AG84" s="409" t="str">
        <f t="shared" ca="1" si="100"/>
        <v/>
      </c>
      <c r="AH84" s="292">
        <f t="shared" si="87"/>
        <v>0</v>
      </c>
      <c r="AI84" s="300" t="str">
        <f t="shared" ca="1" si="88"/>
        <v/>
      </c>
      <c r="AM84" s="301">
        <f t="shared" si="89"/>
        <v>1</v>
      </c>
      <c r="AN84" s="301">
        <f t="shared" si="90"/>
        <v>1</v>
      </c>
      <c r="AO84" s="300" t="str">
        <f t="shared" si="91"/>
        <v>---</v>
      </c>
      <c r="AP84" s="300" t="str">
        <f t="shared" si="92"/>
        <v xml:space="preserve"> </v>
      </c>
      <c r="AQ84" s="260" t="str">
        <f ca="1">IF($AO84=Liquid,_xlfn.XLOOKUP($AP84,'Calculations - Combustion'!$B$20:$B$29,'Calculations - Combustion'!$D$20:$D$29,FALSE,0,1),IF($AO84=Gaseous,FuelGas_HHV,""))</f>
        <v/>
      </c>
      <c r="AR84" s="300" t="str">
        <f t="shared" ca="1" si="101"/>
        <v/>
      </c>
      <c r="AS84" s="237" t="str">
        <f ca="1">IF($AO84=Liquid,_xlfn.XLOOKUP($AP84,'Calculations - Combustion'!$B$20:$B$29,'Calculations - Combustion'!$G$20:$G$29,FALSE,0,1),IF($AO84=Gaseous,FuelGas_LHV,""))</f>
        <v/>
      </c>
      <c r="AT84" s="300" t="str">
        <f t="shared" ca="1" si="93"/>
        <v/>
      </c>
      <c r="AU84" s="410" t="str">
        <f ca="1">IF($AO84=Liquid,_xlfn.XLOOKUP($AP84,'Calculations - Combustion'!$B$20:$B$29,'Calculations - Combustion'!$J$20:$J$29,FALSE,0,1),IF($AO84=Gaseous,density_FuelGas,""))</f>
        <v/>
      </c>
      <c r="AV84" s="407">
        <f>IF(ISNUMBER(N84),N84*_xlfn.XLOOKUP(O84,'Lookup Tables'!$B$319:$B$321,'Lookup Tables'!$F$319:$F$321,,0,1)*kW_to_kW,0)</f>
        <v>0</v>
      </c>
      <c r="AW84" s="407">
        <f t="shared" si="94"/>
        <v>0</v>
      </c>
      <c r="AX84" s="301">
        <f t="shared" si="95"/>
        <v>0.33</v>
      </c>
      <c r="AY84" s="260">
        <f t="shared" ca="1" si="102"/>
        <v>0</v>
      </c>
      <c r="AZ84" s="260">
        <f t="shared" ca="1" si="96"/>
        <v>0</v>
      </c>
      <c r="BA84" s="260">
        <f t="shared" ca="1" si="97"/>
        <v>0</v>
      </c>
      <c r="BB84" s="260">
        <f>IF(Q84&gt;0,Q84*_xlfn.XLOOKUP(R84,'Lookup Tables'!$B$295:$B$298,'Lookup Tables'!$F$295:$F$298,,0,1),0)*kW_to_kW</f>
        <v>0</v>
      </c>
      <c r="BC84" s="260">
        <f t="shared" ca="1" si="98"/>
        <v>0</v>
      </c>
      <c r="BD84" s="260">
        <f t="shared" ca="1" si="104"/>
        <v>0</v>
      </c>
      <c r="BE84" s="260">
        <f t="shared" ca="1" si="103"/>
        <v>0</v>
      </c>
      <c r="BV84" s="358">
        <v>1</v>
      </c>
      <c r="BW84" s="358">
        <v>1</v>
      </c>
      <c r="BX84" s="358">
        <v>0</v>
      </c>
      <c r="BY84" s="358" cm="1">
        <f t="array" ref="BY84">IF(BW84=1,1,_xlfn.SINGLE(IF(BX84&gt;(COUNTA(_DR81)-COUNTIF(_DR81,0)+1),COUNTA(_DR81)-COUNTIF(_DR81,0)+1,BX84)))</f>
        <v>1</v>
      </c>
    </row>
    <row r="85" spans="1:77" x14ac:dyDescent="0.35">
      <c r="A85" s="382">
        <f t="array" ref="A85">INDEX(EngineType,BV85)</f>
        <v>0</v>
      </c>
      <c r="B85" s="385"/>
      <c r="C85" s="222"/>
      <c r="D85" s="382">
        <f t="array" ref="D85">INDEX(FuelCategory_v2,BW85)</f>
        <v>0</v>
      </c>
      <c r="E85" s="299" t="str">
        <f t="array" ref="E85">INDEX(_DR82,BY85)</f>
        <v xml:space="preserve"> </v>
      </c>
      <c r="F85" s="384"/>
      <c r="G85" s="292" t="str">
        <f>IFERROR(IF(ISTEXT($D85),IF($D85=Liquid,BA85/_xlfn.XLOOKUP($J85,'Lookup Tables'!$C$173:$C$180,'Lookup Tables'!$G$173:$G$180,,0,1),IF($D85=Gaseous,BA85/_xlfn.XLOOKUP($J85,'Lookup Tables'!$D$173:$D$180,'Lookup Tables'!$H$173:$H$180,,0,1))),""),"")</f>
        <v/>
      </c>
      <c r="H85" s="292" t="str">
        <f>IFERROR(IF(ISTEXT($D85),IF($D85=Liquid,BE85/_xlfn.XLOOKUP($J85,'Lookup Tables'!$C$173:$C$180,'Lookup Tables'!$G$173:$G$180,,0,1),IF($D85=Gaseous,BE85/_xlfn.XLOOKUP($J85,'Lookup Tables'!$D$173:$D$180,'Lookup Tables'!$H$173:$H$180,,0,1))),""),"")</f>
        <v/>
      </c>
      <c r="I85" s="604" t="str">
        <f t="shared" si="83"/>
        <v/>
      </c>
      <c r="J85" s="371"/>
      <c r="K85" s="304"/>
      <c r="L85" s="306"/>
      <c r="M85" s="381">
        <v>1</v>
      </c>
      <c r="N85" s="291"/>
      <c r="O85" s="371"/>
      <c r="P85" s="306"/>
      <c r="Q85" s="291"/>
      <c r="R85" s="291"/>
      <c r="S85" s="797" t="str">
        <f t="shared" ca="1" si="84"/>
        <v/>
      </c>
      <c r="T85" s="797"/>
      <c r="U85" s="797"/>
      <c r="V85" s="797"/>
      <c r="W85" s="797"/>
      <c r="AB85" s="237" t="str">
        <f t="shared" si="85"/>
        <v/>
      </c>
      <c r="AC85" s="407" t="str">
        <f t="shared" si="86"/>
        <v xml:space="preserve"> </v>
      </c>
      <c r="AD85" s="292" t="str">
        <f>IF(ISTEXT($D85),IF($D85=Liquid,B85*F85*_xlfn.XLOOKUP($J85,'Lookup Tables'!$C$173:$C$180,'Lookup Tables'!$G$173:$G$180,,0,1),IF($D85=Gaseous,B85*F85*_xlfn.XLOOKUP($J85,'Lookup Tables'!$D$173:$D$180,'Lookup Tables'!$H$173:$H$180,,0,1))),"")</f>
        <v/>
      </c>
      <c r="AE85" s="292">
        <f t="shared" si="99"/>
        <v>0</v>
      </c>
      <c r="AF85" s="292" t="str">
        <f>IF(ISTEXT($D85),IF($D85=Liquid,B85*I85*_xlfn.XLOOKUP($J85,'Lookup Tables'!$C$173:$C$180,'Lookup Tables'!$G$173:$G$180,,0,1),IF($D85=Gaseous,B85*I85*_xlfn.XLOOKUP($J85,'Lookup Tables'!$D$173:$D$180,'Lookup Tables'!$H$173:$H$180,,0,1))),"")</f>
        <v/>
      </c>
      <c r="AG85" s="409" t="str">
        <f t="shared" ca="1" si="100"/>
        <v/>
      </c>
      <c r="AH85" s="292">
        <f t="shared" si="87"/>
        <v>0</v>
      </c>
      <c r="AI85" s="300" t="str">
        <f t="shared" ca="1" si="88"/>
        <v/>
      </c>
      <c r="AM85" s="301">
        <f t="shared" si="89"/>
        <v>1</v>
      </c>
      <c r="AN85" s="301">
        <f t="shared" si="90"/>
        <v>1</v>
      </c>
      <c r="AO85" s="300" t="str">
        <f t="shared" si="91"/>
        <v>---</v>
      </c>
      <c r="AP85" s="300" t="str">
        <f t="shared" si="92"/>
        <v xml:space="preserve"> </v>
      </c>
      <c r="AQ85" s="260" t="str">
        <f ca="1">IF($AO85=Liquid,_xlfn.XLOOKUP($AP85,'Calculations - Combustion'!$B$20:$B$29,'Calculations - Combustion'!$D$20:$D$29,FALSE,0,1),IF($AO85=Gaseous,FuelGas_HHV,""))</f>
        <v/>
      </c>
      <c r="AR85" s="300" t="str">
        <f t="shared" ca="1" si="101"/>
        <v/>
      </c>
      <c r="AS85" s="237" t="str">
        <f ca="1">IF($AO85=Liquid,_xlfn.XLOOKUP($AP85,'Calculations - Combustion'!$B$20:$B$29,'Calculations - Combustion'!$G$20:$G$29,FALSE,0,1),IF($AO85=Gaseous,FuelGas_LHV,""))</f>
        <v/>
      </c>
      <c r="AT85" s="300" t="str">
        <f t="shared" ca="1" si="93"/>
        <v/>
      </c>
      <c r="AU85" s="410" t="str">
        <f ca="1">IF($AO85=Liquid,_xlfn.XLOOKUP($AP85,'Calculations - Combustion'!$B$20:$B$29,'Calculations - Combustion'!$J$20:$J$29,FALSE,0,1),IF($AO85=Gaseous,density_FuelGas,""))</f>
        <v/>
      </c>
      <c r="AV85" s="407">
        <f>IF(ISNUMBER(N85),N85*_xlfn.XLOOKUP(O85,'Lookup Tables'!$B$319:$B$321,'Lookup Tables'!$F$319:$F$321,,0,1)*kW_to_kW,0)</f>
        <v>0</v>
      </c>
      <c r="AW85" s="407">
        <f t="shared" si="94"/>
        <v>0</v>
      </c>
      <c r="AX85" s="301">
        <f t="shared" si="95"/>
        <v>0.33</v>
      </c>
      <c r="AY85" s="260">
        <f t="shared" ca="1" si="102"/>
        <v>0</v>
      </c>
      <c r="AZ85" s="260">
        <f t="shared" ca="1" si="96"/>
        <v>0</v>
      </c>
      <c r="BA85" s="260">
        <f t="shared" ca="1" si="97"/>
        <v>0</v>
      </c>
      <c r="BB85" s="260">
        <f>IF(Q85&gt;0,Q85*_xlfn.XLOOKUP(R85,'Lookup Tables'!$B$295:$B$298,'Lookup Tables'!$F$295:$F$298,,0,1),0)*kW_to_kW</f>
        <v>0</v>
      </c>
      <c r="BC85" s="260">
        <f t="shared" ca="1" si="98"/>
        <v>0</v>
      </c>
      <c r="BD85" s="260">
        <f t="shared" ca="1" si="104"/>
        <v>0</v>
      </c>
      <c r="BE85" s="260">
        <f t="shared" ca="1" si="103"/>
        <v>0</v>
      </c>
      <c r="BV85" s="358">
        <v>1</v>
      </c>
      <c r="BW85" s="358">
        <v>1</v>
      </c>
      <c r="BX85" s="358">
        <v>0</v>
      </c>
      <c r="BY85" s="358" cm="1">
        <f t="array" ref="BY85">IF(BW85=1,1,_xlfn.SINGLE(IF(BX85&gt;(COUNTA(_DR82)-COUNTIF(_DR82,0)+1),COUNTA(_DR82)-COUNTIF(_DR82,0)+1,BX85)))</f>
        <v>1</v>
      </c>
    </row>
    <row r="86" spans="1:77" x14ac:dyDescent="0.35">
      <c r="AC86" s="412"/>
      <c r="AM86" s="411">
        <v>1</v>
      </c>
      <c r="AN86" s="411">
        <v>1</v>
      </c>
      <c r="AO86" s="257" t="s">
        <v>2920</v>
      </c>
      <c r="AX86" s="411">
        <v>0.33</v>
      </c>
      <c r="AY86" s="257" t="s">
        <v>2901</v>
      </c>
    </row>
    <row r="87" spans="1:77" x14ac:dyDescent="0.35">
      <c r="G87" s="412"/>
    </row>
    <row r="88" spans="1:77" x14ac:dyDescent="0.35">
      <c r="G88" s="323"/>
      <c r="AC88" s="412" t="str">
        <f>IF(ISTEXT(E79),E79,"")</f>
        <v xml:space="preserve"> </v>
      </c>
    </row>
    <row r="89" spans="1:77" x14ac:dyDescent="0.35">
      <c r="G89" s="603"/>
      <c r="H89" s="603"/>
    </row>
  </sheetData>
  <sheetProtection algorithmName="SHA-512" hashValue="f+3pcFx8/i0wLjof5dt+n40fJl2hAm291I8hBFs58H3PHjLVwN45sHfHa4Spj0uRPCQ6prqFWzl0wsO680hUUg==" saltValue="NVBbwFGu79HTB+FczRgz0A==" spinCount="100000" sheet="1" objects="1" scenarios="1"/>
  <mergeCells count="275">
    <mergeCell ref="S84:W84"/>
    <mergeCell ref="S85:W85"/>
    <mergeCell ref="P48:U48"/>
    <mergeCell ref="P49:U49"/>
    <mergeCell ref="P50:U50"/>
    <mergeCell ref="S72:W75"/>
    <mergeCell ref="S76:W76"/>
    <mergeCell ref="S77:W77"/>
    <mergeCell ref="S78:W78"/>
    <mergeCell ref="S79:W79"/>
    <mergeCell ref="S80:W80"/>
    <mergeCell ref="V55:W55"/>
    <mergeCell ref="U56:U57"/>
    <mergeCell ref="W56:W57"/>
    <mergeCell ref="Q54:W54"/>
    <mergeCell ref="S55:U55"/>
    <mergeCell ref="S81:W81"/>
    <mergeCell ref="S82:W82"/>
    <mergeCell ref="R56:R57"/>
    <mergeCell ref="AB37:AC37"/>
    <mergeCell ref="AB38:AB39"/>
    <mergeCell ref="AC38:AC39"/>
    <mergeCell ref="AI38:AI39"/>
    <mergeCell ref="AB55:AC55"/>
    <mergeCell ref="AE38:AE39"/>
    <mergeCell ref="AO3:AO5"/>
    <mergeCell ref="AJ4:AJ5"/>
    <mergeCell ref="S83:W83"/>
    <mergeCell ref="AB56:AB57"/>
    <mergeCell ref="AC56:AC57"/>
    <mergeCell ref="AH4:AH5"/>
    <mergeCell ref="AI4:AI5"/>
    <mergeCell ref="AB3:AC3"/>
    <mergeCell ref="AD3:AD5"/>
    <mergeCell ref="AB4:AB5"/>
    <mergeCell ref="AC4:AC5"/>
    <mergeCell ref="AD6:AD13"/>
    <mergeCell ref="AD14:AD23"/>
    <mergeCell ref="AE3:AM3"/>
    <mergeCell ref="AC24:AC30"/>
    <mergeCell ref="AN3:AN5"/>
    <mergeCell ref="AF4:AF5"/>
    <mergeCell ref="AG4:AG5"/>
    <mergeCell ref="AY36:BA36"/>
    <mergeCell ref="AV36:AX36"/>
    <mergeCell ref="AY37:AY39"/>
    <mergeCell ref="AZ37:AZ39"/>
    <mergeCell ref="BA37:BA39"/>
    <mergeCell ref="AM36:AN36"/>
    <mergeCell ref="AO36:AU36"/>
    <mergeCell ref="AP18:AP23"/>
    <mergeCell ref="AQ18:AQ23"/>
    <mergeCell ref="AR18:AR23"/>
    <mergeCell ref="AX37:AX38"/>
    <mergeCell ref="AM37:AM38"/>
    <mergeCell ref="AN37:AN38"/>
    <mergeCell ref="AM55:AM56"/>
    <mergeCell ref="AN55:AN56"/>
    <mergeCell ref="AO55:AP55"/>
    <mergeCell ref="AQ55:AR55"/>
    <mergeCell ref="AS55:AT55"/>
    <mergeCell ref="AV55:AV56"/>
    <mergeCell ref="AW55:AW56"/>
    <mergeCell ref="AX55:AX56"/>
    <mergeCell ref="AY55:AY57"/>
    <mergeCell ref="AZ55:AZ57"/>
    <mergeCell ref="BA55:BA57"/>
    <mergeCell ref="AO56:AO57"/>
    <mergeCell ref="BR54:BT54"/>
    <mergeCell ref="BR55:BR57"/>
    <mergeCell ref="BS55:BS57"/>
    <mergeCell ref="BT55:BT57"/>
    <mergeCell ref="BB56:BC56"/>
    <mergeCell ref="BP56:BP57"/>
    <mergeCell ref="BP55:BQ55"/>
    <mergeCell ref="AQ56:AQ57"/>
    <mergeCell ref="AR56:AR57"/>
    <mergeCell ref="AS56:AS57"/>
    <mergeCell ref="AT56:AT57"/>
    <mergeCell ref="AU56:AU57"/>
    <mergeCell ref="AY54:BA54"/>
    <mergeCell ref="BL58:BL67"/>
    <mergeCell ref="BK56:BK57"/>
    <mergeCell ref="BJ56:BJ57"/>
    <mergeCell ref="BL56:BL57"/>
    <mergeCell ref="BB54:BQ54"/>
    <mergeCell ref="BB55:BG55"/>
    <mergeCell ref="BH55:BJ55"/>
    <mergeCell ref="BL55:BO55"/>
    <mergeCell ref="BC72:BE72"/>
    <mergeCell ref="BC73:BC75"/>
    <mergeCell ref="BD73:BD75"/>
    <mergeCell ref="BE73:BE75"/>
    <mergeCell ref="AB74:AB75"/>
    <mergeCell ref="AC74:AC75"/>
    <mergeCell ref="AD74:AD75"/>
    <mergeCell ref="AG74:AG75"/>
    <mergeCell ref="AH74:AH75"/>
    <mergeCell ref="AI74:AI75"/>
    <mergeCell ref="AE74:AE75"/>
    <mergeCell ref="AF74:AF75"/>
    <mergeCell ref="BB72:BB74"/>
    <mergeCell ref="AM72:AN72"/>
    <mergeCell ref="AO72:AU72"/>
    <mergeCell ref="AV72:AX72"/>
    <mergeCell ref="AY72:BA72"/>
    <mergeCell ref="AM73:AM74"/>
    <mergeCell ref="AN73:AN74"/>
    <mergeCell ref="AO73:AP73"/>
    <mergeCell ref="AQ73:AR73"/>
    <mergeCell ref="AS73:AT73"/>
    <mergeCell ref="AV73:AV74"/>
    <mergeCell ref="AD73:AI73"/>
    <mergeCell ref="AW73:AW74"/>
    <mergeCell ref="AD55:AI55"/>
    <mergeCell ref="AB73:AC73"/>
    <mergeCell ref="N55:O55"/>
    <mergeCell ref="Q72:R72"/>
    <mergeCell ref="R73:R75"/>
    <mergeCell ref="Q73:Q75"/>
    <mergeCell ref="P55:P56"/>
    <mergeCell ref="P73:P74"/>
    <mergeCell ref="N74:N75"/>
    <mergeCell ref="O74:O75"/>
    <mergeCell ref="Q56:Q57"/>
    <mergeCell ref="AD56:AD57"/>
    <mergeCell ref="AG56:AG57"/>
    <mergeCell ref="AH56:AH57"/>
    <mergeCell ref="AI56:AI57"/>
    <mergeCell ref="AE56:AE57"/>
    <mergeCell ref="AF56:AF57"/>
    <mergeCell ref="AX73:AX74"/>
    <mergeCell ref="AY73:AY75"/>
    <mergeCell ref="AZ73:AZ75"/>
    <mergeCell ref="BA73:BA75"/>
    <mergeCell ref="AO74:AO75"/>
    <mergeCell ref="AQ74:AQ75"/>
    <mergeCell ref="AR74:AR75"/>
    <mergeCell ref="AS74:AS75"/>
    <mergeCell ref="AT74:AT75"/>
    <mergeCell ref="AU74:AU75"/>
    <mergeCell ref="AD38:AD39"/>
    <mergeCell ref="AF38:AF39"/>
    <mergeCell ref="AH38:AH39"/>
    <mergeCell ref="AG38:AG39"/>
    <mergeCell ref="AM54:AN54"/>
    <mergeCell ref="AO54:AU54"/>
    <mergeCell ref="AV54:AX54"/>
    <mergeCell ref="AD37:AI37"/>
    <mergeCell ref="AW37:AW38"/>
    <mergeCell ref="AV37:AV38"/>
    <mergeCell ref="AQ37:AR37"/>
    <mergeCell ref="AS37:AT37"/>
    <mergeCell ref="AT38:AT39"/>
    <mergeCell ref="AS38:AS39"/>
    <mergeCell ref="AR38:AR39"/>
    <mergeCell ref="AQ38:AQ39"/>
    <mergeCell ref="AO38:AO39"/>
    <mergeCell ref="AO37:AP37"/>
    <mergeCell ref="AU38:AU39"/>
    <mergeCell ref="K54:M54"/>
    <mergeCell ref="N54:P54"/>
    <mergeCell ref="I73:I75"/>
    <mergeCell ref="L55:M55"/>
    <mergeCell ref="N56:N57"/>
    <mergeCell ref="O56:O57"/>
    <mergeCell ref="L73:M73"/>
    <mergeCell ref="X54:Z57"/>
    <mergeCell ref="X58:Z58"/>
    <mergeCell ref="N73:O73"/>
    <mergeCell ref="X62:Z62"/>
    <mergeCell ref="X63:Z63"/>
    <mergeCell ref="X64:Z64"/>
    <mergeCell ref="X65:Z65"/>
    <mergeCell ref="X66:Z66"/>
    <mergeCell ref="N72:P72"/>
    <mergeCell ref="K72:M72"/>
    <mergeCell ref="K73:K75"/>
    <mergeCell ref="K55:K57"/>
    <mergeCell ref="X67:Z67"/>
    <mergeCell ref="A24:B30"/>
    <mergeCell ref="L38:M38"/>
    <mergeCell ref="F37:I37"/>
    <mergeCell ref="J37:O37"/>
    <mergeCell ref="G24:G30"/>
    <mergeCell ref="H29:J29"/>
    <mergeCell ref="H30:J30"/>
    <mergeCell ref="H24:J24"/>
    <mergeCell ref="H25:J25"/>
    <mergeCell ref="H27:J27"/>
    <mergeCell ref="H28:J28"/>
    <mergeCell ref="N38:O38"/>
    <mergeCell ref="H26:J26"/>
    <mergeCell ref="A1:E1"/>
    <mergeCell ref="A3:B3"/>
    <mergeCell ref="A4:A5"/>
    <mergeCell ref="B4:B5"/>
    <mergeCell ref="E4:E5"/>
    <mergeCell ref="G4:G5"/>
    <mergeCell ref="B72:B75"/>
    <mergeCell ref="X59:Z59"/>
    <mergeCell ref="X60:Z60"/>
    <mergeCell ref="X61:Z61"/>
    <mergeCell ref="Q55:R55"/>
    <mergeCell ref="D37:E37"/>
    <mergeCell ref="D54:E54"/>
    <mergeCell ref="D55:D57"/>
    <mergeCell ref="E55:E57"/>
    <mergeCell ref="D72:E72"/>
    <mergeCell ref="A6:A13"/>
    <mergeCell ref="A14:A23"/>
    <mergeCell ref="C3:C5"/>
    <mergeCell ref="C6:C13"/>
    <mergeCell ref="C14:C23"/>
    <mergeCell ref="D4:D5"/>
    <mergeCell ref="H6:J6"/>
    <mergeCell ref="H11:J11"/>
    <mergeCell ref="G6:G13"/>
    <mergeCell ref="G14:G23"/>
    <mergeCell ref="H3:J5"/>
    <mergeCell ref="D3:G3"/>
    <mergeCell ref="F4:F5"/>
    <mergeCell ref="H7:J7"/>
    <mergeCell ref="H8:J8"/>
    <mergeCell ref="H10:J10"/>
    <mergeCell ref="H12:J12"/>
    <mergeCell ref="H17:J17"/>
    <mergeCell ref="H18:J18"/>
    <mergeCell ref="H19:J19"/>
    <mergeCell ref="H20:J20"/>
    <mergeCell ref="H21:J21"/>
    <mergeCell ref="H23:J23"/>
    <mergeCell ref="H22:J22"/>
    <mergeCell ref="H9:J9"/>
    <mergeCell ref="H13:J13"/>
    <mergeCell ref="H14:J14"/>
    <mergeCell ref="H15:J15"/>
    <mergeCell ref="H16:J16"/>
    <mergeCell ref="A72:A75"/>
    <mergeCell ref="C72:C75"/>
    <mergeCell ref="D73:D75"/>
    <mergeCell ref="E73:E75"/>
    <mergeCell ref="F72:J72"/>
    <mergeCell ref="G73:H73"/>
    <mergeCell ref="G55:H55"/>
    <mergeCell ref="I55:I57"/>
    <mergeCell ref="H38:H39"/>
    <mergeCell ref="F55:F56"/>
    <mergeCell ref="F73:F74"/>
    <mergeCell ref="J38:J39"/>
    <mergeCell ref="A52:C52"/>
    <mergeCell ref="A70:C70"/>
    <mergeCell ref="A54:A57"/>
    <mergeCell ref="C54:C57"/>
    <mergeCell ref="J73:J75"/>
    <mergeCell ref="J55:J57"/>
    <mergeCell ref="B54:B57"/>
    <mergeCell ref="F54:J54"/>
    <mergeCell ref="P46:U46"/>
    <mergeCell ref="P47:U47"/>
    <mergeCell ref="A35:C35"/>
    <mergeCell ref="A33:E33"/>
    <mergeCell ref="A37:A39"/>
    <mergeCell ref="B37:B39"/>
    <mergeCell ref="C37:C39"/>
    <mergeCell ref="D38:D39"/>
    <mergeCell ref="E38:E39"/>
    <mergeCell ref="I38:I39"/>
    <mergeCell ref="P37:U39"/>
    <mergeCell ref="P40:U40"/>
    <mergeCell ref="P41:U41"/>
    <mergeCell ref="P42:U42"/>
    <mergeCell ref="P43:U43"/>
    <mergeCell ref="P44:U44"/>
    <mergeCell ref="P45:U45"/>
  </mergeCells>
  <dataValidations count="12">
    <dataValidation type="decimal" allowBlank="1" showInputMessage="1" showErrorMessage="1" error="The value you entered is not valid._x000a__x000a_This cell accepts only values between -150 and 150." sqref="V58:V67" xr:uid="{6C5BC2E9-BBDF-4B73-AFC5-7289C9EDF3D7}">
      <formula1>-150</formula1>
      <formula2>150</formula2>
    </dataValidation>
    <dataValidation type="list" allowBlank="1" showInputMessage="1" showErrorMessage="1" sqref="W58:W67" xr:uid="{BAE86B7D-005F-404B-8C59-C4E184A5291F}">
      <formula1>"C,F"</formula1>
    </dataValidation>
    <dataValidation type="decimal" operator="greaterThanOrEqual" allowBlank="1" showInputMessage="1" showErrorMessage="1" sqref="H40:H50" xr:uid="{CF54D1DD-C804-4B24-9EE2-67B1985B069C}">
      <formula1>0</formula1>
    </dataValidation>
    <dataValidation type="whole" operator="greaterThanOrEqual" allowBlank="1" showInputMessage="1" showErrorMessage="1" error="The value you entered is not valid._x000a__x000a_This cell accepts only zero and positive whole numbers." sqref="B76:B85 B40:B50 B58:B67" xr:uid="{A70F16D3-32ED-4173-B76C-D895292A1E68}">
      <formula1>0</formula1>
    </dataValidation>
    <dataValidation operator="greaterThanOrEqual" allowBlank="1" showInputMessage="1" showErrorMessage="1" sqref="C40:C50 E40:E50 E58:E67 E76:E85" xr:uid="{85B3EABE-D7DD-4CA7-9F6C-12E300FEC1B2}"/>
    <dataValidation type="decimal" allowBlank="1" showInputMessage="1" showErrorMessage="1" error="The value you entered is not valid._x000a__x000a_This cell accepts only values between 0 and 8784." sqref="J40:J50 K58:K67 K76:K85" xr:uid="{1CC6F94D-78CD-4003-ACCB-91910781D897}">
      <formula1>0</formula1>
      <formula2>8784</formula2>
    </dataValidation>
    <dataValidation type="list" allowBlank="1" showInputMessage="1" showErrorMessage="1" sqref="I40:I50" xr:uid="{9E4A2ABE-8C78-4E9D-A976-14FD51165E56}">
      <formula1>CHOOSE(BW40," ",SolidUnits,LiquidUnits,GaseousUnits)</formula1>
    </dataValidation>
    <dataValidation type="list" allowBlank="1" showInputMessage="1" showErrorMessage="1" sqref="J58:J67 J76:J85" xr:uid="{7761BA09-EAC3-41A4-905B-B251F7B9DC05}">
      <formula1>CHOOSE(BW58," ",LiquidUnits,GaseousUnits)</formula1>
    </dataValidation>
    <dataValidation type="decimal" operator="greaterThanOrEqual" allowBlank="1" showInputMessage="1" showErrorMessage="1" error="The value you entered is not valid_x000a__x000a_This cell accepts only zero and positive numeric values." sqref="D6:D30 F40:F50 F76:F85 L40:L50" xr:uid="{609F87C4-7796-416E-BE19-D6B58EA59E7B}">
      <formula1>0</formula1>
    </dataValidation>
    <dataValidation type="decimal" allowBlank="1" showInputMessage="1" showErrorMessage="1" error="The value you entered is not valid._x000a__x000a_This cell accepts only values between 0 and 100." sqref="L76:L85" xr:uid="{C63B3C58-70C5-4D9F-BF1F-FC7BEAEC5E94}">
      <formula1>0</formula1>
      <formula2>1</formula2>
    </dataValidation>
    <dataValidation type="decimal" allowBlank="1" showInputMessage="1" showErrorMessage="1" error="The value you entered is not valid._x000a_This cell accepts only values between 0 and 100." sqref="K40:K50 N40:N50 L58:L67 P58:P67 P76:P85" xr:uid="{6BBF49E7-0DE9-4BED-936C-8470AA02F5D6}">
      <formula1>0</formula1>
      <formula2>1</formula2>
    </dataValidation>
    <dataValidation type="decimal" operator="greaterThanOrEqual" allowBlank="1" showInputMessage="1" showErrorMessage="1" error="The value you entered is not valid._x000a__x000a_This cell accepts only zero and positive numeric values." sqref="F58:F67 N58:N67 Q58:Q67 S58:T67 Q76:Q85 N76:N85" xr:uid="{570B104E-B073-494C-ABC4-FDEDAB14E9AC}">
      <formula1>0</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6544" r:id="rId4" name="Drop Down 48">
              <controlPr defaultSize="0" autoLine="0" autoPict="0">
                <anchor moveWithCells="1" sizeWithCells="1">
                  <from>
                    <xdr:col>0</xdr:col>
                    <xdr:colOff>0</xdr:colOff>
                    <xdr:row>39</xdr:row>
                    <xdr:rowOff>0</xdr:rowOff>
                  </from>
                  <to>
                    <xdr:col>1</xdr:col>
                    <xdr:colOff>0</xdr:colOff>
                    <xdr:row>40</xdr:row>
                    <xdr:rowOff>0</xdr:rowOff>
                  </to>
                </anchor>
              </controlPr>
            </control>
          </mc:Choice>
        </mc:AlternateContent>
        <mc:AlternateContent xmlns:mc="http://schemas.openxmlformats.org/markup-compatibility/2006">
          <mc:Choice Requires="x14">
            <control shapeId="106575" r:id="rId5" name="Drop Down 79">
              <controlPr defaultSize="0" autoLine="0" autoPict="0">
                <anchor moveWithCells="1" sizeWithCells="1">
                  <from>
                    <xdr:col>0</xdr:col>
                    <xdr:colOff>0</xdr:colOff>
                    <xdr:row>40</xdr:row>
                    <xdr:rowOff>0</xdr:rowOff>
                  </from>
                  <to>
                    <xdr:col>1</xdr:col>
                    <xdr:colOff>0</xdr:colOff>
                    <xdr:row>41</xdr:row>
                    <xdr:rowOff>0</xdr:rowOff>
                  </to>
                </anchor>
              </controlPr>
            </control>
          </mc:Choice>
        </mc:AlternateContent>
        <mc:AlternateContent xmlns:mc="http://schemas.openxmlformats.org/markup-compatibility/2006">
          <mc:Choice Requires="x14">
            <control shapeId="106576" r:id="rId6" name="Drop Down 80">
              <controlPr defaultSize="0" autoLine="0" autoPict="0">
                <anchor moveWithCells="1" sizeWithCells="1">
                  <from>
                    <xdr:col>0</xdr:col>
                    <xdr:colOff>0</xdr:colOff>
                    <xdr:row>41</xdr:row>
                    <xdr:rowOff>0</xdr:rowOff>
                  </from>
                  <to>
                    <xdr:col>1</xdr:col>
                    <xdr:colOff>0</xdr:colOff>
                    <xdr:row>42</xdr:row>
                    <xdr:rowOff>0</xdr:rowOff>
                  </to>
                </anchor>
              </controlPr>
            </control>
          </mc:Choice>
        </mc:AlternateContent>
        <mc:AlternateContent xmlns:mc="http://schemas.openxmlformats.org/markup-compatibility/2006">
          <mc:Choice Requires="x14">
            <control shapeId="106577" r:id="rId7" name="Drop Down 81">
              <controlPr defaultSize="0" autoLine="0" autoPict="0">
                <anchor moveWithCells="1" sizeWithCells="1">
                  <from>
                    <xdr:col>0</xdr:col>
                    <xdr:colOff>0</xdr:colOff>
                    <xdr:row>42</xdr:row>
                    <xdr:rowOff>0</xdr:rowOff>
                  </from>
                  <to>
                    <xdr:col>1</xdr:col>
                    <xdr:colOff>0</xdr:colOff>
                    <xdr:row>43</xdr:row>
                    <xdr:rowOff>0</xdr:rowOff>
                  </to>
                </anchor>
              </controlPr>
            </control>
          </mc:Choice>
        </mc:AlternateContent>
        <mc:AlternateContent xmlns:mc="http://schemas.openxmlformats.org/markup-compatibility/2006">
          <mc:Choice Requires="x14">
            <control shapeId="106578" r:id="rId8" name="Drop Down 82">
              <controlPr defaultSize="0" autoLine="0" autoPict="0">
                <anchor moveWithCells="1" sizeWithCells="1">
                  <from>
                    <xdr:col>0</xdr:col>
                    <xdr:colOff>0</xdr:colOff>
                    <xdr:row>43</xdr:row>
                    <xdr:rowOff>0</xdr:rowOff>
                  </from>
                  <to>
                    <xdr:col>1</xdr:col>
                    <xdr:colOff>0</xdr:colOff>
                    <xdr:row>44</xdr:row>
                    <xdr:rowOff>0</xdr:rowOff>
                  </to>
                </anchor>
              </controlPr>
            </control>
          </mc:Choice>
        </mc:AlternateContent>
        <mc:AlternateContent xmlns:mc="http://schemas.openxmlformats.org/markup-compatibility/2006">
          <mc:Choice Requires="x14">
            <control shapeId="106579" r:id="rId9" name="Drop Down 83">
              <controlPr defaultSize="0" autoLine="0" autoPict="0">
                <anchor moveWithCells="1" sizeWithCells="1">
                  <from>
                    <xdr:col>0</xdr:col>
                    <xdr:colOff>0</xdr:colOff>
                    <xdr:row>44</xdr:row>
                    <xdr:rowOff>0</xdr:rowOff>
                  </from>
                  <to>
                    <xdr:col>1</xdr:col>
                    <xdr:colOff>0</xdr:colOff>
                    <xdr:row>45</xdr:row>
                    <xdr:rowOff>0</xdr:rowOff>
                  </to>
                </anchor>
              </controlPr>
            </control>
          </mc:Choice>
        </mc:AlternateContent>
        <mc:AlternateContent xmlns:mc="http://schemas.openxmlformats.org/markup-compatibility/2006">
          <mc:Choice Requires="x14">
            <control shapeId="106580" r:id="rId10" name="Drop Down 84">
              <controlPr defaultSize="0" autoLine="0" autoPict="0">
                <anchor moveWithCells="1" sizeWithCells="1">
                  <from>
                    <xdr:col>0</xdr:col>
                    <xdr:colOff>0</xdr:colOff>
                    <xdr:row>45</xdr:row>
                    <xdr:rowOff>0</xdr:rowOff>
                  </from>
                  <to>
                    <xdr:col>1</xdr:col>
                    <xdr:colOff>0</xdr:colOff>
                    <xdr:row>46</xdr:row>
                    <xdr:rowOff>0</xdr:rowOff>
                  </to>
                </anchor>
              </controlPr>
            </control>
          </mc:Choice>
        </mc:AlternateContent>
        <mc:AlternateContent xmlns:mc="http://schemas.openxmlformats.org/markup-compatibility/2006">
          <mc:Choice Requires="x14">
            <control shapeId="106581" r:id="rId11" name="Drop Down 85">
              <controlPr defaultSize="0" autoLine="0" autoPict="0">
                <anchor moveWithCells="1" sizeWithCells="1">
                  <from>
                    <xdr:col>0</xdr:col>
                    <xdr:colOff>0</xdr:colOff>
                    <xdr:row>46</xdr:row>
                    <xdr:rowOff>0</xdr:rowOff>
                  </from>
                  <to>
                    <xdr:col>1</xdr:col>
                    <xdr:colOff>0</xdr:colOff>
                    <xdr:row>47</xdr:row>
                    <xdr:rowOff>0</xdr:rowOff>
                  </to>
                </anchor>
              </controlPr>
            </control>
          </mc:Choice>
        </mc:AlternateContent>
        <mc:AlternateContent xmlns:mc="http://schemas.openxmlformats.org/markup-compatibility/2006">
          <mc:Choice Requires="x14">
            <control shapeId="106582" r:id="rId12" name="Drop Down 86">
              <controlPr defaultSize="0" autoLine="0" autoPict="0">
                <anchor moveWithCells="1" sizeWithCells="1">
                  <from>
                    <xdr:col>0</xdr:col>
                    <xdr:colOff>0</xdr:colOff>
                    <xdr:row>47</xdr:row>
                    <xdr:rowOff>0</xdr:rowOff>
                  </from>
                  <to>
                    <xdr:col>1</xdr:col>
                    <xdr:colOff>0</xdr:colOff>
                    <xdr:row>48</xdr:row>
                    <xdr:rowOff>0</xdr:rowOff>
                  </to>
                </anchor>
              </controlPr>
            </control>
          </mc:Choice>
        </mc:AlternateContent>
        <mc:AlternateContent xmlns:mc="http://schemas.openxmlformats.org/markup-compatibility/2006">
          <mc:Choice Requires="x14">
            <control shapeId="106583" r:id="rId13" name="Drop Down 87">
              <controlPr defaultSize="0" autoLine="0" autoPict="0">
                <anchor moveWithCells="1" sizeWithCells="1">
                  <from>
                    <xdr:col>0</xdr:col>
                    <xdr:colOff>0</xdr:colOff>
                    <xdr:row>48</xdr:row>
                    <xdr:rowOff>0</xdr:rowOff>
                  </from>
                  <to>
                    <xdr:col>1</xdr:col>
                    <xdr:colOff>0</xdr:colOff>
                    <xdr:row>49</xdr:row>
                    <xdr:rowOff>0</xdr:rowOff>
                  </to>
                </anchor>
              </controlPr>
            </control>
          </mc:Choice>
        </mc:AlternateContent>
        <mc:AlternateContent xmlns:mc="http://schemas.openxmlformats.org/markup-compatibility/2006">
          <mc:Choice Requires="x14">
            <control shapeId="106584" r:id="rId14" name="Drop Down 88">
              <controlPr defaultSize="0" autoLine="0" autoPict="0">
                <anchor moveWithCells="1" sizeWithCells="1">
                  <from>
                    <xdr:col>0</xdr:col>
                    <xdr:colOff>0</xdr:colOff>
                    <xdr:row>49</xdr:row>
                    <xdr:rowOff>0</xdr:rowOff>
                  </from>
                  <to>
                    <xdr:col>1</xdr:col>
                    <xdr:colOff>0</xdr:colOff>
                    <xdr:row>50</xdr:row>
                    <xdr:rowOff>0</xdr:rowOff>
                  </to>
                </anchor>
              </controlPr>
            </control>
          </mc:Choice>
        </mc:AlternateContent>
        <mc:AlternateContent xmlns:mc="http://schemas.openxmlformats.org/markup-compatibility/2006">
          <mc:Choice Requires="x14">
            <control shapeId="106585" r:id="rId15" name="Drop Down 89">
              <controlPr defaultSize="0" autoLine="0" autoPict="0">
                <anchor moveWithCells="1" sizeWithCells="1">
                  <from>
                    <xdr:col>3</xdr:col>
                    <xdr:colOff>0</xdr:colOff>
                    <xdr:row>39</xdr:row>
                    <xdr:rowOff>0</xdr:rowOff>
                  </from>
                  <to>
                    <xdr:col>4</xdr:col>
                    <xdr:colOff>0</xdr:colOff>
                    <xdr:row>40</xdr:row>
                    <xdr:rowOff>0</xdr:rowOff>
                  </to>
                </anchor>
              </controlPr>
            </control>
          </mc:Choice>
        </mc:AlternateContent>
        <mc:AlternateContent xmlns:mc="http://schemas.openxmlformats.org/markup-compatibility/2006">
          <mc:Choice Requires="x14">
            <control shapeId="106586" r:id="rId16" name="Drop Down 90">
              <controlPr defaultSize="0" autoLine="0" autoPict="0">
                <anchor moveWithCells="1" sizeWithCells="1">
                  <from>
                    <xdr:col>3</xdr:col>
                    <xdr:colOff>0</xdr:colOff>
                    <xdr:row>40</xdr:row>
                    <xdr:rowOff>0</xdr:rowOff>
                  </from>
                  <to>
                    <xdr:col>4</xdr:col>
                    <xdr:colOff>0</xdr:colOff>
                    <xdr:row>41</xdr:row>
                    <xdr:rowOff>0</xdr:rowOff>
                  </to>
                </anchor>
              </controlPr>
            </control>
          </mc:Choice>
        </mc:AlternateContent>
        <mc:AlternateContent xmlns:mc="http://schemas.openxmlformats.org/markup-compatibility/2006">
          <mc:Choice Requires="x14">
            <control shapeId="106587" r:id="rId17" name="Drop Down 91">
              <controlPr defaultSize="0" autoLine="0" autoPict="0">
                <anchor moveWithCells="1" sizeWithCells="1">
                  <from>
                    <xdr:col>3</xdr:col>
                    <xdr:colOff>0</xdr:colOff>
                    <xdr:row>41</xdr:row>
                    <xdr:rowOff>0</xdr:rowOff>
                  </from>
                  <to>
                    <xdr:col>4</xdr:col>
                    <xdr:colOff>0</xdr:colOff>
                    <xdr:row>42</xdr:row>
                    <xdr:rowOff>0</xdr:rowOff>
                  </to>
                </anchor>
              </controlPr>
            </control>
          </mc:Choice>
        </mc:AlternateContent>
        <mc:AlternateContent xmlns:mc="http://schemas.openxmlformats.org/markup-compatibility/2006">
          <mc:Choice Requires="x14">
            <control shapeId="106588" r:id="rId18" name="Drop Down 92">
              <controlPr defaultSize="0" autoLine="0" autoPict="0">
                <anchor moveWithCells="1" sizeWithCells="1">
                  <from>
                    <xdr:col>3</xdr:col>
                    <xdr:colOff>0</xdr:colOff>
                    <xdr:row>42</xdr:row>
                    <xdr:rowOff>0</xdr:rowOff>
                  </from>
                  <to>
                    <xdr:col>4</xdr:col>
                    <xdr:colOff>0</xdr:colOff>
                    <xdr:row>43</xdr:row>
                    <xdr:rowOff>0</xdr:rowOff>
                  </to>
                </anchor>
              </controlPr>
            </control>
          </mc:Choice>
        </mc:AlternateContent>
        <mc:AlternateContent xmlns:mc="http://schemas.openxmlformats.org/markup-compatibility/2006">
          <mc:Choice Requires="x14">
            <control shapeId="106589" r:id="rId19" name="Drop Down 93">
              <controlPr defaultSize="0" autoLine="0" autoPict="0">
                <anchor moveWithCells="1" sizeWithCells="1">
                  <from>
                    <xdr:col>3</xdr:col>
                    <xdr:colOff>0</xdr:colOff>
                    <xdr:row>43</xdr:row>
                    <xdr:rowOff>0</xdr:rowOff>
                  </from>
                  <to>
                    <xdr:col>4</xdr:col>
                    <xdr:colOff>0</xdr:colOff>
                    <xdr:row>44</xdr:row>
                    <xdr:rowOff>0</xdr:rowOff>
                  </to>
                </anchor>
              </controlPr>
            </control>
          </mc:Choice>
        </mc:AlternateContent>
        <mc:AlternateContent xmlns:mc="http://schemas.openxmlformats.org/markup-compatibility/2006">
          <mc:Choice Requires="x14">
            <control shapeId="106590" r:id="rId20" name="Drop Down 94">
              <controlPr defaultSize="0" autoLine="0" autoPict="0">
                <anchor moveWithCells="1" sizeWithCells="1">
                  <from>
                    <xdr:col>3</xdr:col>
                    <xdr:colOff>0</xdr:colOff>
                    <xdr:row>44</xdr:row>
                    <xdr:rowOff>0</xdr:rowOff>
                  </from>
                  <to>
                    <xdr:col>4</xdr:col>
                    <xdr:colOff>0</xdr:colOff>
                    <xdr:row>45</xdr:row>
                    <xdr:rowOff>0</xdr:rowOff>
                  </to>
                </anchor>
              </controlPr>
            </control>
          </mc:Choice>
        </mc:AlternateContent>
        <mc:AlternateContent xmlns:mc="http://schemas.openxmlformats.org/markup-compatibility/2006">
          <mc:Choice Requires="x14">
            <control shapeId="106591" r:id="rId21" name="Drop Down 95">
              <controlPr defaultSize="0" autoLine="0" autoPict="0">
                <anchor moveWithCells="1" sizeWithCells="1">
                  <from>
                    <xdr:col>3</xdr:col>
                    <xdr:colOff>0</xdr:colOff>
                    <xdr:row>45</xdr:row>
                    <xdr:rowOff>0</xdr:rowOff>
                  </from>
                  <to>
                    <xdr:col>4</xdr:col>
                    <xdr:colOff>0</xdr:colOff>
                    <xdr:row>46</xdr:row>
                    <xdr:rowOff>0</xdr:rowOff>
                  </to>
                </anchor>
              </controlPr>
            </control>
          </mc:Choice>
        </mc:AlternateContent>
        <mc:AlternateContent xmlns:mc="http://schemas.openxmlformats.org/markup-compatibility/2006">
          <mc:Choice Requires="x14">
            <control shapeId="106592" r:id="rId22" name="Drop Down 96">
              <controlPr defaultSize="0" autoLine="0" autoPict="0">
                <anchor moveWithCells="1" sizeWithCells="1">
                  <from>
                    <xdr:col>3</xdr:col>
                    <xdr:colOff>0</xdr:colOff>
                    <xdr:row>46</xdr:row>
                    <xdr:rowOff>0</xdr:rowOff>
                  </from>
                  <to>
                    <xdr:col>4</xdr:col>
                    <xdr:colOff>0</xdr:colOff>
                    <xdr:row>47</xdr:row>
                    <xdr:rowOff>0</xdr:rowOff>
                  </to>
                </anchor>
              </controlPr>
            </control>
          </mc:Choice>
        </mc:AlternateContent>
        <mc:AlternateContent xmlns:mc="http://schemas.openxmlformats.org/markup-compatibility/2006">
          <mc:Choice Requires="x14">
            <control shapeId="106593" r:id="rId23" name="Drop Down 97">
              <controlPr defaultSize="0" autoLine="0" autoPict="0">
                <anchor moveWithCells="1" sizeWithCells="1">
                  <from>
                    <xdr:col>3</xdr:col>
                    <xdr:colOff>0</xdr:colOff>
                    <xdr:row>47</xdr:row>
                    <xdr:rowOff>0</xdr:rowOff>
                  </from>
                  <to>
                    <xdr:col>4</xdr:col>
                    <xdr:colOff>0</xdr:colOff>
                    <xdr:row>48</xdr:row>
                    <xdr:rowOff>0</xdr:rowOff>
                  </to>
                </anchor>
              </controlPr>
            </control>
          </mc:Choice>
        </mc:AlternateContent>
        <mc:AlternateContent xmlns:mc="http://schemas.openxmlformats.org/markup-compatibility/2006">
          <mc:Choice Requires="x14">
            <control shapeId="106594" r:id="rId24" name="Drop Down 98">
              <controlPr defaultSize="0" autoLine="0" autoPict="0">
                <anchor moveWithCells="1" sizeWithCells="1">
                  <from>
                    <xdr:col>3</xdr:col>
                    <xdr:colOff>0</xdr:colOff>
                    <xdr:row>48</xdr:row>
                    <xdr:rowOff>0</xdr:rowOff>
                  </from>
                  <to>
                    <xdr:col>4</xdr:col>
                    <xdr:colOff>0</xdr:colOff>
                    <xdr:row>49</xdr:row>
                    <xdr:rowOff>0</xdr:rowOff>
                  </to>
                </anchor>
              </controlPr>
            </control>
          </mc:Choice>
        </mc:AlternateContent>
        <mc:AlternateContent xmlns:mc="http://schemas.openxmlformats.org/markup-compatibility/2006">
          <mc:Choice Requires="x14">
            <control shapeId="106601" r:id="rId25" name="Drop Down 105">
              <controlPr defaultSize="0" autoLine="0" autoPict="0">
                <anchor moveWithCells="1" sizeWithCells="1">
                  <from>
                    <xdr:col>4</xdr:col>
                    <xdr:colOff>0</xdr:colOff>
                    <xdr:row>40</xdr:row>
                    <xdr:rowOff>0</xdr:rowOff>
                  </from>
                  <to>
                    <xdr:col>5</xdr:col>
                    <xdr:colOff>0</xdr:colOff>
                    <xdr:row>41</xdr:row>
                    <xdr:rowOff>0</xdr:rowOff>
                  </to>
                </anchor>
              </controlPr>
            </control>
          </mc:Choice>
        </mc:AlternateContent>
        <mc:AlternateContent xmlns:mc="http://schemas.openxmlformats.org/markup-compatibility/2006">
          <mc:Choice Requires="x14">
            <control shapeId="106602" r:id="rId26" name="Drop Down 106">
              <controlPr defaultSize="0" autoLine="0" autoPict="0">
                <anchor moveWithCells="1" sizeWithCells="1">
                  <from>
                    <xdr:col>4</xdr:col>
                    <xdr:colOff>0</xdr:colOff>
                    <xdr:row>41</xdr:row>
                    <xdr:rowOff>0</xdr:rowOff>
                  </from>
                  <to>
                    <xdr:col>5</xdr:col>
                    <xdr:colOff>0</xdr:colOff>
                    <xdr:row>42</xdr:row>
                    <xdr:rowOff>0</xdr:rowOff>
                  </to>
                </anchor>
              </controlPr>
            </control>
          </mc:Choice>
        </mc:AlternateContent>
        <mc:AlternateContent xmlns:mc="http://schemas.openxmlformats.org/markup-compatibility/2006">
          <mc:Choice Requires="x14">
            <control shapeId="106603" r:id="rId27" name="Drop Down 107">
              <controlPr defaultSize="0" autoLine="0" autoPict="0">
                <anchor moveWithCells="1" sizeWithCells="1">
                  <from>
                    <xdr:col>4</xdr:col>
                    <xdr:colOff>0</xdr:colOff>
                    <xdr:row>42</xdr:row>
                    <xdr:rowOff>0</xdr:rowOff>
                  </from>
                  <to>
                    <xdr:col>5</xdr:col>
                    <xdr:colOff>0</xdr:colOff>
                    <xdr:row>43</xdr:row>
                    <xdr:rowOff>0</xdr:rowOff>
                  </to>
                </anchor>
              </controlPr>
            </control>
          </mc:Choice>
        </mc:AlternateContent>
        <mc:AlternateContent xmlns:mc="http://schemas.openxmlformats.org/markup-compatibility/2006">
          <mc:Choice Requires="x14">
            <control shapeId="106604" r:id="rId28" name="Drop Down 108">
              <controlPr defaultSize="0" autoLine="0" autoPict="0">
                <anchor moveWithCells="1" sizeWithCells="1">
                  <from>
                    <xdr:col>4</xdr:col>
                    <xdr:colOff>0</xdr:colOff>
                    <xdr:row>43</xdr:row>
                    <xdr:rowOff>0</xdr:rowOff>
                  </from>
                  <to>
                    <xdr:col>5</xdr:col>
                    <xdr:colOff>0</xdr:colOff>
                    <xdr:row>44</xdr:row>
                    <xdr:rowOff>0</xdr:rowOff>
                  </to>
                </anchor>
              </controlPr>
            </control>
          </mc:Choice>
        </mc:AlternateContent>
        <mc:AlternateContent xmlns:mc="http://schemas.openxmlformats.org/markup-compatibility/2006">
          <mc:Choice Requires="x14">
            <control shapeId="106605" r:id="rId29" name="Drop Down 109">
              <controlPr defaultSize="0" autoLine="0" autoPict="0">
                <anchor moveWithCells="1" sizeWithCells="1">
                  <from>
                    <xdr:col>4</xdr:col>
                    <xdr:colOff>0</xdr:colOff>
                    <xdr:row>44</xdr:row>
                    <xdr:rowOff>0</xdr:rowOff>
                  </from>
                  <to>
                    <xdr:col>5</xdr:col>
                    <xdr:colOff>0</xdr:colOff>
                    <xdr:row>45</xdr:row>
                    <xdr:rowOff>0</xdr:rowOff>
                  </to>
                </anchor>
              </controlPr>
            </control>
          </mc:Choice>
        </mc:AlternateContent>
        <mc:AlternateContent xmlns:mc="http://schemas.openxmlformats.org/markup-compatibility/2006">
          <mc:Choice Requires="x14">
            <control shapeId="106606" r:id="rId30" name="Drop Down 110">
              <controlPr defaultSize="0" autoLine="0" autoPict="0">
                <anchor moveWithCells="1" sizeWithCells="1">
                  <from>
                    <xdr:col>4</xdr:col>
                    <xdr:colOff>0</xdr:colOff>
                    <xdr:row>45</xdr:row>
                    <xdr:rowOff>0</xdr:rowOff>
                  </from>
                  <to>
                    <xdr:col>5</xdr:col>
                    <xdr:colOff>0</xdr:colOff>
                    <xdr:row>46</xdr:row>
                    <xdr:rowOff>0</xdr:rowOff>
                  </to>
                </anchor>
              </controlPr>
            </control>
          </mc:Choice>
        </mc:AlternateContent>
        <mc:AlternateContent xmlns:mc="http://schemas.openxmlformats.org/markup-compatibility/2006">
          <mc:Choice Requires="x14">
            <control shapeId="106607" r:id="rId31" name="Drop Down 111">
              <controlPr defaultSize="0" autoLine="0" autoPict="0">
                <anchor moveWithCells="1" sizeWithCells="1">
                  <from>
                    <xdr:col>4</xdr:col>
                    <xdr:colOff>0</xdr:colOff>
                    <xdr:row>46</xdr:row>
                    <xdr:rowOff>0</xdr:rowOff>
                  </from>
                  <to>
                    <xdr:col>5</xdr:col>
                    <xdr:colOff>0</xdr:colOff>
                    <xdr:row>47</xdr:row>
                    <xdr:rowOff>0</xdr:rowOff>
                  </to>
                </anchor>
              </controlPr>
            </control>
          </mc:Choice>
        </mc:AlternateContent>
        <mc:AlternateContent xmlns:mc="http://schemas.openxmlformats.org/markup-compatibility/2006">
          <mc:Choice Requires="x14">
            <control shapeId="106608" r:id="rId32" name="Drop Down 112">
              <controlPr defaultSize="0" autoLine="0" autoPict="0">
                <anchor moveWithCells="1" sizeWithCells="1">
                  <from>
                    <xdr:col>4</xdr:col>
                    <xdr:colOff>0</xdr:colOff>
                    <xdr:row>47</xdr:row>
                    <xdr:rowOff>0</xdr:rowOff>
                  </from>
                  <to>
                    <xdr:col>5</xdr:col>
                    <xdr:colOff>0</xdr:colOff>
                    <xdr:row>48</xdr:row>
                    <xdr:rowOff>0</xdr:rowOff>
                  </to>
                </anchor>
              </controlPr>
            </control>
          </mc:Choice>
        </mc:AlternateContent>
        <mc:AlternateContent xmlns:mc="http://schemas.openxmlformats.org/markup-compatibility/2006">
          <mc:Choice Requires="x14">
            <control shapeId="106609" r:id="rId33" name="Drop Down 113">
              <controlPr defaultSize="0" autoLine="0" autoPict="0">
                <anchor moveWithCells="1" sizeWithCells="1">
                  <from>
                    <xdr:col>4</xdr:col>
                    <xdr:colOff>0</xdr:colOff>
                    <xdr:row>48</xdr:row>
                    <xdr:rowOff>0</xdr:rowOff>
                  </from>
                  <to>
                    <xdr:col>5</xdr:col>
                    <xdr:colOff>0</xdr:colOff>
                    <xdr:row>49</xdr:row>
                    <xdr:rowOff>0</xdr:rowOff>
                  </to>
                </anchor>
              </controlPr>
            </control>
          </mc:Choice>
        </mc:AlternateContent>
        <mc:AlternateContent xmlns:mc="http://schemas.openxmlformats.org/markup-compatibility/2006">
          <mc:Choice Requires="x14">
            <control shapeId="106610" r:id="rId34" name="Drop Down 114">
              <controlPr defaultSize="0" autoLine="0" autoPict="0">
                <anchor moveWithCells="1" sizeWithCells="1">
                  <from>
                    <xdr:col>4</xdr:col>
                    <xdr:colOff>0</xdr:colOff>
                    <xdr:row>49</xdr:row>
                    <xdr:rowOff>0</xdr:rowOff>
                  </from>
                  <to>
                    <xdr:col>5</xdr:col>
                    <xdr:colOff>0</xdr:colOff>
                    <xdr:row>50</xdr:row>
                    <xdr:rowOff>0</xdr:rowOff>
                  </to>
                </anchor>
              </controlPr>
            </control>
          </mc:Choice>
        </mc:AlternateContent>
        <mc:AlternateContent xmlns:mc="http://schemas.openxmlformats.org/markup-compatibility/2006">
          <mc:Choice Requires="x14">
            <control shapeId="106614" r:id="rId35" name="Drop Down 118">
              <controlPr defaultSize="0" autoLine="0" autoPict="0">
                <anchor moveWithCells="1" sizeWithCells="1">
                  <from>
                    <xdr:col>14</xdr:col>
                    <xdr:colOff>0</xdr:colOff>
                    <xdr:row>40</xdr:row>
                    <xdr:rowOff>0</xdr:rowOff>
                  </from>
                  <to>
                    <xdr:col>15</xdr:col>
                    <xdr:colOff>0</xdr:colOff>
                    <xdr:row>41</xdr:row>
                    <xdr:rowOff>0</xdr:rowOff>
                  </to>
                </anchor>
              </controlPr>
            </control>
          </mc:Choice>
        </mc:AlternateContent>
        <mc:AlternateContent xmlns:mc="http://schemas.openxmlformats.org/markup-compatibility/2006">
          <mc:Choice Requires="x14">
            <control shapeId="106615" r:id="rId36" name="Drop Down 119">
              <controlPr defaultSize="0" autoLine="0" autoPict="0">
                <anchor moveWithCells="1" sizeWithCells="1">
                  <from>
                    <xdr:col>14</xdr:col>
                    <xdr:colOff>0</xdr:colOff>
                    <xdr:row>41</xdr:row>
                    <xdr:rowOff>0</xdr:rowOff>
                  </from>
                  <to>
                    <xdr:col>15</xdr:col>
                    <xdr:colOff>0</xdr:colOff>
                    <xdr:row>42</xdr:row>
                    <xdr:rowOff>0</xdr:rowOff>
                  </to>
                </anchor>
              </controlPr>
            </control>
          </mc:Choice>
        </mc:AlternateContent>
        <mc:AlternateContent xmlns:mc="http://schemas.openxmlformats.org/markup-compatibility/2006">
          <mc:Choice Requires="x14">
            <control shapeId="106616" r:id="rId37" name="Drop Down 120">
              <controlPr defaultSize="0" autoLine="0" autoPict="0">
                <anchor moveWithCells="1" sizeWithCells="1">
                  <from>
                    <xdr:col>14</xdr:col>
                    <xdr:colOff>0</xdr:colOff>
                    <xdr:row>42</xdr:row>
                    <xdr:rowOff>0</xdr:rowOff>
                  </from>
                  <to>
                    <xdr:col>15</xdr:col>
                    <xdr:colOff>0</xdr:colOff>
                    <xdr:row>43</xdr:row>
                    <xdr:rowOff>0</xdr:rowOff>
                  </to>
                </anchor>
              </controlPr>
            </control>
          </mc:Choice>
        </mc:AlternateContent>
        <mc:AlternateContent xmlns:mc="http://schemas.openxmlformats.org/markup-compatibility/2006">
          <mc:Choice Requires="x14">
            <control shapeId="106617" r:id="rId38" name="Drop Down 121">
              <controlPr defaultSize="0" autoLine="0" autoPict="0">
                <anchor moveWithCells="1" sizeWithCells="1">
                  <from>
                    <xdr:col>14</xdr:col>
                    <xdr:colOff>0</xdr:colOff>
                    <xdr:row>43</xdr:row>
                    <xdr:rowOff>0</xdr:rowOff>
                  </from>
                  <to>
                    <xdr:col>15</xdr:col>
                    <xdr:colOff>0</xdr:colOff>
                    <xdr:row>44</xdr:row>
                    <xdr:rowOff>0</xdr:rowOff>
                  </to>
                </anchor>
              </controlPr>
            </control>
          </mc:Choice>
        </mc:AlternateContent>
        <mc:AlternateContent xmlns:mc="http://schemas.openxmlformats.org/markup-compatibility/2006">
          <mc:Choice Requires="x14">
            <control shapeId="106618" r:id="rId39" name="Drop Down 122">
              <controlPr defaultSize="0" autoLine="0" autoPict="0">
                <anchor moveWithCells="1" sizeWithCells="1">
                  <from>
                    <xdr:col>14</xdr:col>
                    <xdr:colOff>0</xdr:colOff>
                    <xdr:row>44</xdr:row>
                    <xdr:rowOff>0</xdr:rowOff>
                  </from>
                  <to>
                    <xdr:col>15</xdr:col>
                    <xdr:colOff>0</xdr:colOff>
                    <xdr:row>45</xdr:row>
                    <xdr:rowOff>0</xdr:rowOff>
                  </to>
                </anchor>
              </controlPr>
            </control>
          </mc:Choice>
        </mc:AlternateContent>
        <mc:AlternateContent xmlns:mc="http://schemas.openxmlformats.org/markup-compatibility/2006">
          <mc:Choice Requires="x14">
            <control shapeId="106619" r:id="rId40" name="Drop Down 123">
              <controlPr defaultSize="0" autoLine="0" autoPict="0">
                <anchor moveWithCells="1" sizeWithCells="1">
                  <from>
                    <xdr:col>14</xdr:col>
                    <xdr:colOff>0</xdr:colOff>
                    <xdr:row>45</xdr:row>
                    <xdr:rowOff>0</xdr:rowOff>
                  </from>
                  <to>
                    <xdr:col>15</xdr:col>
                    <xdr:colOff>0</xdr:colOff>
                    <xdr:row>46</xdr:row>
                    <xdr:rowOff>0</xdr:rowOff>
                  </to>
                </anchor>
              </controlPr>
            </control>
          </mc:Choice>
        </mc:AlternateContent>
        <mc:AlternateContent xmlns:mc="http://schemas.openxmlformats.org/markup-compatibility/2006">
          <mc:Choice Requires="x14">
            <control shapeId="106620" r:id="rId41" name="Drop Down 124">
              <controlPr defaultSize="0" autoLine="0" autoPict="0">
                <anchor moveWithCells="1" sizeWithCells="1">
                  <from>
                    <xdr:col>14</xdr:col>
                    <xdr:colOff>0</xdr:colOff>
                    <xdr:row>46</xdr:row>
                    <xdr:rowOff>0</xdr:rowOff>
                  </from>
                  <to>
                    <xdr:col>15</xdr:col>
                    <xdr:colOff>0</xdr:colOff>
                    <xdr:row>47</xdr:row>
                    <xdr:rowOff>0</xdr:rowOff>
                  </to>
                </anchor>
              </controlPr>
            </control>
          </mc:Choice>
        </mc:AlternateContent>
        <mc:AlternateContent xmlns:mc="http://schemas.openxmlformats.org/markup-compatibility/2006">
          <mc:Choice Requires="x14">
            <control shapeId="106621" r:id="rId42" name="Drop Down 125">
              <controlPr defaultSize="0" autoLine="0" autoPict="0">
                <anchor moveWithCells="1" sizeWithCells="1">
                  <from>
                    <xdr:col>14</xdr:col>
                    <xdr:colOff>0</xdr:colOff>
                    <xdr:row>47</xdr:row>
                    <xdr:rowOff>0</xdr:rowOff>
                  </from>
                  <to>
                    <xdr:col>15</xdr:col>
                    <xdr:colOff>0</xdr:colOff>
                    <xdr:row>48</xdr:row>
                    <xdr:rowOff>0</xdr:rowOff>
                  </to>
                </anchor>
              </controlPr>
            </control>
          </mc:Choice>
        </mc:AlternateContent>
        <mc:AlternateContent xmlns:mc="http://schemas.openxmlformats.org/markup-compatibility/2006">
          <mc:Choice Requires="x14">
            <control shapeId="106622" r:id="rId43" name="Drop Down 126">
              <controlPr defaultSize="0" autoLine="0" autoPict="0">
                <anchor moveWithCells="1" sizeWithCells="1">
                  <from>
                    <xdr:col>14</xdr:col>
                    <xdr:colOff>0</xdr:colOff>
                    <xdr:row>48</xdr:row>
                    <xdr:rowOff>0</xdr:rowOff>
                  </from>
                  <to>
                    <xdr:col>15</xdr:col>
                    <xdr:colOff>0</xdr:colOff>
                    <xdr:row>49</xdr:row>
                    <xdr:rowOff>0</xdr:rowOff>
                  </to>
                </anchor>
              </controlPr>
            </control>
          </mc:Choice>
        </mc:AlternateContent>
        <mc:AlternateContent xmlns:mc="http://schemas.openxmlformats.org/markup-compatibility/2006">
          <mc:Choice Requires="x14">
            <control shapeId="106623" r:id="rId44" name="Drop Down 127">
              <controlPr defaultSize="0" autoLine="0" autoPict="0">
                <anchor moveWithCells="1" sizeWithCells="1">
                  <from>
                    <xdr:col>14</xdr:col>
                    <xdr:colOff>0</xdr:colOff>
                    <xdr:row>49</xdr:row>
                    <xdr:rowOff>0</xdr:rowOff>
                  </from>
                  <to>
                    <xdr:col>15</xdr:col>
                    <xdr:colOff>0</xdr:colOff>
                    <xdr:row>50</xdr:row>
                    <xdr:rowOff>0</xdr:rowOff>
                  </to>
                </anchor>
              </controlPr>
            </control>
          </mc:Choice>
        </mc:AlternateContent>
        <mc:AlternateContent xmlns:mc="http://schemas.openxmlformats.org/markup-compatibility/2006">
          <mc:Choice Requires="x14">
            <control shapeId="106627" r:id="rId45" name="Drop Down 131">
              <controlPr defaultSize="0" autoLine="0" autoPict="0">
                <anchor moveWithCells="1" sizeWithCells="1">
                  <from>
                    <xdr:col>0</xdr:col>
                    <xdr:colOff>0</xdr:colOff>
                    <xdr:row>58</xdr:row>
                    <xdr:rowOff>0</xdr:rowOff>
                  </from>
                  <to>
                    <xdr:col>1</xdr:col>
                    <xdr:colOff>0</xdr:colOff>
                    <xdr:row>59</xdr:row>
                    <xdr:rowOff>0</xdr:rowOff>
                  </to>
                </anchor>
              </controlPr>
            </control>
          </mc:Choice>
        </mc:AlternateContent>
        <mc:AlternateContent xmlns:mc="http://schemas.openxmlformats.org/markup-compatibility/2006">
          <mc:Choice Requires="x14">
            <control shapeId="106628" r:id="rId46" name="Drop Down 132">
              <controlPr defaultSize="0" autoLine="0" autoPict="0">
                <anchor moveWithCells="1" sizeWithCells="1">
                  <from>
                    <xdr:col>0</xdr:col>
                    <xdr:colOff>0</xdr:colOff>
                    <xdr:row>59</xdr:row>
                    <xdr:rowOff>0</xdr:rowOff>
                  </from>
                  <to>
                    <xdr:col>1</xdr:col>
                    <xdr:colOff>0</xdr:colOff>
                    <xdr:row>60</xdr:row>
                    <xdr:rowOff>0</xdr:rowOff>
                  </to>
                </anchor>
              </controlPr>
            </control>
          </mc:Choice>
        </mc:AlternateContent>
        <mc:AlternateContent xmlns:mc="http://schemas.openxmlformats.org/markup-compatibility/2006">
          <mc:Choice Requires="x14">
            <control shapeId="106629" r:id="rId47" name="Drop Down 133">
              <controlPr defaultSize="0" autoLine="0" autoPict="0">
                <anchor moveWithCells="1" sizeWithCells="1">
                  <from>
                    <xdr:col>0</xdr:col>
                    <xdr:colOff>0</xdr:colOff>
                    <xdr:row>60</xdr:row>
                    <xdr:rowOff>0</xdr:rowOff>
                  </from>
                  <to>
                    <xdr:col>1</xdr:col>
                    <xdr:colOff>0</xdr:colOff>
                    <xdr:row>61</xdr:row>
                    <xdr:rowOff>0</xdr:rowOff>
                  </to>
                </anchor>
              </controlPr>
            </control>
          </mc:Choice>
        </mc:AlternateContent>
        <mc:AlternateContent xmlns:mc="http://schemas.openxmlformats.org/markup-compatibility/2006">
          <mc:Choice Requires="x14">
            <control shapeId="106630" r:id="rId48" name="Drop Down 134">
              <controlPr defaultSize="0" autoLine="0" autoPict="0">
                <anchor moveWithCells="1" sizeWithCells="1">
                  <from>
                    <xdr:col>0</xdr:col>
                    <xdr:colOff>0</xdr:colOff>
                    <xdr:row>61</xdr:row>
                    <xdr:rowOff>0</xdr:rowOff>
                  </from>
                  <to>
                    <xdr:col>1</xdr:col>
                    <xdr:colOff>0</xdr:colOff>
                    <xdr:row>62</xdr:row>
                    <xdr:rowOff>0</xdr:rowOff>
                  </to>
                </anchor>
              </controlPr>
            </control>
          </mc:Choice>
        </mc:AlternateContent>
        <mc:AlternateContent xmlns:mc="http://schemas.openxmlformats.org/markup-compatibility/2006">
          <mc:Choice Requires="x14">
            <control shapeId="106631" r:id="rId49" name="Drop Down 135">
              <controlPr defaultSize="0" autoLine="0" autoPict="0">
                <anchor moveWithCells="1" sizeWithCells="1">
                  <from>
                    <xdr:col>0</xdr:col>
                    <xdr:colOff>0</xdr:colOff>
                    <xdr:row>62</xdr:row>
                    <xdr:rowOff>0</xdr:rowOff>
                  </from>
                  <to>
                    <xdr:col>1</xdr:col>
                    <xdr:colOff>0</xdr:colOff>
                    <xdr:row>63</xdr:row>
                    <xdr:rowOff>0</xdr:rowOff>
                  </to>
                </anchor>
              </controlPr>
            </control>
          </mc:Choice>
        </mc:AlternateContent>
        <mc:AlternateContent xmlns:mc="http://schemas.openxmlformats.org/markup-compatibility/2006">
          <mc:Choice Requires="x14">
            <control shapeId="106632" r:id="rId50" name="Drop Down 136">
              <controlPr defaultSize="0" autoLine="0" autoPict="0">
                <anchor moveWithCells="1" sizeWithCells="1">
                  <from>
                    <xdr:col>0</xdr:col>
                    <xdr:colOff>0</xdr:colOff>
                    <xdr:row>63</xdr:row>
                    <xdr:rowOff>0</xdr:rowOff>
                  </from>
                  <to>
                    <xdr:col>1</xdr:col>
                    <xdr:colOff>0</xdr:colOff>
                    <xdr:row>64</xdr:row>
                    <xdr:rowOff>0</xdr:rowOff>
                  </to>
                </anchor>
              </controlPr>
            </control>
          </mc:Choice>
        </mc:AlternateContent>
        <mc:AlternateContent xmlns:mc="http://schemas.openxmlformats.org/markup-compatibility/2006">
          <mc:Choice Requires="x14">
            <control shapeId="106633" r:id="rId51" name="Drop Down 137">
              <controlPr defaultSize="0" autoLine="0" autoPict="0">
                <anchor moveWithCells="1" sizeWithCells="1">
                  <from>
                    <xdr:col>0</xdr:col>
                    <xdr:colOff>0</xdr:colOff>
                    <xdr:row>64</xdr:row>
                    <xdr:rowOff>0</xdr:rowOff>
                  </from>
                  <to>
                    <xdr:col>1</xdr:col>
                    <xdr:colOff>0</xdr:colOff>
                    <xdr:row>65</xdr:row>
                    <xdr:rowOff>0</xdr:rowOff>
                  </to>
                </anchor>
              </controlPr>
            </control>
          </mc:Choice>
        </mc:AlternateContent>
        <mc:AlternateContent xmlns:mc="http://schemas.openxmlformats.org/markup-compatibility/2006">
          <mc:Choice Requires="x14">
            <control shapeId="106634" r:id="rId52" name="Drop Down 138">
              <controlPr defaultSize="0" autoLine="0" autoPict="0">
                <anchor moveWithCells="1" sizeWithCells="1">
                  <from>
                    <xdr:col>0</xdr:col>
                    <xdr:colOff>0</xdr:colOff>
                    <xdr:row>65</xdr:row>
                    <xdr:rowOff>0</xdr:rowOff>
                  </from>
                  <to>
                    <xdr:col>1</xdr:col>
                    <xdr:colOff>0</xdr:colOff>
                    <xdr:row>66</xdr:row>
                    <xdr:rowOff>0</xdr:rowOff>
                  </to>
                </anchor>
              </controlPr>
            </control>
          </mc:Choice>
        </mc:AlternateContent>
        <mc:AlternateContent xmlns:mc="http://schemas.openxmlformats.org/markup-compatibility/2006">
          <mc:Choice Requires="x14">
            <control shapeId="106635" r:id="rId53" name="Drop Down 139">
              <controlPr defaultSize="0" autoLine="0" autoPict="0">
                <anchor moveWithCells="1" sizeWithCells="1">
                  <from>
                    <xdr:col>0</xdr:col>
                    <xdr:colOff>0</xdr:colOff>
                    <xdr:row>66</xdr:row>
                    <xdr:rowOff>0</xdr:rowOff>
                  </from>
                  <to>
                    <xdr:col>1</xdr:col>
                    <xdr:colOff>0</xdr:colOff>
                    <xdr:row>67</xdr:row>
                    <xdr:rowOff>0</xdr:rowOff>
                  </to>
                </anchor>
              </controlPr>
            </control>
          </mc:Choice>
        </mc:AlternateContent>
        <mc:AlternateContent xmlns:mc="http://schemas.openxmlformats.org/markup-compatibility/2006">
          <mc:Choice Requires="x14">
            <control shapeId="106596" r:id="rId54" name="Drop Down 100">
              <controlPr defaultSize="0" autoLine="0" autoPict="0">
                <anchor moveWithCells="1" sizeWithCells="1">
                  <from>
                    <xdr:col>3</xdr:col>
                    <xdr:colOff>0</xdr:colOff>
                    <xdr:row>49</xdr:row>
                    <xdr:rowOff>0</xdr:rowOff>
                  </from>
                  <to>
                    <xdr:col>4</xdr:col>
                    <xdr:colOff>0</xdr:colOff>
                    <xdr:row>50</xdr:row>
                    <xdr:rowOff>0</xdr:rowOff>
                  </to>
                </anchor>
              </controlPr>
            </control>
          </mc:Choice>
        </mc:AlternateContent>
        <mc:AlternateContent xmlns:mc="http://schemas.openxmlformats.org/markup-compatibility/2006">
          <mc:Choice Requires="x14">
            <control shapeId="106637" r:id="rId55" name="Drop Down 141">
              <controlPr defaultSize="0" autoLine="0" autoPict="0">
                <anchor moveWithCells="1" sizeWithCells="1">
                  <from>
                    <xdr:col>3</xdr:col>
                    <xdr:colOff>0</xdr:colOff>
                    <xdr:row>58</xdr:row>
                    <xdr:rowOff>0</xdr:rowOff>
                  </from>
                  <to>
                    <xdr:col>4</xdr:col>
                    <xdr:colOff>0</xdr:colOff>
                    <xdr:row>59</xdr:row>
                    <xdr:rowOff>0</xdr:rowOff>
                  </to>
                </anchor>
              </controlPr>
            </control>
          </mc:Choice>
        </mc:AlternateContent>
        <mc:AlternateContent xmlns:mc="http://schemas.openxmlformats.org/markup-compatibility/2006">
          <mc:Choice Requires="x14">
            <control shapeId="106638" r:id="rId56" name="Drop Down 142">
              <controlPr defaultSize="0" autoLine="0" autoPict="0">
                <anchor moveWithCells="1" sizeWithCells="1">
                  <from>
                    <xdr:col>3</xdr:col>
                    <xdr:colOff>0</xdr:colOff>
                    <xdr:row>59</xdr:row>
                    <xdr:rowOff>0</xdr:rowOff>
                  </from>
                  <to>
                    <xdr:col>4</xdr:col>
                    <xdr:colOff>0</xdr:colOff>
                    <xdr:row>60</xdr:row>
                    <xdr:rowOff>0</xdr:rowOff>
                  </to>
                </anchor>
              </controlPr>
            </control>
          </mc:Choice>
        </mc:AlternateContent>
        <mc:AlternateContent xmlns:mc="http://schemas.openxmlformats.org/markup-compatibility/2006">
          <mc:Choice Requires="x14">
            <control shapeId="106639" r:id="rId57" name="Drop Down 143">
              <controlPr defaultSize="0" autoLine="0" autoPict="0">
                <anchor moveWithCells="1" sizeWithCells="1">
                  <from>
                    <xdr:col>3</xdr:col>
                    <xdr:colOff>0</xdr:colOff>
                    <xdr:row>60</xdr:row>
                    <xdr:rowOff>0</xdr:rowOff>
                  </from>
                  <to>
                    <xdr:col>4</xdr:col>
                    <xdr:colOff>0</xdr:colOff>
                    <xdr:row>61</xdr:row>
                    <xdr:rowOff>0</xdr:rowOff>
                  </to>
                </anchor>
              </controlPr>
            </control>
          </mc:Choice>
        </mc:AlternateContent>
        <mc:AlternateContent xmlns:mc="http://schemas.openxmlformats.org/markup-compatibility/2006">
          <mc:Choice Requires="x14">
            <control shapeId="106640" r:id="rId58" name="Drop Down 144">
              <controlPr defaultSize="0" autoLine="0" autoPict="0">
                <anchor moveWithCells="1" sizeWithCells="1">
                  <from>
                    <xdr:col>3</xdr:col>
                    <xdr:colOff>0</xdr:colOff>
                    <xdr:row>61</xdr:row>
                    <xdr:rowOff>0</xdr:rowOff>
                  </from>
                  <to>
                    <xdr:col>4</xdr:col>
                    <xdr:colOff>0</xdr:colOff>
                    <xdr:row>62</xdr:row>
                    <xdr:rowOff>0</xdr:rowOff>
                  </to>
                </anchor>
              </controlPr>
            </control>
          </mc:Choice>
        </mc:AlternateContent>
        <mc:AlternateContent xmlns:mc="http://schemas.openxmlformats.org/markup-compatibility/2006">
          <mc:Choice Requires="x14">
            <control shapeId="106641" r:id="rId59" name="Drop Down 145">
              <controlPr defaultSize="0" autoLine="0" autoPict="0">
                <anchor moveWithCells="1" sizeWithCells="1">
                  <from>
                    <xdr:col>3</xdr:col>
                    <xdr:colOff>0</xdr:colOff>
                    <xdr:row>62</xdr:row>
                    <xdr:rowOff>0</xdr:rowOff>
                  </from>
                  <to>
                    <xdr:col>4</xdr:col>
                    <xdr:colOff>0</xdr:colOff>
                    <xdr:row>63</xdr:row>
                    <xdr:rowOff>0</xdr:rowOff>
                  </to>
                </anchor>
              </controlPr>
            </control>
          </mc:Choice>
        </mc:AlternateContent>
        <mc:AlternateContent xmlns:mc="http://schemas.openxmlformats.org/markup-compatibility/2006">
          <mc:Choice Requires="x14">
            <control shapeId="106642" r:id="rId60" name="Drop Down 146">
              <controlPr defaultSize="0" autoLine="0" autoPict="0">
                <anchor moveWithCells="1" sizeWithCells="1">
                  <from>
                    <xdr:col>3</xdr:col>
                    <xdr:colOff>0</xdr:colOff>
                    <xdr:row>63</xdr:row>
                    <xdr:rowOff>0</xdr:rowOff>
                  </from>
                  <to>
                    <xdr:col>4</xdr:col>
                    <xdr:colOff>0</xdr:colOff>
                    <xdr:row>64</xdr:row>
                    <xdr:rowOff>0</xdr:rowOff>
                  </to>
                </anchor>
              </controlPr>
            </control>
          </mc:Choice>
        </mc:AlternateContent>
        <mc:AlternateContent xmlns:mc="http://schemas.openxmlformats.org/markup-compatibility/2006">
          <mc:Choice Requires="x14">
            <control shapeId="106643" r:id="rId61" name="Drop Down 147">
              <controlPr defaultSize="0" autoLine="0" autoPict="0">
                <anchor moveWithCells="1" sizeWithCells="1">
                  <from>
                    <xdr:col>3</xdr:col>
                    <xdr:colOff>0</xdr:colOff>
                    <xdr:row>64</xdr:row>
                    <xdr:rowOff>0</xdr:rowOff>
                  </from>
                  <to>
                    <xdr:col>4</xdr:col>
                    <xdr:colOff>0</xdr:colOff>
                    <xdr:row>65</xdr:row>
                    <xdr:rowOff>0</xdr:rowOff>
                  </to>
                </anchor>
              </controlPr>
            </control>
          </mc:Choice>
        </mc:AlternateContent>
        <mc:AlternateContent xmlns:mc="http://schemas.openxmlformats.org/markup-compatibility/2006">
          <mc:Choice Requires="x14">
            <control shapeId="106644" r:id="rId62" name="Drop Down 148">
              <controlPr defaultSize="0" autoLine="0" autoPict="0">
                <anchor moveWithCells="1" sizeWithCells="1">
                  <from>
                    <xdr:col>3</xdr:col>
                    <xdr:colOff>0</xdr:colOff>
                    <xdr:row>65</xdr:row>
                    <xdr:rowOff>0</xdr:rowOff>
                  </from>
                  <to>
                    <xdr:col>4</xdr:col>
                    <xdr:colOff>0</xdr:colOff>
                    <xdr:row>66</xdr:row>
                    <xdr:rowOff>0</xdr:rowOff>
                  </to>
                </anchor>
              </controlPr>
            </control>
          </mc:Choice>
        </mc:AlternateContent>
        <mc:AlternateContent xmlns:mc="http://schemas.openxmlformats.org/markup-compatibility/2006">
          <mc:Choice Requires="x14">
            <control shapeId="106645" r:id="rId63" name="Drop Down 149">
              <controlPr defaultSize="0" autoLine="0" autoPict="0">
                <anchor moveWithCells="1" sizeWithCells="1">
                  <from>
                    <xdr:col>3</xdr:col>
                    <xdr:colOff>0</xdr:colOff>
                    <xdr:row>66</xdr:row>
                    <xdr:rowOff>0</xdr:rowOff>
                  </from>
                  <to>
                    <xdr:col>4</xdr:col>
                    <xdr:colOff>0</xdr:colOff>
                    <xdr:row>67</xdr:row>
                    <xdr:rowOff>0</xdr:rowOff>
                  </to>
                </anchor>
              </controlPr>
            </control>
          </mc:Choice>
        </mc:AlternateContent>
        <mc:AlternateContent xmlns:mc="http://schemas.openxmlformats.org/markup-compatibility/2006">
          <mc:Choice Requires="x14">
            <control shapeId="106598" r:id="rId64" name="Drop Down 102">
              <controlPr defaultSize="0" autoLine="0" autoPict="0">
                <anchor moveWithCells="1" sizeWithCells="1">
                  <from>
                    <xdr:col>4</xdr:col>
                    <xdr:colOff>0</xdr:colOff>
                    <xdr:row>39</xdr:row>
                    <xdr:rowOff>0</xdr:rowOff>
                  </from>
                  <to>
                    <xdr:col>5</xdr:col>
                    <xdr:colOff>0</xdr:colOff>
                    <xdr:row>40</xdr:row>
                    <xdr:rowOff>0</xdr:rowOff>
                  </to>
                </anchor>
              </controlPr>
            </control>
          </mc:Choice>
        </mc:AlternateContent>
        <mc:AlternateContent xmlns:mc="http://schemas.openxmlformats.org/markup-compatibility/2006">
          <mc:Choice Requires="x14">
            <control shapeId="106647" r:id="rId65" name="Drop Down 151">
              <controlPr defaultSize="0" autoLine="0" autoPict="0">
                <anchor moveWithCells="1" sizeWithCells="1">
                  <from>
                    <xdr:col>4</xdr:col>
                    <xdr:colOff>0</xdr:colOff>
                    <xdr:row>58</xdr:row>
                    <xdr:rowOff>0</xdr:rowOff>
                  </from>
                  <to>
                    <xdr:col>5</xdr:col>
                    <xdr:colOff>0</xdr:colOff>
                    <xdr:row>59</xdr:row>
                    <xdr:rowOff>0</xdr:rowOff>
                  </to>
                </anchor>
              </controlPr>
            </control>
          </mc:Choice>
        </mc:AlternateContent>
        <mc:AlternateContent xmlns:mc="http://schemas.openxmlformats.org/markup-compatibility/2006">
          <mc:Choice Requires="x14">
            <control shapeId="106648" r:id="rId66" name="Drop Down 152">
              <controlPr defaultSize="0" autoLine="0" autoPict="0">
                <anchor moveWithCells="1" sizeWithCells="1">
                  <from>
                    <xdr:col>4</xdr:col>
                    <xdr:colOff>0</xdr:colOff>
                    <xdr:row>59</xdr:row>
                    <xdr:rowOff>0</xdr:rowOff>
                  </from>
                  <to>
                    <xdr:col>5</xdr:col>
                    <xdr:colOff>0</xdr:colOff>
                    <xdr:row>60</xdr:row>
                    <xdr:rowOff>0</xdr:rowOff>
                  </to>
                </anchor>
              </controlPr>
            </control>
          </mc:Choice>
        </mc:AlternateContent>
        <mc:AlternateContent xmlns:mc="http://schemas.openxmlformats.org/markup-compatibility/2006">
          <mc:Choice Requires="x14">
            <control shapeId="106649" r:id="rId67" name="Drop Down 153">
              <controlPr defaultSize="0" autoLine="0" autoPict="0">
                <anchor moveWithCells="1" sizeWithCells="1">
                  <from>
                    <xdr:col>4</xdr:col>
                    <xdr:colOff>0</xdr:colOff>
                    <xdr:row>60</xdr:row>
                    <xdr:rowOff>0</xdr:rowOff>
                  </from>
                  <to>
                    <xdr:col>5</xdr:col>
                    <xdr:colOff>0</xdr:colOff>
                    <xdr:row>61</xdr:row>
                    <xdr:rowOff>0</xdr:rowOff>
                  </to>
                </anchor>
              </controlPr>
            </control>
          </mc:Choice>
        </mc:AlternateContent>
        <mc:AlternateContent xmlns:mc="http://schemas.openxmlformats.org/markup-compatibility/2006">
          <mc:Choice Requires="x14">
            <control shapeId="106650" r:id="rId68" name="Drop Down 154">
              <controlPr defaultSize="0" autoLine="0" autoPict="0">
                <anchor moveWithCells="1" sizeWithCells="1">
                  <from>
                    <xdr:col>4</xdr:col>
                    <xdr:colOff>0</xdr:colOff>
                    <xdr:row>61</xdr:row>
                    <xdr:rowOff>0</xdr:rowOff>
                  </from>
                  <to>
                    <xdr:col>5</xdr:col>
                    <xdr:colOff>0</xdr:colOff>
                    <xdr:row>62</xdr:row>
                    <xdr:rowOff>0</xdr:rowOff>
                  </to>
                </anchor>
              </controlPr>
            </control>
          </mc:Choice>
        </mc:AlternateContent>
        <mc:AlternateContent xmlns:mc="http://schemas.openxmlformats.org/markup-compatibility/2006">
          <mc:Choice Requires="x14">
            <control shapeId="106651" r:id="rId69" name="Drop Down 155">
              <controlPr defaultSize="0" autoLine="0" autoPict="0">
                <anchor moveWithCells="1" sizeWithCells="1">
                  <from>
                    <xdr:col>4</xdr:col>
                    <xdr:colOff>0</xdr:colOff>
                    <xdr:row>62</xdr:row>
                    <xdr:rowOff>0</xdr:rowOff>
                  </from>
                  <to>
                    <xdr:col>5</xdr:col>
                    <xdr:colOff>0</xdr:colOff>
                    <xdr:row>63</xdr:row>
                    <xdr:rowOff>0</xdr:rowOff>
                  </to>
                </anchor>
              </controlPr>
            </control>
          </mc:Choice>
        </mc:AlternateContent>
        <mc:AlternateContent xmlns:mc="http://schemas.openxmlformats.org/markup-compatibility/2006">
          <mc:Choice Requires="x14">
            <control shapeId="106652" r:id="rId70" name="Drop Down 156">
              <controlPr defaultSize="0" autoLine="0" autoPict="0">
                <anchor moveWithCells="1" sizeWithCells="1">
                  <from>
                    <xdr:col>4</xdr:col>
                    <xdr:colOff>0</xdr:colOff>
                    <xdr:row>63</xdr:row>
                    <xdr:rowOff>0</xdr:rowOff>
                  </from>
                  <to>
                    <xdr:col>5</xdr:col>
                    <xdr:colOff>0</xdr:colOff>
                    <xdr:row>64</xdr:row>
                    <xdr:rowOff>0</xdr:rowOff>
                  </to>
                </anchor>
              </controlPr>
            </control>
          </mc:Choice>
        </mc:AlternateContent>
        <mc:AlternateContent xmlns:mc="http://schemas.openxmlformats.org/markup-compatibility/2006">
          <mc:Choice Requires="x14">
            <control shapeId="106653" r:id="rId71" name="Drop Down 157">
              <controlPr defaultSize="0" autoLine="0" autoPict="0">
                <anchor moveWithCells="1" sizeWithCells="1">
                  <from>
                    <xdr:col>4</xdr:col>
                    <xdr:colOff>0</xdr:colOff>
                    <xdr:row>64</xdr:row>
                    <xdr:rowOff>0</xdr:rowOff>
                  </from>
                  <to>
                    <xdr:col>5</xdr:col>
                    <xdr:colOff>0</xdr:colOff>
                    <xdr:row>65</xdr:row>
                    <xdr:rowOff>0</xdr:rowOff>
                  </to>
                </anchor>
              </controlPr>
            </control>
          </mc:Choice>
        </mc:AlternateContent>
        <mc:AlternateContent xmlns:mc="http://schemas.openxmlformats.org/markup-compatibility/2006">
          <mc:Choice Requires="x14">
            <control shapeId="106654" r:id="rId72" name="Drop Down 158">
              <controlPr defaultSize="0" autoLine="0" autoPict="0">
                <anchor moveWithCells="1" sizeWithCells="1">
                  <from>
                    <xdr:col>4</xdr:col>
                    <xdr:colOff>0</xdr:colOff>
                    <xdr:row>65</xdr:row>
                    <xdr:rowOff>0</xdr:rowOff>
                  </from>
                  <to>
                    <xdr:col>5</xdr:col>
                    <xdr:colOff>0</xdr:colOff>
                    <xdr:row>66</xdr:row>
                    <xdr:rowOff>0</xdr:rowOff>
                  </to>
                </anchor>
              </controlPr>
            </control>
          </mc:Choice>
        </mc:AlternateContent>
        <mc:AlternateContent xmlns:mc="http://schemas.openxmlformats.org/markup-compatibility/2006">
          <mc:Choice Requires="x14">
            <control shapeId="106655" r:id="rId73" name="Drop Down 159">
              <controlPr defaultSize="0" autoLine="0" autoPict="0">
                <anchor moveWithCells="1" sizeWithCells="1">
                  <from>
                    <xdr:col>4</xdr:col>
                    <xdr:colOff>0</xdr:colOff>
                    <xdr:row>66</xdr:row>
                    <xdr:rowOff>0</xdr:rowOff>
                  </from>
                  <to>
                    <xdr:col>5</xdr:col>
                    <xdr:colOff>0</xdr:colOff>
                    <xdr:row>67</xdr:row>
                    <xdr:rowOff>0</xdr:rowOff>
                  </to>
                </anchor>
              </controlPr>
            </control>
          </mc:Choice>
        </mc:AlternateContent>
        <mc:AlternateContent xmlns:mc="http://schemas.openxmlformats.org/markup-compatibility/2006">
          <mc:Choice Requires="x14">
            <control shapeId="106613" r:id="rId74" name="Drop Down 117">
              <controlPr defaultSize="0" autoLine="0" autoPict="0">
                <anchor moveWithCells="1" sizeWithCells="1">
                  <from>
                    <xdr:col>14</xdr:col>
                    <xdr:colOff>0</xdr:colOff>
                    <xdr:row>39</xdr:row>
                    <xdr:rowOff>0</xdr:rowOff>
                  </from>
                  <to>
                    <xdr:col>15</xdr:col>
                    <xdr:colOff>0</xdr:colOff>
                    <xdr:row>40</xdr:row>
                    <xdr:rowOff>0</xdr:rowOff>
                  </to>
                </anchor>
              </controlPr>
            </control>
          </mc:Choice>
        </mc:AlternateContent>
        <mc:AlternateContent xmlns:mc="http://schemas.openxmlformats.org/markup-compatibility/2006">
          <mc:Choice Requires="x14">
            <control shapeId="106658" r:id="rId75" name="Drop Down 162">
              <controlPr defaultSize="0" autoLine="0" autoPict="0">
                <anchor moveWithCells="1" sizeWithCells="1">
                  <from>
                    <xdr:col>12</xdr:col>
                    <xdr:colOff>0</xdr:colOff>
                    <xdr:row>58</xdr:row>
                    <xdr:rowOff>0</xdr:rowOff>
                  </from>
                  <to>
                    <xdr:col>13</xdr:col>
                    <xdr:colOff>0</xdr:colOff>
                    <xdr:row>59</xdr:row>
                    <xdr:rowOff>0</xdr:rowOff>
                  </to>
                </anchor>
              </controlPr>
            </control>
          </mc:Choice>
        </mc:AlternateContent>
        <mc:AlternateContent xmlns:mc="http://schemas.openxmlformats.org/markup-compatibility/2006">
          <mc:Choice Requires="x14">
            <control shapeId="106659" r:id="rId76" name="Drop Down 163">
              <controlPr defaultSize="0" autoLine="0" autoPict="0">
                <anchor moveWithCells="1" sizeWithCells="1">
                  <from>
                    <xdr:col>12</xdr:col>
                    <xdr:colOff>0</xdr:colOff>
                    <xdr:row>59</xdr:row>
                    <xdr:rowOff>0</xdr:rowOff>
                  </from>
                  <to>
                    <xdr:col>13</xdr:col>
                    <xdr:colOff>0</xdr:colOff>
                    <xdr:row>60</xdr:row>
                    <xdr:rowOff>0</xdr:rowOff>
                  </to>
                </anchor>
              </controlPr>
            </control>
          </mc:Choice>
        </mc:AlternateContent>
        <mc:AlternateContent xmlns:mc="http://schemas.openxmlformats.org/markup-compatibility/2006">
          <mc:Choice Requires="x14">
            <control shapeId="106660" r:id="rId77" name="Drop Down 164">
              <controlPr defaultSize="0" autoLine="0" autoPict="0">
                <anchor moveWithCells="1" sizeWithCells="1">
                  <from>
                    <xdr:col>12</xdr:col>
                    <xdr:colOff>0</xdr:colOff>
                    <xdr:row>60</xdr:row>
                    <xdr:rowOff>0</xdr:rowOff>
                  </from>
                  <to>
                    <xdr:col>13</xdr:col>
                    <xdr:colOff>0</xdr:colOff>
                    <xdr:row>61</xdr:row>
                    <xdr:rowOff>0</xdr:rowOff>
                  </to>
                </anchor>
              </controlPr>
            </control>
          </mc:Choice>
        </mc:AlternateContent>
        <mc:AlternateContent xmlns:mc="http://schemas.openxmlformats.org/markup-compatibility/2006">
          <mc:Choice Requires="x14">
            <control shapeId="106661" r:id="rId78" name="Drop Down 165">
              <controlPr defaultSize="0" autoLine="0" autoPict="0">
                <anchor moveWithCells="1" sizeWithCells="1">
                  <from>
                    <xdr:col>12</xdr:col>
                    <xdr:colOff>0</xdr:colOff>
                    <xdr:row>61</xdr:row>
                    <xdr:rowOff>0</xdr:rowOff>
                  </from>
                  <to>
                    <xdr:col>13</xdr:col>
                    <xdr:colOff>0</xdr:colOff>
                    <xdr:row>62</xdr:row>
                    <xdr:rowOff>0</xdr:rowOff>
                  </to>
                </anchor>
              </controlPr>
            </control>
          </mc:Choice>
        </mc:AlternateContent>
        <mc:AlternateContent xmlns:mc="http://schemas.openxmlformats.org/markup-compatibility/2006">
          <mc:Choice Requires="x14">
            <control shapeId="106662" r:id="rId79" name="Drop Down 166">
              <controlPr defaultSize="0" autoLine="0" autoPict="0">
                <anchor moveWithCells="1" sizeWithCells="1">
                  <from>
                    <xdr:col>12</xdr:col>
                    <xdr:colOff>0</xdr:colOff>
                    <xdr:row>62</xdr:row>
                    <xdr:rowOff>0</xdr:rowOff>
                  </from>
                  <to>
                    <xdr:col>13</xdr:col>
                    <xdr:colOff>0</xdr:colOff>
                    <xdr:row>63</xdr:row>
                    <xdr:rowOff>0</xdr:rowOff>
                  </to>
                </anchor>
              </controlPr>
            </control>
          </mc:Choice>
        </mc:AlternateContent>
        <mc:AlternateContent xmlns:mc="http://schemas.openxmlformats.org/markup-compatibility/2006">
          <mc:Choice Requires="x14">
            <control shapeId="106663" r:id="rId80" name="Drop Down 167">
              <controlPr defaultSize="0" autoLine="0" autoPict="0">
                <anchor moveWithCells="1" sizeWithCells="1">
                  <from>
                    <xdr:col>12</xdr:col>
                    <xdr:colOff>0</xdr:colOff>
                    <xdr:row>63</xdr:row>
                    <xdr:rowOff>0</xdr:rowOff>
                  </from>
                  <to>
                    <xdr:col>13</xdr:col>
                    <xdr:colOff>0</xdr:colOff>
                    <xdr:row>64</xdr:row>
                    <xdr:rowOff>0</xdr:rowOff>
                  </to>
                </anchor>
              </controlPr>
            </control>
          </mc:Choice>
        </mc:AlternateContent>
        <mc:AlternateContent xmlns:mc="http://schemas.openxmlformats.org/markup-compatibility/2006">
          <mc:Choice Requires="x14">
            <control shapeId="106664" r:id="rId81" name="Drop Down 168">
              <controlPr defaultSize="0" autoLine="0" autoPict="0">
                <anchor moveWithCells="1" sizeWithCells="1">
                  <from>
                    <xdr:col>12</xdr:col>
                    <xdr:colOff>0</xdr:colOff>
                    <xdr:row>64</xdr:row>
                    <xdr:rowOff>0</xdr:rowOff>
                  </from>
                  <to>
                    <xdr:col>13</xdr:col>
                    <xdr:colOff>0</xdr:colOff>
                    <xdr:row>65</xdr:row>
                    <xdr:rowOff>0</xdr:rowOff>
                  </to>
                </anchor>
              </controlPr>
            </control>
          </mc:Choice>
        </mc:AlternateContent>
        <mc:AlternateContent xmlns:mc="http://schemas.openxmlformats.org/markup-compatibility/2006">
          <mc:Choice Requires="x14">
            <control shapeId="106665" r:id="rId82" name="Drop Down 169">
              <controlPr defaultSize="0" autoLine="0" autoPict="0">
                <anchor moveWithCells="1" sizeWithCells="1">
                  <from>
                    <xdr:col>12</xdr:col>
                    <xdr:colOff>0</xdr:colOff>
                    <xdr:row>65</xdr:row>
                    <xdr:rowOff>0</xdr:rowOff>
                  </from>
                  <to>
                    <xdr:col>13</xdr:col>
                    <xdr:colOff>0</xdr:colOff>
                    <xdr:row>66</xdr:row>
                    <xdr:rowOff>0</xdr:rowOff>
                  </to>
                </anchor>
              </controlPr>
            </control>
          </mc:Choice>
        </mc:AlternateContent>
        <mc:AlternateContent xmlns:mc="http://schemas.openxmlformats.org/markup-compatibility/2006">
          <mc:Choice Requires="x14">
            <control shapeId="106666" r:id="rId83" name="Drop Down 170">
              <controlPr defaultSize="0" autoLine="0" autoPict="0">
                <anchor moveWithCells="1" sizeWithCells="1">
                  <from>
                    <xdr:col>12</xdr:col>
                    <xdr:colOff>0</xdr:colOff>
                    <xdr:row>66</xdr:row>
                    <xdr:rowOff>0</xdr:rowOff>
                  </from>
                  <to>
                    <xdr:col>13</xdr:col>
                    <xdr:colOff>0</xdr:colOff>
                    <xdr:row>67</xdr:row>
                    <xdr:rowOff>0</xdr:rowOff>
                  </to>
                </anchor>
              </controlPr>
            </control>
          </mc:Choice>
        </mc:AlternateContent>
        <mc:AlternateContent xmlns:mc="http://schemas.openxmlformats.org/markup-compatibility/2006">
          <mc:Choice Requires="x14">
            <control shapeId="106626" r:id="rId84" name="Drop Down 130">
              <controlPr defaultSize="0" autoLine="0" autoPict="0">
                <anchor moveWithCells="1" sizeWithCells="1">
                  <from>
                    <xdr:col>0</xdr:col>
                    <xdr:colOff>0</xdr:colOff>
                    <xdr:row>57</xdr:row>
                    <xdr:rowOff>0</xdr:rowOff>
                  </from>
                  <to>
                    <xdr:col>1</xdr:col>
                    <xdr:colOff>0</xdr:colOff>
                    <xdr:row>58</xdr:row>
                    <xdr:rowOff>0</xdr:rowOff>
                  </to>
                </anchor>
              </controlPr>
            </control>
          </mc:Choice>
        </mc:AlternateContent>
        <mc:AlternateContent xmlns:mc="http://schemas.openxmlformats.org/markup-compatibility/2006">
          <mc:Choice Requires="x14">
            <control shapeId="106668" r:id="rId85" name="Drop Down 172">
              <controlPr defaultSize="0" autoLine="0" autoPict="0">
                <anchor moveWithCells="1" sizeWithCells="1">
                  <from>
                    <xdr:col>0</xdr:col>
                    <xdr:colOff>0</xdr:colOff>
                    <xdr:row>75</xdr:row>
                    <xdr:rowOff>0</xdr:rowOff>
                  </from>
                  <to>
                    <xdr:col>1</xdr:col>
                    <xdr:colOff>0</xdr:colOff>
                    <xdr:row>76</xdr:row>
                    <xdr:rowOff>0</xdr:rowOff>
                  </to>
                </anchor>
              </controlPr>
            </control>
          </mc:Choice>
        </mc:AlternateContent>
        <mc:AlternateContent xmlns:mc="http://schemas.openxmlformats.org/markup-compatibility/2006">
          <mc:Choice Requires="x14">
            <control shapeId="106669" r:id="rId86" name="Drop Down 173">
              <controlPr defaultSize="0" autoLine="0" autoPict="0">
                <anchor moveWithCells="1" sizeWithCells="1">
                  <from>
                    <xdr:col>0</xdr:col>
                    <xdr:colOff>0</xdr:colOff>
                    <xdr:row>76</xdr:row>
                    <xdr:rowOff>0</xdr:rowOff>
                  </from>
                  <to>
                    <xdr:col>1</xdr:col>
                    <xdr:colOff>0</xdr:colOff>
                    <xdr:row>77</xdr:row>
                    <xdr:rowOff>0</xdr:rowOff>
                  </to>
                </anchor>
              </controlPr>
            </control>
          </mc:Choice>
        </mc:AlternateContent>
        <mc:AlternateContent xmlns:mc="http://schemas.openxmlformats.org/markup-compatibility/2006">
          <mc:Choice Requires="x14">
            <control shapeId="106670" r:id="rId87" name="Drop Down 174">
              <controlPr defaultSize="0" autoLine="0" autoPict="0">
                <anchor moveWithCells="1" sizeWithCells="1">
                  <from>
                    <xdr:col>0</xdr:col>
                    <xdr:colOff>0</xdr:colOff>
                    <xdr:row>77</xdr:row>
                    <xdr:rowOff>0</xdr:rowOff>
                  </from>
                  <to>
                    <xdr:col>1</xdr:col>
                    <xdr:colOff>0</xdr:colOff>
                    <xdr:row>78</xdr:row>
                    <xdr:rowOff>0</xdr:rowOff>
                  </to>
                </anchor>
              </controlPr>
            </control>
          </mc:Choice>
        </mc:AlternateContent>
        <mc:AlternateContent xmlns:mc="http://schemas.openxmlformats.org/markup-compatibility/2006">
          <mc:Choice Requires="x14">
            <control shapeId="106671" r:id="rId88" name="Drop Down 175">
              <controlPr defaultSize="0" autoLine="0" autoPict="0">
                <anchor moveWithCells="1" sizeWithCells="1">
                  <from>
                    <xdr:col>0</xdr:col>
                    <xdr:colOff>0</xdr:colOff>
                    <xdr:row>78</xdr:row>
                    <xdr:rowOff>0</xdr:rowOff>
                  </from>
                  <to>
                    <xdr:col>1</xdr:col>
                    <xdr:colOff>0</xdr:colOff>
                    <xdr:row>79</xdr:row>
                    <xdr:rowOff>0</xdr:rowOff>
                  </to>
                </anchor>
              </controlPr>
            </control>
          </mc:Choice>
        </mc:AlternateContent>
        <mc:AlternateContent xmlns:mc="http://schemas.openxmlformats.org/markup-compatibility/2006">
          <mc:Choice Requires="x14">
            <control shapeId="106672" r:id="rId89" name="Drop Down 176">
              <controlPr defaultSize="0" autoLine="0" autoPict="0">
                <anchor moveWithCells="1" sizeWithCells="1">
                  <from>
                    <xdr:col>0</xdr:col>
                    <xdr:colOff>0</xdr:colOff>
                    <xdr:row>79</xdr:row>
                    <xdr:rowOff>0</xdr:rowOff>
                  </from>
                  <to>
                    <xdr:col>1</xdr:col>
                    <xdr:colOff>0</xdr:colOff>
                    <xdr:row>80</xdr:row>
                    <xdr:rowOff>0</xdr:rowOff>
                  </to>
                </anchor>
              </controlPr>
            </control>
          </mc:Choice>
        </mc:AlternateContent>
        <mc:AlternateContent xmlns:mc="http://schemas.openxmlformats.org/markup-compatibility/2006">
          <mc:Choice Requires="x14">
            <control shapeId="106673" r:id="rId90" name="Drop Down 177">
              <controlPr defaultSize="0" autoLine="0" autoPict="0">
                <anchor moveWithCells="1" sizeWithCells="1">
                  <from>
                    <xdr:col>0</xdr:col>
                    <xdr:colOff>0</xdr:colOff>
                    <xdr:row>80</xdr:row>
                    <xdr:rowOff>0</xdr:rowOff>
                  </from>
                  <to>
                    <xdr:col>1</xdr:col>
                    <xdr:colOff>0</xdr:colOff>
                    <xdr:row>81</xdr:row>
                    <xdr:rowOff>0</xdr:rowOff>
                  </to>
                </anchor>
              </controlPr>
            </control>
          </mc:Choice>
        </mc:AlternateContent>
        <mc:AlternateContent xmlns:mc="http://schemas.openxmlformats.org/markup-compatibility/2006">
          <mc:Choice Requires="x14">
            <control shapeId="106674" r:id="rId91" name="Drop Down 178">
              <controlPr defaultSize="0" autoLine="0" autoPict="0">
                <anchor moveWithCells="1" sizeWithCells="1">
                  <from>
                    <xdr:col>0</xdr:col>
                    <xdr:colOff>0</xdr:colOff>
                    <xdr:row>81</xdr:row>
                    <xdr:rowOff>0</xdr:rowOff>
                  </from>
                  <to>
                    <xdr:col>1</xdr:col>
                    <xdr:colOff>0</xdr:colOff>
                    <xdr:row>82</xdr:row>
                    <xdr:rowOff>0</xdr:rowOff>
                  </to>
                </anchor>
              </controlPr>
            </control>
          </mc:Choice>
        </mc:AlternateContent>
        <mc:AlternateContent xmlns:mc="http://schemas.openxmlformats.org/markup-compatibility/2006">
          <mc:Choice Requires="x14">
            <control shapeId="106675" r:id="rId92" name="Drop Down 179">
              <controlPr defaultSize="0" autoLine="0" autoPict="0">
                <anchor moveWithCells="1" sizeWithCells="1">
                  <from>
                    <xdr:col>0</xdr:col>
                    <xdr:colOff>0</xdr:colOff>
                    <xdr:row>82</xdr:row>
                    <xdr:rowOff>0</xdr:rowOff>
                  </from>
                  <to>
                    <xdr:col>1</xdr:col>
                    <xdr:colOff>0</xdr:colOff>
                    <xdr:row>83</xdr:row>
                    <xdr:rowOff>0</xdr:rowOff>
                  </to>
                </anchor>
              </controlPr>
            </control>
          </mc:Choice>
        </mc:AlternateContent>
        <mc:AlternateContent xmlns:mc="http://schemas.openxmlformats.org/markup-compatibility/2006">
          <mc:Choice Requires="x14">
            <control shapeId="106676" r:id="rId93" name="Drop Down 180">
              <controlPr defaultSize="0" autoLine="0" autoPict="0">
                <anchor moveWithCells="1" sizeWithCells="1">
                  <from>
                    <xdr:col>0</xdr:col>
                    <xdr:colOff>0</xdr:colOff>
                    <xdr:row>83</xdr:row>
                    <xdr:rowOff>0</xdr:rowOff>
                  </from>
                  <to>
                    <xdr:col>1</xdr:col>
                    <xdr:colOff>0</xdr:colOff>
                    <xdr:row>84</xdr:row>
                    <xdr:rowOff>0</xdr:rowOff>
                  </to>
                </anchor>
              </controlPr>
            </control>
          </mc:Choice>
        </mc:AlternateContent>
        <mc:AlternateContent xmlns:mc="http://schemas.openxmlformats.org/markup-compatibility/2006">
          <mc:Choice Requires="x14">
            <control shapeId="106677" r:id="rId94" name="Drop Down 181">
              <controlPr defaultSize="0" autoLine="0" autoPict="0">
                <anchor moveWithCells="1" sizeWithCells="1">
                  <from>
                    <xdr:col>0</xdr:col>
                    <xdr:colOff>0</xdr:colOff>
                    <xdr:row>84</xdr:row>
                    <xdr:rowOff>0</xdr:rowOff>
                  </from>
                  <to>
                    <xdr:col>1</xdr:col>
                    <xdr:colOff>0</xdr:colOff>
                    <xdr:row>85</xdr:row>
                    <xdr:rowOff>0</xdr:rowOff>
                  </to>
                </anchor>
              </controlPr>
            </control>
          </mc:Choice>
        </mc:AlternateContent>
        <mc:AlternateContent xmlns:mc="http://schemas.openxmlformats.org/markup-compatibility/2006">
          <mc:Choice Requires="x14">
            <control shapeId="106636" r:id="rId95" name="Drop Down 140">
              <controlPr defaultSize="0" autoLine="0" autoPict="0">
                <anchor moveWithCells="1" sizeWithCells="1">
                  <from>
                    <xdr:col>3</xdr:col>
                    <xdr:colOff>0</xdr:colOff>
                    <xdr:row>57</xdr:row>
                    <xdr:rowOff>0</xdr:rowOff>
                  </from>
                  <to>
                    <xdr:col>4</xdr:col>
                    <xdr:colOff>0</xdr:colOff>
                    <xdr:row>58</xdr:row>
                    <xdr:rowOff>0</xdr:rowOff>
                  </to>
                </anchor>
              </controlPr>
            </control>
          </mc:Choice>
        </mc:AlternateContent>
        <mc:AlternateContent xmlns:mc="http://schemas.openxmlformats.org/markup-compatibility/2006">
          <mc:Choice Requires="x14">
            <control shapeId="106678" r:id="rId96" name="Drop Down 182">
              <controlPr defaultSize="0" autoLine="0" autoPict="0">
                <anchor moveWithCells="1" sizeWithCells="1">
                  <from>
                    <xdr:col>3</xdr:col>
                    <xdr:colOff>0</xdr:colOff>
                    <xdr:row>75</xdr:row>
                    <xdr:rowOff>0</xdr:rowOff>
                  </from>
                  <to>
                    <xdr:col>4</xdr:col>
                    <xdr:colOff>0</xdr:colOff>
                    <xdr:row>76</xdr:row>
                    <xdr:rowOff>0</xdr:rowOff>
                  </to>
                </anchor>
              </controlPr>
            </control>
          </mc:Choice>
        </mc:AlternateContent>
        <mc:AlternateContent xmlns:mc="http://schemas.openxmlformats.org/markup-compatibility/2006">
          <mc:Choice Requires="x14">
            <control shapeId="106679" r:id="rId97" name="Drop Down 183">
              <controlPr defaultSize="0" autoLine="0" autoPict="0">
                <anchor moveWithCells="1" sizeWithCells="1">
                  <from>
                    <xdr:col>3</xdr:col>
                    <xdr:colOff>0</xdr:colOff>
                    <xdr:row>76</xdr:row>
                    <xdr:rowOff>0</xdr:rowOff>
                  </from>
                  <to>
                    <xdr:col>4</xdr:col>
                    <xdr:colOff>0</xdr:colOff>
                    <xdr:row>77</xdr:row>
                    <xdr:rowOff>0</xdr:rowOff>
                  </to>
                </anchor>
              </controlPr>
            </control>
          </mc:Choice>
        </mc:AlternateContent>
        <mc:AlternateContent xmlns:mc="http://schemas.openxmlformats.org/markup-compatibility/2006">
          <mc:Choice Requires="x14">
            <control shapeId="106680" r:id="rId98" name="Drop Down 184">
              <controlPr defaultSize="0" autoLine="0" autoPict="0">
                <anchor moveWithCells="1" sizeWithCells="1">
                  <from>
                    <xdr:col>3</xdr:col>
                    <xdr:colOff>0</xdr:colOff>
                    <xdr:row>77</xdr:row>
                    <xdr:rowOff>0</xdr:rowOff>
                  </from>
                  <to>
                    <xdr:col>4</xdr:col>
                    <xdr:colOff>0</xdr:colOff>
                    <xdr:row>78</xdr:row>
                    <xdr:rowOff>0</xdr:rowOff>
                  </to>
                </anchor>
              </controlPr>
            </control>
          </mc:Choice>
        </mc:AlternateContent>
        <mc:AlternateContent xmlns:mc="http://schemas.openxmlformats.org/markup-compatibility/2006">
          <mc:Choice Requires="x14">
            <control shapeId="106681" r:id="rId99" name="Drop Down 185">
              <controlPr defaultSize="0" autoLine="0" autoPict="0">
                <anchor moveWithCells="1" sizeWithCells="1">
                  <from>
                    <xdr:col>3</xdr:col>
                    <xdr:colOff>0</xdr:colOff>
                    <xdr:row>78</xdr:row>
                    <xdr:rowOff>0</xdr:rowOff>
                  </from>
                  <to>
                    <xdr:col>4</xdr:col>
                    <xdr:colOff>0</xdr:colOff>
                    <xdr:row>79</xdr:row>
                    <xdr:rowOff>0</xdr:rowOff>
                  </to>
                </anchor>
              </controlPr>
            </control>
          </mc:Choice>
        </mc:AlternateContent>
        <mc:AlternateContent xmlns:mc="http://schemas.openxmlformats.org/markup-compatibility/2006">
          <mc:Choice Requires="x14">
            <control shapeId="106682" r:id="rId100" name="Drop Down 186">
              <controlPr defaultSize="0" autoLine="0" autoPict="0">
                <anchor moveWithCells="1" sizeWithCells="1">
                  <from>
                    <xdr:col>3</xdr:col>
                    <xdr:colOff>0</xdr:colOff>
                    <xdr:row>79</xdr:row>
                    <xdr:rowOff>0</xdr:rowOff>
                  </from>
                  <to>
                    <xdr:col>4</xdr:col>
                    <xdr:colOff>0</xdr:colOff>
                    <xdr:row>80</xdr:row>
                    <xdr:rowOff>0</xdr:rowOff>
                  </to>
                </anchor>
              </controlPr>
            </control>
          </mc:Choice>
        </mc:AlternateContent>
        <mc:AlternateContent xmlns:mc="http://schemas.openxmlformats.org/markup-compatibility/2006">
          <mc:Choice Requires="x14">
            <control shapeId="106683" r:id="rId101" name="Drop Down 187">
              <controlPr defaultSize="0" autoLine="0" autoPict="0">
                <anchor moveWithCells="1" sizeWithCells="1">
                  <from>
                    <xdr:col>3</xdr:col>
                    <xdr:colOff>0</xdr:colOff>
                    <xdr:row>80</xdr:row>
                    <xdr:rowOff>0</xdr:rowOff>
                  </from>
                  <to>
                    <xdr:col>4</xdr:col>
                    <xdr:colOff>0</xdr:colOff>
                    <xdr:row>81</xdr:row>
                    <xdr:rowOff>0</xdr:rowOff>
                  </to>
                </anchor>
              </controlPr>
            </control>
          </mc:Choice>
        </mc:AlternateContent>
        <mc:AlternateContent xmlns:mc="http://schemas.openxmlformats.org/markup-compatibility/2006">
          <mc:Choice Requires="x14">
            <control shapeId="106684" r:id="rId102" name="Drop Down 188">
              <controlPr defaultSize="0" autoLine="0" autoPict="0">
                <anchor moveWithCells="1" sizeWithCells="1">
                  <from>
                    <xdr:col>3</xdr:col>
                    <xdr:colOff>0</xdr:colOff>
                    <xdr:row>81</xdr:row>
                    <xdr:rowOff>0</xdr:rowOff>
                  </from>
                  <to>
                    <xdr:col>4</xdr:col>
                    <xdr:colOff>0</xdr:colOff>
                    <xdr:row>82</xdr:row>
                    <xdr:rowOff>0</xdr:rowOff>
                  </to>
                </anchor>
              </controlPr>
            </control>
          </mc:Choice>
        </mc:AlternateContent>
        <mc:AlternateContent xmlns:mc="http://schemas.openxmlformats.org/markup-compatibility/2006">
          <mc:Choice Requires="x14">
            <control shapeId="106685" r:id="rId103" name="Drop Down 189">
              <controlPr defaultSize="0" autoLine="0" autoPict="0">
                <anchor moveWithCells="1" sizeWithCells="1">
                  <from>
                    <xdr:col>3</xdr:col>
                    <xdr:colOff>0</xdr:colOff>
                    <xdr:row>82</xdr:row>
                    <xdr:rowOff>0</xdr:rowOff>
                  </from>
                  <to>
                    <xdr:col>4</xdr:col>
                    <xdr:colOff>0</xdr:colOff>
                    <xdr:row>83</xdr:row>
                    <xdr:rowOff>0</xdr:rowOff>
                  </to>
                </anchor>
              </controlPr>
            </control>
          </mc:Choice>
        </mc:AlternateContent>
        <mc:AlternateContent xmlns:mc="http://schemas.openxmlformats.org/markup-compatibility/2006">
          <mc:Choice Requires="x14">
            <control shapeId="106686" r:id="rId104" name="Drop Down 190">
              <controlPr defaultSize="0" autoLine="0" autoPict="0">
                <anchor moveWithCells="1" sizeWithCells="1">
                  <from>
                    <xdr:col>3</xdr:col>
                    <xdr:colOff>0</xdr:colOff>
                    <xdr:row>83</xdr:row>
                    <xdr:rowOff>0</xdr:rowOff>
                  </from>
                  <to>
                    <xdr:col>4</xdr:col>
                    <xdr:colOff>0</xdr:colOff>
                    <xdr:row>84</xdr:row>
                    <xdr:rowOff>0</xdr:rowOff>
                  </to>
                </anchor>
              </controlPr>
            </control>
          </mc:Choice>
        </mc:AlternateContent>
        <mc:AlternateContent xmlns:mc="http://schemas.openxmlformats.org/markup-compatibility/2006">
          <mc:Choice Requires="x14">
            <control shapeId="106687" r:id="rId105" name="Drop Down 191">
              <controlPr defaultSize="0" autoLine="0" autoPict="0">
                <anchor moveWithCells="1" sizeWithCells="1">
                  <from>
                    <xdr:col>3</xdr:col>
                    <xdr:colOff>0</xdr:colOff>
                    <xdr:row>84</xdr:row>
                    <xdr:rowOff>0</xdr:rowOff>
                  </from>
                  <to>
                    <xdr:col>4</xdr:col>
                    <xdr:colOff>0</xdr:colOff>
                    <xdr:row>85</xdr:row>
                    <xdr:rowOff>0</xdr:rowOff>
                  </to>
                </anchor>
              </controlPr>
            </control>
          </mc:Choice>
        </mc:AlternateContent>
        <mc:AlternateContent xmlns:mc="http://schemas.openxmlformats.org/markup-compatibility/2006">
          <mc:Choice Requires="x14">
            <control shapeId="106646" r:id="rId106" name="Drop Down 150">
              <controlPr defaultSize="0" autoLine="0" autoPict="0">
                <anchor moveWithCells="1" sizeWithCells="1">
                  <from>
                    <xdr:col>4</xdr:col>
                    <xdr:colOff>0</xdr:colOff>
                    <xdr:row>57</xdr:row>
                    <xdr:rowOff>0</xdr:rowOff>
                  </from>
                  <to>
                    <xdr:col>5</xdr:col>
                    <xdr:colOff>0</xdr:colOff>
                    <xdr:row>58</xdr:row>
                    <xdr:rowOff>0</xdr:rowOff>
                  </to>
                </anchor>
              </controlPr>
            </control>
          </mc:Choice>
        </mc:AlternateContent>
        <mc:AlternateContent xmlns:mc="http://schemas.openxmlformats.org/markup-compatibility/2006">
          <mc:Choice Requires="x14">
            <control shapeId="106689" r:id="rId107" name="Drop Down 193">
              <controlPr defaultSize="0" autoLine="0" autoPict="0">
                <anchor moveWithCells="1" sizeWithCells="1">
                  <from>
                    <xdr:col>4</xdr:col>
                    <xdr:colOff>0</xdr:colOff>
                    <xdr:row>75</xdr:row>
                    <xdr:rowOff>0</xdr:rowOff>
                  </from>
                  <to>
                    <xdr:col>5</xdr:col>
                    <xdr:colOff>0</xdr:colOff>
                    <xdr:row>76</xdr:row>
                    <xdr:rowOff>0</xdr:rowOff>
                  </to>
                </anchor>
              </controlPr>
            </control>
          </mc:Choice>
        </mc:AlternateContent>
        <mc:AlternateContent xmlns:mc="http://schemas.openxmlformats.org/markup-compatibility/2006">
          <mc:Choice Requires="x14">
            <control shapeId="106690" r:id="rId108" name="Drop Down 194">
              <controlPr defaultSize="0" autoLine="0" autoPict="0">
                <anchor moveWithCells="1" sizeWithCells="1">
                  <from>
                    <xdr:col>4</xdr:col>
                    <xdr:colOff>0</xdr:colOff>
                    <xdr:row>76</xdr:row>
                    <xdr:rowOff>0</xdr:rowOff>
                  </from>
                  <to>
                    <xdr:col>5</xdr:col>
                    <xdr:colOff>0</xdr:colOff>
                    <xdr:row>77</xdr:row>
                    <xdr:rowOff>0</xdr:rowOff>
                  </to>
                </anchor>
              </controlPr>
            </control>
          </mc:Choice>
        </mc:AlternateContent>
        <mc:AlternateContent xmlns:mc="http://schemas.openxmlformats.org/markup-compatibility/2006">
          <mc:Choice Requires="x14">
            <control shapeId="106691" r:id="rId109" name="Drop Down 195">
              <controlPr defaultSize="0" autoLine="0" autoPict="0">
                <anchor moveWithCells="1" sizeWithCells="1">
                  <from>
                    <xdr:col>4</xdr:col>
                    <xdr:colOff>0</xdr:colOff>
                    <xdr:row>77</xdr:row>
                    <xdr:rowOff>0</xdr:rowOff>
                  </from>
                  <to>
                    <xdr:col>5</xdr:col>
                    <xdr:colOff>0</xdr:colOff>
                    <xdr:row>78</xdr:row>
                    <xdr:rowOff>0</xdr:rowOff>
                  </to>
                </anchor>
              </controlPr>
            </control>
          </mc:Choice>
        </mc:AlternateContent>
        <mc:AlternateContent xmlns:mc="http://schemas.openxmlformats.org/markup-compatibility/2006">
          <mc:Choice Requires="x14">
            <control shapeId="106692" r:id="rId110" name="Drop Down 196">
              <controlPr defaultSize="0" autoLine="0" autoPict="0">
                <anchor moveWithCells="1" sizeWithCells="1">
                  <from>
                    <xdr:col>4</xdr:col>
                    <xdr:colOff>0</xdr:colOff>
                    <xdr:row>78</xdr:row>
                    <xdr:rowOff>0</xdr:rowOff>
                  </from>
                  <to>
                    <xdr:col>5</xdr:col>
                    <xdr:colOff>0</xdr:colOff>
                    <xdr:row>79</xdr:row>
                    <xdr:rowOff>0</xdr:rowOff>
                  </to>
                </anchor>
              </controlPr>
            </control>
          </mc:Choice>
        </mc:AlternateContent>
        <mc:AlternateContent xmlns:mc="http://schemas.openxmlformats.org/markup-compatibility/2006">
          <mc:Choice Requires="x14">
            <control shapeId="106693" r:id="rId111" name="Drop Down 197">
              <controlPr defaultSize="0" autoLine="0" autoPict="0">
                <anchor moveWithCells="1" sizeWithCells="1">
                  <from>
                    <xdr:col>4</xdr:col>
                    <xdr:colOff>0</xdr:colOff>
                    <xdr:row>79</xdr:row>
                    <xdr:rowOff>0</xdr:rowOff>
                  </from>
                  <to>
                    <xdr:col>5</xdr:col>
                    <xdr:colOff>0</xdr:colOff>
                    <xdr:row>80</xdr:row>
                    <xdr:rowOff>0</xdr:rowOff>
                  </to>
                </anchor>
              </controlPr>
            </control>
          </mc:Choice>
        </mc:AlternateContent>
        <mc:AlternateContent xmlns:mc="http://schemas.openxmlformats.org/markup-compatibility/2006">
          <mc:Choice Requires="x14">
            <control shapeId="106694" r:id="rId112" name="Drop Down 198">
              <controlPr defaultSize="0" autoLine="0" autoPict="0">
                <anchor moveWithCells="1" sizeWithCells="1">
                  <from>
                    <xdr:col>4</xdr:col>
                    <xdr:colOff>0</xdr:colOff>
                    <xdr:row>80</xdr:row>
                    <xdr:rowOff>0</xdr:rowOff>
                  </from>
                  <to>
                    <xdr:col>5</xdr:col>
                    <xdr:colOff>0</xdr:colOff>
                    <xdr:row>81</xdr:row>
                    <xdr:rowOff>0</xdr:rowOff>
                  </to>
                </anchor>
              </controlPr>
            </control>
          </mc:Choice>
        </mc:AlternateContent>
        <mc:AlternateContent xmlns:mc="http://schemas.openxmlformats.org/markup-compatibility/2006">
          <mc:Choice Requires="x14">
            <control shapeId="106695" r:id="rId113" name="Drop Down 199">
              <controlPr defaultSize="0" autoLine="0" autoPict="0">
                <anchor moveWithCells="1" sizeWithCells="1">
                  <from>
                    <xdr:col>4</xdr:col>
                    <xdr:colOff>0</xdr:colOff>
                    <xdr:row>81</xdr:row>
                    <xdr:rowOff>0</xdr:rowOff>
                  </from>
                  <to>
                    <xdr:col>5</xdr:col>
                    <xdr:colOff>0</xdr:colOff>
                    <xdr:row>82</xdr:row>
                    <xdr:rowOff>0</xdr:rowOff>
                  </to>
                </anchor>
              </controlPr>
            </control>
          </mc:Choice>
        </mc:AlternateContent>
        <mc:AlternateContent xmlns:mc="http://schemas.openxmlformats.org/markup-compatibility/2006">
          <mc:Choice Requires="x14">
            <control shapeId="106696" r:id="rId114" name="Drop Down 200">
              <controlPr defaultSize="0" autoLine="0" autoPict="0">
                <anchor moveWithCells="1" sizeWithCells="1">
                  <from>
                    <xdr:col>4</xdr:col>
                    <xdr:colOff>0</xdr:colOff>
                    <xdr:row>82</xdr:row>
                    <xdr:rowOff>0</xdr:rowOff>
                  </from>
                  <to>
                    <xdr:col>5</xdr:col>
                    <xdr:colOff>0</xdr:colOff>
                    <xdr:row>83</xdr:row>
                    <xdr:rowOff>0</xdr:rowOff>
                  </to>
                </anchor>
              </controlPr>
            </control>
          </mc:Choice>
        </mc:AlternateContent>
        <mc:AlternateContent xmlns:mc="http://schemas.openxmlformats.org/markup-compatibility/2006">
          <mc:Choice Requires="x14">
            <control shapeId="106697" r:id="rId115" name="Drop Down 201">
              <controlPr defaultSize="0" autoLine="0" autoPict="0">
                <anchor moveWithCells="1" sizeWithCells="1">
                  <from>
                    <xdr:col>4</xdr:col>
                    <xdr:colOff>0</xdr:colOff>
                    <xdr:row>83</xdr:row>
                    <xdr:rowOff>0</xdr:rowOff>
                  </from>
                  <to>
                    <xdr:col>5</xdr:col>
                    <xdr:colOff>0</xdr:colOff>
                    <xdr:row>84</xdr:row>
                    <xdr:rowOff>0</xdr:rowOff>
                  </to>
                </anchor>
              </controlPr>
            </control>
          </mc:Choice>
        </mc:AlternateContent>
        <mc:AlternateContent xmlns:mc="http://schemas.openxmlformats.org/markup-compatibility/2006">
          <mc:Choice Requires="x14">
            <control shapeId="106698" r:id="rId116" name="Drop Down 202">
              <controlPr defaultSize="0" autoLine="0" autoPict="0">
                <anchor moveWithCells="1" sizeWithCells="1">
                  <from>
                    <xdr:col>4</xdr:col>
                    <xdr:colOff>0</xdr:colOff>
                    <xdr:row>84</xdr:row>
                    <xdr:rowOff>0</xdr:rowOff>
                  </from>
                  <to>
                    <xdr:col>5</xdr:col>
                    <xdr:colOff>0</xdr:colOff>
                    <xdr:row>85</xdr:row>
                    <xdr:rowOff>0</xdr:rowOff>
                  </to>
                </anchor>
              </controlPr>
            </control>
          </mc:Choice>
        </mc:AlternateContent>
        <mc:AlternateContent xmlns:mc="http://schemas.openxmlformats.org/markup-compatibility/2006">
          <mc:Choice Requires="x14">
            <control shapeId="106657" r:id="rId117" name="Drop Down 161">
              <controlPr defaultSize="0" autoLine="0" autoPict="0">
                <anchor moveWithCells="1" sizeWithCells="1">
                  <from>
                    <xdr:col>12</xdr:col>
                    <xdr:colOff>0</xdr:colOff>
                    <xdr:row>57</xdr:row>
                    <xdr:rowOff>0</xdr:rowOff>
                  </from>
                  <to>
                    <xdr:col>13</xdr:col>
                    <xdr:colOff>0</xdr:colOff>
                    <xdr:row>58</xdr:row>
                    <xdr:rowOff>0</xdr:rowOff>
                  </to>
                </anchor>
              </controlPr>
            </control>
          </mc:Choice>
        </mc:AlternateContent>
        <mc:AlternateContent xmlns:mc="http://schemas.openxmlformats.org/markup-compatibility/2006">
          <mc:Choice Requires="x14">
            <control shapeId="106700" r:id="rId118" name="Drop Down 204">
              <controlPr defaultSize="0" autoLine="0" autoPict="0">
                <anchor moveWithCells="1" sizeWithCells="1">
                  <from>
                    <xdr:col>12</xdr:col>
                    <xdr:colOff>0</xdr:colOff>
                    <xdr:row>75</xdr:row>
                    <xdr:rowOff>0</xdr:rowOff>
                  </from>
                  <to>
                    <xdr:col>13</xdr:col>
                    <xdr:colOff>0</xdr:colOff>
                    <xdr:row>76</xdr:row>
                    <xdr:rowOff>0</xdr:rowOff>
                  </to>
                </anchor>
              </controlPr>
            </control>
          </mc:Choice>
        </mc:AlternateContent>
        <mc:AlternateContent xmlns:mc="http://schemas.openxmlformats.org/markup-compatibility/2006">
          <mc:Choice Requires="x14">
            <control shapeId="106701" r:id="rId119" name="Drop Down 205">
              <controlPr defaultSize="0" autoLine="0" autoPict="0">
                <anchor moveWithCells="1" sizeWithCells="1">
                  <from>
                    <xdr:col>12</xdr:col>
                    <xdr:colOff>0</xdr:colOff>
                    <xdr:row>76</xdr:row>
                    <xdr:rowOff>0</xdr:rowOff>
                  </from>
                  <to>
                    <xdr:col>13</xdr:col>
                    <xdr:colOff>0</xdr:colOff>
                    <xdr:row>77</xdr:row>
                    <xdr:rowOff>0</xdr:rowOff>
                  </to>
                </anchor>
              </controlPr>
            </control>
          </mc:Choice>
        </mc:AlternateContent>
        <mc:AlternateContent xmlns:mc="http://schemas.openxmlformats.org/markup-compatibility/2006">
          <mc:Choice Requires="x14">
            <control shapeId="106702" r:id="rId120" name="Drop Down 206">
              <controlPr defaultSize="0" autoLine="0" autoPict="0">
                <anchor moveWithCells="1" sizeWithCells="1">
                  <from>
                    <xdr:col>12</xdr:col>
                    <xdr:colOff>0</xdr:colOff>
                    <xdr:row>77</xdr:row>
                    <xdr:rowOff>0</xdr:rowOff>
                  </from>
                  <to>
                    <xdr:col>13</xdr:col>
                    <xdr:colOff>0</xdr:colOff>
                    <xdr:row>78</xdr:row>
                    <xdr:rowOff>0</xdr:rowOff>
                  </to>
                </anchor>
              </controlPr>
            </control>
          </mc:Choice>
        </mc:AlternateContent>
        <mc:AlternateContent xmlns:mc="http://schemas.openxmlformats.org/markup-compatibility/2006">
          <mc:Choice Requires="x14">
            <control shapeId="106703" r:id="rId121" name="Drop Down 207">
              <controlPr defaultSize="0" autoLine="0" autoPict="0">
                <anchor moveWithCells="1" sizeWithCells="1">
                  <from>
                    <xdr:col>12</xdr:col>
                    <xdr:colOff>0</xdr:colOff>
                    <xdr:row>78</xdr:row>
                    <xdr:rowOff>0</xdr:rowOff>
                  </from>
                  <to>
                    <xdr:col>13</xdr:col>
                    <xdr:colOff>0</xdr:colOff>
                    <xdr:row>79</xdr:row>
                    <xdr:rowOff>0</xdr:rowOff>
                  </to>
                </anchor>
              </controlPr>
            </control>
          </mc:Choice>
        </mc:AlternateContent>
        <mc:AlternateContent xmlns:mc="http://schemas.openxmlformats.org/markup-compatibility/2006">
          <mc:Choice Requires="x14">
            <control shapeId="106704" r:id="rId122" name="Drop Down 208">
              <controlPr defaultSize="0" autoLine="0" autoPict="0">
                <anchor moveWithCells="1" sizeWithCells="1">
                  <from>
                    <xdr:col>12</xdr:col>
                    <xdr:colOff>0</xdr:colOff>
                    <xdr:row>79</xdr:row>
                    <xdr:rowOff>0</xdr:rowOff>
                  </from>
                  <to>
                    <xdr:col>13</xdr:col>
                    <xdr:colOff>0</xdr:colOff>
                    <xdr:row>80</xdr:row>
                    <xdr:rowOff>0</xdr:rowOff>
                  </to>
                </anchor>
              </controlPr>
            </control>
          </mc:Choice>
        </mc:AlternateContent>
        <mc:AlternateContent xmlns:mc="http://schemas.openxmlformats.org/markup-compatibility/2006">
          <mc:Choice Requires="x14">
            <control shapeId="106705" r:id="rId123" name="Drop Down 209">
              <controlPr defaultSize="0" autoLine="0" autoPict="0">
                <anchor moveWithCells="1" sizeWithCells="1">
                  <from>
                    <xdr:col>12</xdr:col>
                    <xdr:colOff>0</xdr:colOff>
                    <xdr:row>80</xdr:row>
                    <xdr:rowOff>0</xdr:rowOff>
                  </from>
                  <to>
                    <xdr:col>13</xdr:col>
                    <xdr:colOff>0</xdr:colOff>
                    <xdr:row>81</xdr:row>
                    <xdr:rowOff>0</xdr:rowOff>
                  </to>
                </anchor>
              </controlPr>
            </control>
          </mc:Choice>
        </mc:AlternateContent>
        <mc:AlternateContent xmlns:mc="http://schemas.openxmlformats.org/markup-compatibility/2006">
          <mc:Choice Requires="x14">
            <control shapeId="106706" r:id="rId124" name="Drop Down 210">
              <controlPr defaultSize="0" autoLine="0" autoPict="0">
                <anchor moveWithCells="1" sizeWithCells="1">
                  <from>
                    <xdr:col>12</xdr:col>
                    <xdr:colOff>0</xdr:colOff>
                    <xdr:row>81</xdr:row>
                    <xdr:rowOff>0</xdr:rowOff>
                  </from>
                  <to>
                    <xdr:col>13</xdr:col>
                    <xdr:colOff>0</xdr:colOff>
                    <xdr:row>82</xdr:row>
                    <xdr:rowOff>0</xdr:rowOff>
                  </to>
                </anchor>
              </controlPr>
            </control>
          </mc:Choice>
        </mc:AlternateContent>
        <mc:AlternateContent xmlns:mc="http://schemas.openxmlformats.org/markup-compatibility/2006">
          <mc:Choice Requires="x14">
            <control shapeId="106707" r:id="rId125" name="Drop Down 211">
              <controlPr defaultSize="0" autoLine="0" autoPict="0">
                <anchor moveWithCells="1" sizeWithCells="1">
                  <from>
                    <xdr:col>12</xdr:col>
                    <xdr:colOff>0</xdr:colOff>
                    <xdr:row>82</xdr:row>
                    <xdr:rowOff>0</xdr:rowOff>
                  </from>
                  <to>
                    <xdr:col>13</xdr:col>
                    <xdr:colOff>0</xdr:colOff>
                    <xdr:row>83</xdr:row>
                    <xdr:rowOff>0</xdr:rowOff>
                  </to>
                </anchor>
              </controlPr>
            </control>
          </mc:Choice>
        </mc:AlternateContent>
        <mc:AlternateContent xmlns:mc="http://schemas.openxmlformats.org/markup-compatibility/2006">
          <mc:Choice Requires="x14">
            <control shapeId="106708" r:id="rId126" name="Drop Down 212">
              <controlPr defaultSize="0" autoLine="0" autoPict="0">
                <anchor moveWithCells="1" sizeWithCells="1">
                  <from>
                    <xdr:col>12</xdr:col>
                    <xdr:colOff>0</xdr:colOff>
                    <xdr:row>83</xdr:row>
                    <xdr:rowOff>0</xdr:rowOff>
                  </from>
                  <to>
                    <xdr:col>13</xdr:col>
                    <xdr:colOff>0</xdr:colOff>
                    <xdr:row>84</xdr:row>
                    <xdr:rowOff>0</xdr:rowOff>
                  </to>
                </anchor>
              </controlPr>
            </control>
          </mc:Choice>
        </mc:AlternateContent>
        <mc:AlternateContent xmlns:mc="http://schemas.openxmlformats.org/markup-compatibility/2006">
          <mc:Choice Requires="x14">
            <control shapeId="106709" r:id="rId127" name="Drop Down 213">
              <controlPr defaultSize="0" autoLine="0" autoPict="0">
                <anchor moveWithCells="1" sizeWithCells="1">
                  <from>
                    <xdr:col>12</xdr:col>
                    <xdr:colOff>0</xdr:colOff>
                    <xdr:row>84</xdr:row>
                    <xdr:rowOff>0</xdr:rowOff>
                  </from>
                  <to>
                    <xdr:col>13</xdr:col>
                    <xdr:colOff>0</xdr:colOff>
                    <xdr:row>85</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r:uid="{4152B9BB-B267-45DE-8EF3-68EFD536BE31}">
          <x14:formula1>
            <xm:f>'Lookup Tables'!$B$306:$B$310</xm:f>
          </x14:formula1>
          <xm:sqref>M40:M50</xm:sqref>
        </x14:dataValidation>
        <x14:dataValidation type="list" operator="greaterThanOrEqual" allowBlank="1" showInputMessage="1" showErrorMessage="1" xr:uid="{CF6B6A87-5066-4B73-B3D2-C0FF8A96CCCC}">
          <x14:formula1>
            <xm:f>'Lookup Tables'!$B$173:$B$180</xm:f>
          </x14:formula1>
          <xm:sqref>G6:G13</xm:sqref>
        </x14:dataValidation>
        <x14:dataValidation type="list" operator="greaterThanOrEqual" allowBlank="1" showInputMessage="1" showErrorMessage="1" xr:uid="{25753568-95CC-4CCD-BA13-BB33DDD4F3B1}">
          <x14:formula1>
            <xm:f>'Lookup Tables'!$C$173:$C$180</xm:f>
          </x14:formula1>
          <xm:sqref>G14:G23</xm:sqref>
        </x14:dataValidation>
        <x14:dataValidation type="list" operator="greaterThanOrEqual" allowBlank="1" showInputMessage="1" showErrorMessage="1" xr:uid="{5BCD050F-E26D-4D80-865B-CE598401C39A}">
          <x14:formula1>
            <xm:f>'Lookup Tables'!$D$173:$D$180</xm:f>
          </x14:formula1>
          <xm:sqref>G24:G30</xm:sqref>
        </x14:dataValidation>
        <x14:dataValidation type="list" allowBlank="1" showInputMessage="1" showErrorMessage="1" xr:uid="{26C04F85-E696-485F-82A0-7C9E95D57BAD}">
          <x14:formula1>
            <xm:f>'Lookup Tables'!$B$319:$B$321</xm:f>
          </x14:formula1>
          <xm:sqref>O58:O67 O76:O85</xm:sqref>
        </x14:dataValidation>
        <x14:dataValidation type="list" allowBlank="1" showInputMessage="1" showErrorMessage="1" xr:uid="{5E4488AE-9ADE-4E91-A11C-DEAE459575F9}">
          <x14:formula1>
            <xm:f>'Lookup Tables'!$B$259:$B$262</xm:f>
          </x14:formula1>
          <xm:sqref>U58:U67</xm:sqref>
        </x14:dataValidation>
        <x14:dataValidation type="list" allowBlank="1" showInputMessage="1" showErrorMessage="1" xr:uid="{55A892D4-44AA-4A50-A289-3A7DC8078E1D}">
          <x14:formula1>
            <xm:f>'Lookup Tables'!$B$206:$B$217</xm:f>
          </x14:formula1>
          <xm:sqref>R58:R67</xm:sqref>
        </x14:dataValidation>
        <x14:dataValidation type="list" allowBlank="1" showInputMessage="1" showErrorMessage="1" xr:uid="{A8D55D29-7FED-4A8A-B277-4B36BC90F559}">
          <x14:formula1>
            <xm:f>'Lookup Tables'!$B$295:$B$298</xm:f>
          </x14:formula1>
          <xm:sqref>R76:R85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52211-5B91-4010-85D0-E41A289C9C91}">
  <sheetPr>
    <tabColor rgb="FF0070C0"/>
  </sheetPr>
  <dimension ref="A1:AM29"/>
  <sheetViews>
    <sheetView showGridLines="0" topLeftCell="B1" zoomScaleNormal="100" workbookViewId="0">
      <selection activeCell="C29" sqref="C29"/>
    </sheetView>
  </sheetViews>
  <sheetFormatPr defaultColWidth="9.1796875" defaultRowHeight="14" x14ac:dyDescent="0.35"/>
  <cols>
    <col min="1" max="1" width="15.7265625" style="358" hidden="1" customWidth="1"/>
    <col min="2" max="2" width="22.1796875" style="257" customWidth="1"/>
    <col min="3" max="3" width="18" style="257" customWidth="1"/>
    <col min="4" max="4" width="16.453125" style="257" bestFit="1" customWidth="1"/>
    <col min="5" max="5" width="21.7265625" style="257" customWidth="1"/>
    <col min="6" max="6" width="16.54296875" style="257" bestFit="1" customWidth="1"/>
    <col min="7" max="7" width="12.81640625" style="257" customWidth="1"/>
    <col min="8" max="8" width="19" style="257" customWidth="1"/>
    <col min="9" max="9" width="15.54296875" style="257" customWidth="1"/>
    <col min="10" max="10" width="17.1796875" style="257" customWidth="1"/>
    <col min="11" max="11" width="27" style="257" customWidth="1"/>
    <col min="12" max="12" width="9.26953125" style="257" bestFit="1" customWidth="1"/>
    <col min="13" max="13" width="11.81640625" style="257" customWidth="1"/>
    <col min="14" max="14" width="11.81640625" style="257" hidden="1" customWidth="1"/>
    <col min="15" max="16" width="11.54296875" style="257" hidden="1" customWidth="1"/>
    <col min="17" max="17" width="9.1796875" style="257" hidden="1" customWidth="1"/>
    <col min="18" max="18" width="14" style="257" hidden="1" customWidth="1"/>
    <col min="19" max="19" width="13.26953125" style="257" hidden="1" customWidth="1"/>
    <col min="20" max="20" width="18" style="257" hidden="1" customWidth="1"/>
    <col min="21" max="21" width="14" style="257" hidden="1" customWidth="1"/>
    <col min="22" max="22" width="18.1796875" style="257" hidden="1" customWidth="1"/>
    <col min="23" max="23" width="14.81640625" style="257" hidden="1" customWidth="1"/>
    <col min="24" max="24" width="14.453125" style="257" hidden="1" customWidth="1"/>
    <col min="25" max="25" width="11.81640625" style="257" hidden="1" customWidth="1"/>
    <col min="26" max="26" width="12.1796875" style="257" hidden="1" customWidth="1"/>
    <col min="27" max="27" width="12.453125" style="257" hidden="1" customWidth="1"/>
    <col min="28" max="31" width="9.26953125" style="257" hidden="1" customWidth="1"/>
    <col min="32" max="32" width="16.453125" style="257" hidden="1" customWidth="1"/>
    <col min="33" max="33" width="9.26953125" style="257" hidden="1" customWidth="1"/>
    <col min="34" max="34" width="12.1796875" style="257" hidden="1" customWidth="1"/>
    <col min="35" max="35" width="9.54296875" style="257" hidden="1" customWidth="1"/>
    <col min="36" max="36" width="9.26953125" style="257" hidden="1" customWidth="1"/>
    <col min="37" max="37" width="12.26953125" style="257" hidden="1" customWidth="1"/>
    <col min="38" max="38" width="11.26953125" style="257" hidden="1" customWidth="1"/>
    <col min="39" max="39" width="12" style="257" hidden="1" customWidth="1"/>
    <col min="40" max="40" width="9.1796875" style="257" customWidth="1"/>
    <col min="41" max="16384" width="9.1796875" style="257"/>
  </cols>
  <sheetData>
    <row r="1" spans="1:39" ht="22.5" x14ac:dyDescent="0.45">
      <c r="B1" s="798" t="str">
        <f ca="1">'Translation Table'!H3149</f>
        <v>"FACILITY-LEVEL FLASH-GAS EMISSIONS" SETUP</v>
      </c>
      <c r="C1" s="798"/>
      <c r="D1" s="798"/>
      <c r="E1" s="798"/>
    </row>
    <row r="3" spans="1:39" ht="15.5" x14ac:dyDescent="0.35">
      <c r="B3" s="920" t="str">
        <f ca="1">'Translation Table'!H3150</f>
        <v>Storage System</v>
      </c>
      <c r="C3" s="920"/>
      <c r="D3" s="920"/>
      <c r="E3" s="807" t="str">
        <f ca="1">'Translation Table'!H3151</f>
        <v>Flashing Losses</v>
      </c>
      <c r="F3" s="934"/>
      <c r="G3" s="934"/>
      <c r="H3" s="934"/>
      <c r="I3" s="807" t="str">
        <f ca="1">'Translation Table'!H3152</f>
        <v>Error Message</v>
      </c>
      <c r="J3" s="934"/>
      <c r="K3" s="934"/>
    </row>
    <row r="4" spans="1:39" ht="15.5" x14ac:dyDescent="0.35">
      <c r="B4" s="303" t="str">
        <f ca="1">'Translation Table'!H3153</f>
        <v>Product</v>
      </c>
      <c r="C4" s="303" t="str">
        <f ca="1">'Translation Table'!H3154</f>
        <v xml:space="preserve">Receipts </v>
      </c>
      <c r="D4" s="303" t="str">
        <f ca="1">'Translation Table'!H3155</f>
        <v>Units of Measure</v>
      </c>
      <c r="E4" s="41" t="str">
        <f ca="1">'Translation Table'!H3156</f>
        <v>Measured or Reported</v>
      </c>
      <c r="F4" s="41" t="str">
        <f ca="1">'Translation Table'!H3157</f>
        <v>Estimated</v>
      </c>
      <c r="G4" s="41" t="str">
        <f ca="1">'Translation Table'!H3158</f>
        <v>Value Used</v>
      </c>
      <c r="H4" s="41" t="str">
        <f ca="1">'Translation Table'!H3159</f>
        <v>Units of Measure</v>
      </c>
      <c r="I4" s="934"/>
      <c r="J4" s="934"/>
      <c r="K4" s="934"/>
    </row>
    <row r="5" spans="1:39" x14ac:dyDescent="0.35">
      <c r="B5" s="434" t="str">
        <f ca="1">'Translation Table'!H3160</f>
        <v>Crude Oil</v>
      </c>
      <c r="C5" s="660">
        <v>0</v>
      </c>
      <c r="D5" s="429" t="s">
        <v>2845</v>
      </c>
      <c r="E5" s="310"/>
      <c r="F5" s="435">
        <f ca="1">AJ16*m3_per_h_to_E3m3_per_d/_xlfn.XLOOKUP(H$5,'Lookup Tables'!$B$227:$B$235,'Lookup Tables'!$F$227:$F$235,,0,1)</f>
        <v>0</v>
      </c>
      <c r="G5" s="436">
        <f ca="1">IF(ISNUMBER(E5),E5,F5)</f>
        <v>0</v>
      </c>
      <c r="H5" s="925" t="s">
        <v>2849</v>
      </c>
      <c r="I5" s="933"/>
      <c r="J5" s="933"/>
      <c r="K5" s="933"/>
    </row>
    <row r="6" spans="1:39" x14ac:dyDescent="0.35">
      <c r="B6" s="279" t="str">
        <f ca="1">'Translation Table'!H3161</f>
        <v>Produced Water</v>
      </c>
      <c r="C6" s="660">
        <v>0</v>
      </c>
      <c r="D6" s="429" t="s">
        <v>2845</v>
      </c>
      <c r="E6" s="310"/>
      <c r="F6" s="437">
        <f>IF(C5&gt;0,AJ26*m3_per_h_to_E3m3_per_d/_xlfn.XLOOKUP(H$5,'Lookup Tables'!$B$227:$B$235,'Lookup Tables'!$F$227:$F$235,,0,1),0)</f>
        <v>0</v>
      </c>
      <c r="G6" s="438">
        <f>IF(ISNUMBER(E6),E6,F6)</f>
        <v>0</v>
      </c>
      <c r="H6" s="926"/>
      <c r="I6" s="883"/>
      <c r="J6" s="883"/>
      <c r="K6" s="883"/>
    </row>
    <row r="7" spans="1:39" x14ac:dyDescent="0.35">
      <c r="B7" s="930" t="str">
        <f ca="1">'Translation Table'!H3162</f>
        <v>Total</v>
      </c>
      <c r="C7" s="931"/>
      <c r="D7" s="932"/>
      <c r="E7" s="439">
        <f>SUM(E5:E6)</f>
        <v>0</v>
      </c>
      <c r="F7" s="435">
        <f ca="1">SUM(F5:F6)</f>
        <v>0</v>
      </c>
      <c r="G7" s="435">
        <f ca="1">SUM(G5:G6)</f>
        <v>0</v>
      </c>
      <c r="H7" s="927"/>
      <c r="I7" s="928"/>
      <c r="J7" s="929"/>
      <c r="K7" s="773"/>
    </row>
    <row r="8" spans="1:39" x14ac:dyDescent="0.35">
      <c r="C8" s="324" t="str">
        <f ca="1">'Translation Table'!H3163</f>
        <v>Note: If there is no produced oil, then flashing losses from the produced water are assumed to be negligible.</v>
      </c>
    </row>
    <row r="9" spans="1:39" x14ac:dyDescent="0.35">
      <c r="B9" s="278"/>
      <c r="C9" s="278"/>
      <c r="D9" s="278"/>
      <c r="E9" s="278"/>
      <c r="F9" s="440"/>
    </row>
    <row r="10" spans="1:39" ht="22.5" x14ac:dyDescent="0.45">
      <c r="B10" s="798" t="str">
        <f ca="1">'Translation Table'!H3164</f>
        <v>"OIL STORAGE SYSTEM" SETUP</v>
      </c>
      <c r="C10" s="798"/>
      <c r="D10" s="798"/>
      <c r="E10" s="798"/>
      <c r="F10" s="259"/>
      <c r="R10" s="102" t="s">
        <v>3084</v>
      </c>
    </row>
    <row r="11" spans="1:39" x14ac:dyDescent="0.35">
      <c r="B11" s="102"/>
    </row>
    <row r="12" spans="1:39" ht="15" customHeight="1" x14ac:dyDescent="0.35">
      <c r="B12" s="917" t="str">
        <f ca="1">'Translation Table'!H3165</f>
        <v>System Details</v>
      </c>
      <c r="C12" s="918"/>
      <c r="D12" s="918"/>
      <c r="E12" s="918"/>
      <c r="F12" s="919"/>
      <c r="G12" s="917" t="str">
        <f ca="1">'Translation Table'!H3166</f>
        <v>Product Details</v>
      </c>
      <c r="H12" s="919"/>
      <c r="I12" s="917" t="str">
        <f ca="1">'Translation Table'!H3167</f>
        <v>Estimated Flashing Details</v>
      </c>
      <c r="J12" s="918"/>
      <c r="K12" s="918"/>
      <c r="L12" s="918"/>
      <c r="M12" s="919"/>
      <c r="R12" s="881" t="s">
        <v>2822</v>
      </c>
      <c r="S12" s="881"/>
      <c r="T12" s="881"/>
      <c r="U12" s="881"/>
      <c r="V12" s="881" t="s">
        <v>2823</v>
      </c>
      <c r="W12" s="881"/>
      <c r="X12" s="881"/>
      <c r="Y12" s="938" t="s">
        <v>2824</v>
      </c>
      <c r="Z12" s="881"/>
      <c r="AA12" s="881"/>
      <c r="AB12" s="881"/>
      <c r="AC12" s="881"/>
      <c r="AD12" s="881"/>
      <c r="AE12" s="881"/>
      <c r="AF12" s="943" t="s">
        <v>2825</v>
      </c>
      <c r="AG12" s="881"/>
      <c r="AH12" s="941" t="s">
        <v>170</v>
      </c>
      <c r="AI12" s="937" t="s">
        <v>2826</v>
      </c>
      <c r="AJ12" s="937"/>
      <c r="AK12" s="937"/>
      <c r="AL12" s="937"/>
      <c r="AM12" s="937"/>
    </row>
    <row r="13" spans="1:39" ht="15.5" x14ac:dyDescent="0.35">
      <c r="B13" s="920" t="str">
        <f ca="1">'Translation Table'!H3168</f>
        <v>First Upstream Pressure Vessel</v>
      </c>
      <c r="C13" s="920"/>
      <c r="D13" s="920"/>
      <c r="E13" s="920"/>
      <c r="F13" s="920"/>
      <c r="G13" s="920" t="str">
        <f ca="1">'Translation Table'!H3169</f>
        <v>Oil Gravity or Density</v>
      </c>
      <c r="H13" s="920"/>
      <c r="I13" s="917" t="str">
        <f ca="1">'Translation Table'!H3170</f>
        <v>Flash Gas Factor</v>
      </c>
      <c r="J13" s="919"/>
      <c r="K13" s="921" t="str">
        <f ca="1">'Translation Table'!H3171</f>
        <v>Vent Control Device</v>
      </c>
      <c r="L13" s="917" t="str">
        <f ca="1">'Translation Table'!H3172</f>
        <v>Theoretical Losses</v>
      </c>
      <c r="M13" s="919"/>
      <c r="R13" s="881"/>
      <c r="S13" s="881"/>
      <c r="T13" s="881"/>
      <c r="U13" s="881"/>
      <c r="V13" s="881"/>
      <c r="W13" s="881"/>
      <c r="X13" s="881"/>
      <c r="Y13" s="881"/>
      <c r="Z13" s="881"/>
      <c r="AA13" s="881"/>
      <c r="AB13" s="881"/>
      <c r="AC13" s="881"/>
      <c r="AD13" s="881"/>
      <c r="AE13" s="881"/>
      <c r="AF13" s="881"/>
      <c r="AG13" s="881"/>
      <c r="AH13" s="942"/>
      <c r="AI13" s="937"/>
      <c r="AJ13" s="937"/>
      <c r="AK13" s="937"/>
      <c r="AL13" s="937"/>
      <c r="AM13" s="937"/>
    </row>
    <row r="14" spans="1:39" ht="15.5" x14ac:dyDescent="0.35">
      <c r="B14" s="921" t="str">
        <f ca="1">'Translation Table'!H3173</f>
        <v>Type</v>
      </c>
      <c r="C14" s="920" t="str">
        <f ca="1">'Translation Table'!H3174</f>
        <v>Operating Pressure</v>
      </c>
      <c r="D14" s="920"/>
      <c r="E14" s="920" t="str">
        <f ca="1">'Translation Table'!H3175</f>
        <v>Operating Temperature</v>
      </c>
      <c r="F14" s="920"/>
      <c r="G14" s="838" t="str">
        <f ca="1">'Translation Table'!H3176</f>
        <v>Value (Optional)</v>
      </c>
      <c r="H14" s="818" t="str">
        <f ca="1">'Translation Table'!H3178</f>
        <v>Units of Measure</v>
      </c>
      <c r="I14" s="818" t="str">
        <f ca="1">'Translation Table'!H3177</f>
        <v>Value</v>
      </c>
      <c r="J14" s="818" t="str">
        <f ca="1">'Translation Table'!H3178</f>
        <v>Units of Measure</v>
      </c>
      <c r="K14" s="922"/>
      <c r="L14" s="818" t="str">
        <f ca="1">'Translation Table'!H3177</f>
        <v>Value</v>
      </c>
      <c r="M14" s="818" t="str">
        <f ca="1">'Translation Table'!H3178</f>
        <v>Units of Measure</v>
      </c>
      <c r="R14" s="881" t="s">
        <v>2827</v>
      </c>
      <c r="S14" s="881" t="s">
        <v>2828</v>
      </c>
      <c r="T14" s="881" t="s">
        <v>2829</v>
      </c>
      <c r="U14" s="881" t="s">
        <v>2830</v>
      </c>
      <c r="V14" s="881" t="s">
        <v>3140</v>
      </c>
      <c r="W14" s="871" t="s">
        <v>2852</v>
      </c>
      <c r="X14" s="881" t="s">
        <v>3141</v>
      </c>
      <c r="Y14" s="938" t="s">
        <v>2831</v>
      </c>
      <c r="Z14" s="938" t="s">
        <v>2832</v>
      </c>
      <c r="AA14" s="938" t="s">
        <v>2833</v>
      </c>
      <c r="AB14" s="938" t="s">
        <v>2834</v>
      </c>
      <c r="AC14" s="938" t="s">
        <v>2835</v>
      </c>
      <c r="AD14" s="938" t="s">
        <v>2836</v>
      </c>
      <c r="AE14" s="944" t="s">
        <v>2837</v>
      </c>
      <c r="AF14" s="943" t="s">
        <v>3142</v>
      </c>
      <c r="AG14" s="881" t="s">
        <v>2871</v>
      </c>
      <c r="AH14" s="441" t="s">
        <v>2865</v>
      </c>
      <c r="AI14" s="941" t="s">
        <v>2849</v>
      </c>
      <c r="AJ14" s="941" t="s">
        <v>2443</v>
      </c>
      <c r="AK14" s="941" t="s">
        <v>2458</v>
      </c>
      <c r="AL14" s="941" t="s">
        <v>2847</v>
      </c>
      <c r="AM14" s="937" t="s">
        <v>3143</v>
      </c>
    </row>
    <row r="15" spans="1:39" ht="15.5" x14ac:dyDescent="0.35">
      <c r="B15" s="923"/>
      <c r="C15" s="41" t="str">
        <f ca="1">'Translation Table'!H3176</f>
        <v>Value (Optional)</v>
      </c>
      <c r="D15" s="303" t="str">
        <f ca="1">'Translation Table'!H3178</f>
        <v>Units of Measure</v>
      </c>
      <c r="E15" s="41" t="str">
        <f ca="1">'Translation Table'!H3176</f>
        <v>Value (Optional)</v>
      </c>
      <c r="F15" s="303" t="str">
        <f ca="1">'Translation Table'!H3178</f>
        <v>Units of Measure</v>
      </c>
      <c r="G15" s="924"/>
      <c r="H15" s="839"/>
      <c r="I15" s="839"/>
      <c r="J15" s="839"/>
      <c r="K15" s="923"/>
      <c r="L15" s="839"/>
      <c r="M15" s="839"/>
      <c r="N15" s="935" t="s">
        <v>3086</v>
      </c>
      <c r="O15" s="936"/>
      <c r="P15" s="102"/>
      <c r="R15" s="881"/>
      <c r="S15" s="881"/>
      <c r="T15" s="881"/>
      <c r="U15" s="881"/>
      <c r="V15" s="881"/>
      <c r="W15" s="872"/>
      <c r="X15" s="881"/>
      <c r="Y15" s="881"/>
      <c r="Z15" s="881"/>
      <c r="AA15" s="881"/>
      <c r="AB15" s="881"/>
      <c r="AC15" s="881"/>
      <c r="AD15" s="881"/>
      <c r="AE15" s="881"/>
      <c r="AF15" s="881"/>
      <c r="AG15" s="881"/>
      <c r="AH15" s="442"/>
      <c r="AI15" s="942"/>
      <c r="AJ15" s="942"/>
      <c r="AK15" s="942"/>
      <c r="AL15" s="942"/>
      <c r="AM15" s="937"/>
    </row>
    <row r="16" spans="1:39" x14ac:dyDescent="0.35">
      <c r="A16" s="358">
        <v>2</v>
      </c>
      <c r="B16" s="430">
        <v>3</v>
      </c>
      <c r="C16" s="310"/>
      <c r="D16" s="429" t="s">
        <v>3282</v>
      </c>
      <c r="E16" s="310"/>
      <c r="F16" s="429" t="s">
        <v>694</v>
      </c>
      <c r="G16" s="431"/>
      <c r="H16" s="432" t="s">
        <v>2833</v>
      </c>
      <c r="I16" s="443">
        <f>IF(J16="scf/bbl of oil",AG16,AF16)</f>
        <v>431.06189845777425</v>
      </c>
      <c r="J16" s="429" t="s">
        <v>2875</v>
      </c>
      <c r="K16" s="430" t="str">
        <f t="array" aca="1" ref="K16" ca="1">INDEX(VentControlDevice,A16)</f>
        <v>None</v>
      </c>
      <c r="L16" s="444">
        <f ca="1">AJ16*m3_per_h_to_E3m3_per_d/_xlfn.XLOOKUP(M16,'Lookup Tables'!$B$227:$B$235,'Lookup Tables'!$F$227:$F$235,,0,1)*(1-IF(K16=None,0,IF(K16=Flare,0.98,IF(K16=VaporRecoveryCompressor,0.95))))</f>
        <v>0</v>
      </c>
      <c r="M16" s="432" t="s">
        <v>2847</v>
      </c>
      <c r="N16" s="302">
        <f ca="1">L16*_xlfn.XLOOKUP(M16,'Lookup Tables'!$B$227:$B$235,'Lookup Tables'!$F$227:$F$235,,0,1)*E3m3_per_d_to_m3_per_d</f>
        <v>0</v>
      </c>
      <c r="O16" s="445" t="s">
        <v>2845</v>
      </c>
      <c r="P16" s="311"/>
      <c r="R16" s="260">
        <f>IF(ISNUMBER(C16),C16*_xlfn.XLOOKUP(D16,'Lookup Tables'!$B$259:$B$262,'Lookup Tables'!$F$259:$F$262,,0,1),R17)</f>
        <v>861.875</v>
      </c>
      <c r="S16" s="237">
        <f>IF(ISNUMBER(E16),IF(F16="C",E16,IF(F16="F",(E16-32)/1.8,"")),S17)</f>
        <v>15.6</v>
      </c>
      <c r="T16" s="237">
        <f>R16*kPa_to_psi</f>
        <v>125.00436768749999</v>
      </c>
      <c r="U16" s="237">
        <f>S16*1.8+32</f>
        <v>60.08</v>
      </c>
      <c r="V16" s="260">
        <f>C5*_xlfn.XLOOKUP(D5,'Lookup Tables'!$B$190:$B$197,'Lookup Tables'!$F$190:$F$197,,0,1)*m3_per_d_to_m3_per_d</f>
        <v>0</v>
      </c>
      <c r="W16" s="260">
        <f>IF(G16&gt;0,IF(H16="API",141.5/(G16+131.5)*999.016,G16/_xlfn.XLOOKUP(H16,'Lookup Tables'!B273:B275,'Lookup Tables'!F273:F275,,0,1)),W17)</f>
        <v>701.54</v>
      </c>
      <c r="X16" s="260">
        <f>(141.5/(W16/999.016))-131.5</f>
        <v>70.000647147703631</v>
      </c>
      <c r="Y16" s="237">
        <f>LN(T16+14.696)</f>
        <v>4.9394998982386937</v>
      </c>
      <c r="Z16" s="237">
        <f>LN(U16)</f>
        <v>4.0956770074558797</v>
      </c>
      <c r="AA16" s="237">
        <f>X16</f>
        <v>70.000647147703631</v>
      </c>
      <c r="AB16" s="237">
        <f>-8.005+2.7*Y16-0.161*Y16^2</f>
        <v>1.4034655868477621</v>
      </c>
      <c r="AC16" s="237">
        <f>1.224-0.5*Z16-0*Z16^2</f>
        <v>-0.82383850372793987</v>
      </c>
      <c r="AD16" s="237">
        <f>-1.587+0.0441*AA16-0.0000229*AA16^2</f>
        <v>1.387816464448602</v>
      </c>
      <c r="AE16" s="237">
        <f>SUM(AB16:AD16)</f>
        <v>1.9674435475684242</v>
      </c>
      <c r="AF16" s="260">
        <f>AG16*0.3048^3*6.289814</f>
        <v>76.775442485954173</v>
      </c>
      <c r="AG16" s="260">
        <f>EXP(3.955+0.83*AE16-0.024*AE16*AE16+0.075*AE16*AE16*AE16)</f>
        <v>431.06189845777425</v>
      </c>
      <c r="AH16" s="260">
        <f ca="1">IF(K16=None,0,IF(K16=Flare,0.98,IF(K16=VaporRecoveryCompressor,0.95,"Error")))</f>
        <v>0</v>
      </c>
      <c r="AI16" s="260">
        <f ca="1">AM16*m3_per_d_to_scf_per_h</f>
        <v>0</v>
      </c>
      <c r="AJ16" s="260">
        <f ca="1">AM16*m3_per_d_to_m3_per_h</f>
        <v>0</v>
      </c>
      <c r="AK16" s="298" cm="1">
        <f t="array" aca="1" ref="AK16" ca="1">AM16*m3_per_d_to_mmscf_per_d</f>
        <v>0</v>
      </c>
      <c r="AL16" s="446">
        <f ca="1">AM16*m3_per_d_to_E3m3_per_d</f>
        <v>0</v>
      </c>
      <c r="AM16" s="260">
        <f ca="1">V16*AF16*(1-AH16)</f>
        <v>0</v>
      </c>
    </row>
    <row r="17" spans="1:39" x14ac:dyDescent="0.35">
      <c r="B17" s="278"/>
      <c r="C17" s="278"/>
      <c r="D17" s="278"/>
      <c r="E17" s="278"/>
      <c r="F17" s="278"/>
      <c r="G17" s="278"/>
      <c r="H17" s="278"/>
      <c r="I17" s="278"/>
      <c r="J17" s="278"/>
      <c r="K17" s="278"/>
      <c r="L17" s="278"/>
      <c r="M17" s="278"/>
      <c r="Q17" s="237" t="s">
        <v>2839</v>
      </c>
      <c r="R17" s="447">
        <f>125*6.895</f>
        <v>861.875</v>
      </c>
      <c r="S17" s="447">
        <v>15.6</v>
      </c>
      <c r="T17" s="939" t="s">
        <v>3156</v>
      </c>
      <c r="U17" s="939"/>
      <c r="V17" s="448" t="s">
        <v>3155</v>
      </c>
      <c r="W17" s="447">
        <v>701.54</v>
      </c>
      <c r="X17" s="939" t="s">
        <v>3157</v>
      </c>
      <c r="Y17" s="939"/>
      <c r="Z17" s="939"/>
    </row>
    <row r="18" spans="1:39" x14ac:dyDescent="0.35">
      <c r="B18" s="102"/>
      <c r="T18" s="940"/>
      <c r="U18" s="940"/>
      <c r="X18" s="940"/>
      <c r="Y18" s="940"/>
      <c r="Z18" s="940"/>
    </row>
    <row r="19" spans="1:39" x14ac:dyDescent="0.35">
      <c r="B19" s="102"/>
      <c r="O19" s="102"/>
      <c r="P19" s="102"/>
      <c r="Q19" s="102"/>
      <c r="R19" s="102"/>
      <c r="S19" s="102"/>
      <c r="T19" s="940"/>
      <c r="U19" s="940"/>
      <c r="V19" s="102"/>
      <c r="W19" s="102"/>
      <c r="X19" s="940"/>
      <c r="Y19" s="940"/>
      <c r="Z19" s="940"/>
    </row>
    <row r="20" spans="1:39" ht="22.5" x14ac:dyDescent="0.45">
      <c r="B20" s="798" t="str">
        <f ca="1">'Translation Table'!H3179</f>
        <v>"PRODUCED WATER STORAGE SYSTEM" SETUP</v>
      </c>
      <c r="C20" s="798"/>
      <c r="D20" s="798"/>
      <c r="E20" s="798"/>
      <c r="L20" s="323"/>
      <c r="R20" s="102" t="s">
        <v>3085</v>
      </c>
    </row>
    <row r="21" spans="1:39" x14ac:dyDescent="0.35">
      <c r="B21" s="102"/>
    </row>
    <row r="22" spans="1:39" ht="15" customHeight="1" x14ac:dyDescent="0.35">
      <c r="B22" s="917" t="str">
        <f ca="1">'Translation Table'!H3165</f>
        <v>System Details</v>
      </c>
      <c r="C22" s="918"/>
      <c r="D22" s="918"/>
      <c r="E22" s="918"/>
      <c r="F22" s="919"/>
      <c r="G22" s="917" t="str">
        <f ca="1">'Translation Table'!H3166</f>
        <v>Product Details</v>
      </c>
      <c r="H22" s="919"/>
      <c r="I22" s="917" t="str">
        <f ca="1">'Translation Table'!H3167</f>
        <v>Estimated Flashing Details</v>
      </c>
      <c r="J22" s="918"/>
      <c r="K22" s="918"/>
      <c r="L22" s="918"/>
      <c r="M22" s="919"/>
      <c r="R22" s="881" t="s">
        <v>2822</v>
      </c>
      <c r="S22" s="881"/>
      <c r="T22" s="881"/>
      <c r="U22" s="881"/>
      <c r="V22" s="881" t="s">
        <v>71</v>
      </c>
      <c r="W22" s="881"/>
      <c r="X22" s="881"/>
      <c r="Y22" s="938" t="s">
        <v>2824</v>
      </c>
      <c r="Z22" s="881"/>
      <c r="AA22" s="881"/>
      <c r="AB22" s="881"/>
      <c r="AC22" s="881"/>
      <c r="AD22" s="881"/>
      <c r="AE22" s="881"/>
      <c r="AF22" s="943" t="s">
        <v>2825</v>
      </c>
      <c r="AG22" s="881"/>
      <c r="AH22" s="941" t="s">
        <v>170</v>
      </c>
      <c r="AI22" s="937" t="s">
        <v>2826</v>
      </c>
      <c r="AJ22" s="937"/>
      <c r="AK22" s="937"/>
      <c r="AL22" s="937"/>
      <c r="AM22" s="937"/>
    </row>
    <row r="23" spans="1:39" ht="15" customHeight="1" x14ac:dyDescent="0.35">
      <c r="B23" s="920" t="str">
        <f ca="1">'Translation Table'!H3180</f>
        <v>Inlet Separator or Free-Water Knock-Out</v>
      </c>
      <c r="C23" s="920"/>
      <c r="D23" s="920"/>
      <c r="E23" s="920"/>
      <c r="F23" s="920"/>
      <c r="G23" s="920" t="str">
        <f ca="1">'Translation Table'!H3181</f>
        <v>Entrained Oil</v>
      </c>
      <c r="H23" s="920"/>
      <c r="I23" s="917" t="str">
        <f ca="1">'Translation Table'!H3170</f>
        <v>Flash Gas Factor</v>
      </c>
      <c r="J23" s="919"/>
      <c r="K23" s="921" t="str">
        <f ca="1">'Translation Table'!H3171</f>
        <v>Vent Control Device</v>
      </c>
      <c r="L23" s="917" t="str">
        <f ca="1">'Translation Table'!H3172</f>
        <v>Theoretical Losses</v>
      </c>
      <c r="M23" s="919"/>
      <c r="R23" s="881"/>
      <c r="S23" s="881"/>
      <c r="T23" s="881"/>
      <c r="U23" s="881"/>
      <c r="V23" s="881"/>
      <c r="W23" s="881"/>
      <c r="X23" s="881"/>
      <c r="Y23" s="881"/>
      <c r="Z23" s="881"/>
      <c r="AA23" s="881"/>
      <c r="AB23" s="881"/>
      <c r="AC23" s="881"/>
      <c r="AD23" s="881"/>
      <c r="AE23" s="881"/>
      <c r="AF23" s="881"/>
      <c r="AG23" s="881"/>
      <c r="AH23" s="942"/>
      <c r="AI23" s="937"/>
      <c r="AJ23" s="937"/>
      <c r="AK23" s="937"/>
      <c r="AL23" s="937"/>
      <c r="AM23" s="937"/>
    </row>
    <row r="24" spans="1:39" ht="15" customHeight="1" x14ac:dyDescent="0.35">
      <c r="B24" s="921" t="str">
        <f ca="1">'Translation Table'!H3173</f>
        <v>Type</v>
      </c>
      <c r="C24" s="920" t="str">
        <f ca="1">'Translation Table'!H3174</f>
        <v>Operating Pressure</v>
      </c>
      <c r="D24" s="920"/>
      <c r="E24" s="920" t="str">
        <f ca="1">'Translation Table'!H3175</f>
        <v>Operating Temperature</v>
      </c>
      <c r="F24" s="920"/>
      <c r="G24" s="838" t="str">
        <f ca="1">'Translation Table'!H3176</f>
        <v>Value (Optional)</v>
      </c>
      <c r="H24" s="818" t="str">
        <f ca="1">'Translation Table'!H3178</f>
        <v>Units of Measure</v>
      </c>
      <c r="I24" s="818" t="str">
        <f ca="1">'Translation Table'!H3177</f>
        <v>Value</v>
      </c>
      <c r="J24" s="818" t="str">
        <f ca="1">'Translation Table'!H3178</f>
        <v>Units of Measure</v>
      </c>
      <c r="K24" s="922"/>
      <c r="L24" s="818" t="str">
        <f ca="1">'Translation Table'!H3177</f>
        <v>Value</v>
      </c>
      <c r="M24" s="818" t="str">
        <f ca="1">'Translation Table'!H3178</f>
        <v>Units of Measure</v>
      </c>
      <c r="R24" s="881" t="s">
        <v>2827</v>
      </c>
      <c r="S24" s="881" t="s">
        <v>2828</v>
      </c>
      <c r="T24" s="881" t="s">
        <v>2829</v>
      </c>
      <c r="U24" s="881" t="s">
        <v>2830</v>
      </c>
      <c r="V24" s="881" t="s">
        <v>3144</v>
      </c>
      <c r="W24" s="871" t="s">
        <v>2852</v>
      </c>
      <c r="X24" s="881" t="s">
        <v>3141</v>
      </c>
      <c r="Y24" s="938" t="s">
        <v>2831</v>
      </c>
      <c r="Z24" s="938" t="s">
        <v>2832</v>
      </c>
      <c r="AA24" s="938" t="s">
        <v>2833</v>
      </c>
      <c r="AB24" s="938" t="s">
        <v>2834</v>
      </c>
      <c r="AC24" s="938" t="s">
        <v>2835</v>
      </c>
      <c r="AD24" s="938" t="s">
        <v>2836</v>
      </c>
      <c r="AE24" s="944" t="s">
        <v>2837</v>
      </c>
      <c r="AF24" s="943" t="s">
        <v>3145</v>
      </c>
      <c r="AG24" s="881" t="s">
        <v>2872</v>
      </c>
      <c r="AH24" s="441" t="s">
        <v>2865</v>
      </c>
      <c r="AI24" s="941" t="s">
        <v>2849</v>
      </c>
      <c r="AJ24" s="941" t="s">
        <v>2443</v>
      </c>
      <c r="AK24" s="941" t="s">
        <v>2458</v>
      </c>
      <c r="AL24" s="941" t="s">
        <v>2847</v>
      </c>
      <c r="AM24" s="937" t="s">
        <v>3143</v>
      </c>
    </row>
    <row r="25" spans="1:39" ht="24" customHeight="1" x14ac:dyDescent="0.35">
      <c r="B25" s="923"/>
      <c r="C25" s="41" t="str">
        <f ca="1">'Translation Table'!H3176</f>
        <v>Value (Optional)</v>
      </c>
      <c r="D25" s="303" t="str">
        <f ca="1">'Translation Table'!H3178</f>
        <v>Units of Measure</v>
      </c>
      <c r="E25" s="41" t="str">
        <f ca="1">'Translation Table'!H3176</f>
        <v>Value (Optional)</v>
      </c>
      <c r="F25" s="303" t="str">
        <f ca="1">'Translation Table'!H3178</f>
        <v>Units of Measure</v>
      </c>
      <c r="G25" s="924"/>
      <c r="H25" s="839"/>
      <c r="I25" s="839"/>
      <c r="J25" s="839"/>
      <c r="K25" s="923"/>
      <c r="L25" s="839"/>
      <c r="M25" s="839"/>
      <c r="N25" s="935" t="s">
        <v>3086</v>
      </c>
      <c r="O25" s="936"/>
      <c r="P25" s="102"/>
      <c r="R25" s="881"/>
      <c r="S25" s="881"/>
      <c r="T25" s="881"/>
      <c r="U25" s="881"/>
      <c r="V25" s="881"/>
      <c r="W25" s="872"/>
      <c r="X25" s="881"/>
      <c r="Y25" s="881"/>
      <c r="Z25" s="881"/>
      <c r="AA25" s="881"/>
      <c r="AB25" s="881"/>
      <c r="AC25" s="881"/>
      <c r="AD25" s="881"/>
      <c r="AE25" s="881"/>
      <c r="AF25" s="881"/>
      <c r="AG25" s="881"/>
      <c r="AH25" s="442"/>
      <c r="AI25" s="942"/>
      <c r="AJ25" s="942"/>
      <c r="AK25" s="942"/>
      <c r="AL25" s="942"/>
      <c r="AM25" s="937"/>
    </row>
    <row r="26" spans="1:39" ht="15" customHeight="1" x14ac:dyDescent="0.35">
      <c r="A26" s="358">
        <v>2</v>
      </c>
      <c r="B26" s="430">
        <v>3</v>
      </c>
      <c r="C26" s="310"/>
      <c r="D26" s="429" t="s">
        <v>3282</v>
      </c>
      <c r="E26" s="429"/>
      <c r="F26" s="429" t="s">
        <v>38</v>
      </c>
      <c r="G26" s="433"/>
      <c r="H26" s="602" t="str">
        <f ca="1">'Translation Table'!H3182</f>
        <v>% of Produced Water Volume</v>
      </c>
      <c r="I26" s="443">
        <f>IF(J26="scf/bbl of water",AG26,AF26)</f>
        <v>14.699636855795202</v>
      </c>
      <c r="J26" s="429" t="s">
        <v>2873</v>
      </c>
      <c r="K26" s="430" t="str">
        <f t="array" aca="1" ref="K26" ca="1">INDEX(VentControlDevice,A26)</f>
        <v>None</v>
      </c>
      <c r="L26" s="444">
        <f ca="1">AJ26*m3_per_h_to_E3m3_per_d/_xlfn.XLOOKUP(M26,'Lookup Tables'!$B$227:$B$235,'Lookup Tables'!$F$227:$F$235,,0,1)*(1-IF(K26=None,0,IF(K26=Flare,0.98,IF(K26=VaporRecoveryCompressor,0.95))))</f>
        <v>0</v>
      </c>
      <c r="M26" s="429" t="s">
        <v>2847</v>
      </c>
      <c r="N26" s="302">
        <f ca="1">L26*_xlfn.XLOOKUP(M26,'Lookup Tables'!$B$227:$B$235,'Lookup Tables'!$F$227:$F$235,,0,1)*E3m3_per_d_to_m3_per_d</f>
        <v>0</v>
      </c>
      <c r="O26" s="445" t="s">
        <v>2845</v>
      </c>
      <c r="P26" s="311"/>
      <c r="R26" s="260">
        <f>IF(ISNUMBER(C26),C26*_xlfn.XLOOKUP(D26,'Lookup Tables'!$B$259:$B$262,'Lookup Tables'!$F$259:$F$262,,0,1),R27)</f>
        <v>1723.75</v>
      </c>
      <c r="S26" s="237">
        <f>IF(ISNUMBER(E26),IF(F26="C",E26,IF(F26="F",(E26-32)/1.8,"")),S27)</f>
        <v>15.6</v>
      </c>
      <c r="T26" s="237">
        <f>R26*kPa_to_psi</f>
        <v>250.00873537499999</v>
      </c>
      <c r="U26" s="237">
        <f>S26*1.8+32</f>
        <v>60.08</v>
      </c>
      <c r="V26" s="260">
        <f>C6*_xlfn.XLOOKUP(D6,'Lookup Tables'!$C$190:$C$197,'Lookup Tables'!$G$190:$G$197,,0,1)*m3_per_h_to_m3_per_d</f>
        <v>0</v>
      </c>
      <c r="W26" s="260">
        <f>W16</f>
        <v>701.54</v>
      </c>
      <c r="X26" s="260">
        <f>X16</f>
        <v>70.000647147703631</v>
      </c>
      <c r="Y26" s="237">
        <f>LN(T26+14.696)</f>
        <v>5.5786149986650297</v>
      </c>
      <c r="Z26" s="237">
        <f>LN(U26)</f>
        <v>4.0956770074558797</v>
      </c>
      <c r="AA26" s="237">
        <f>X26</f>
        <v>70.000647147703631</v>
      </c>
      <c r="AB26" s="237">
        <f>-8.005+2.7*Y26-0.161*Y26^2</f>
        <v>2.0467883025593805</v>
      </c>
      <c r="AC26" s="237">
        <f>1.224-0.5*Z26-0*Z26^2</f>
        <v>-0.82383850372793987</v>
      </c>
      <c r="AD26" s="237">
        <f>-1.587+0.0441*AA26-0.0000229*AA26^2</f>
        <v>1.387816464448602</v>
      </c>
      <c r="AE26" s="237">
        <f>SUM(AB26:AD26)</f>
        <v>2.6107662632800426</v>
      </c>
      <c r="AF26" s="446">
        <f>AG26*0.3048^3*6.289814</f>
        <v>2.6181184837357385</v>
      </c>
      <c r="AG26" s="260">
        <f>EXP(3.955+0.83*AE26-0.024*AE26*AE26+0.075*AE26*AE26*AE26)*IF(G26&gt;0,G26,AG27)</f>
        <v>14.699636855795202</v>
      </c>
      <c r="AH26" s="260">
        <f ca="1">IF(K26=None,0,IF(K26=Flare,0.98,IF(K26=VaporRecoveryCompressor,0.95,"Error")))</f>
        <v>0</v>
      </c>
      <c r="AI26" s="446">
        <f ca="1">AM26*m3_per_d_to_scf_per_h</f>
        <v>0</v>
      </c>
      <c r="AJ26" s="446">
        <f ca="1">AM26*m3_per_d_to_m3_per_h</f>
        <v>0</v>
      </c>
      <c r="AK26" s="446" cm="1">
        <f t="array" aca="1" ref="AK26" ca="1">AM26*m3_per_d_to_mmscf_per_d</f>
        <v>0</v>
      </c>
      <c r="AL26" s="292">
        <f ca="1">AM26*m3_per_d_to_E3m3_per_d</f>
        <v>0</v>
      </c>
      <c r="AM26" s="446">
        <f ca="1">V26*AF26*(1-AH26)</f>
        <v>0</v>
      </c>
    </row>
    <row r="27" spans="1:39" x14ac:dyDescent="0.35">
      <c r="B27" s="278"/>
      <c r="C27" s="278"/>
      <c r="D27" s="278"/>
      <c r="E27" s="278"/>
      <c r="F27" s="278"/>
      <c r="G27" s="278"/>
      <c r="H27" s="278"/>
      <c r="I27" s="278"/>
      <c r="J27" s="278"/>
      <c r="K27" s="278"/>
      <c r="L27" s="278"/>
      <c r="M27" s="278"/>
      <c r="N27" s="278"/>
      <c r="O27" s="278"/>
      <c r="P27" s="278"/>
      <c r="Q27" s="237" t="s">
        <v>2839</v>
      </c>
      <c r="R27" s="447">
        <f>250*6.895</f>
        <v>1723.75</v>
      </c>
      <c r="S27" s="447">
        <v>15.6</v>
      </c>
      <c r="T27" s="939" t="s">
        <v>3156</v>
      </c>
      <c r="U27" s="939"/>
      <c r="AE27" s="257" t="s">
        <v>3087</v>
      </c>
      <c r="AF27" s="307" t="s">
        <v>2817</v>
      </c>
      <c r="AG27" s="449">
        <v>0.01</v>
      </c>
    </row>
    <row r="28" spans="1:39" x14ac:dyDescent="0.35">
      <c r="T28" s="940"/>
      <c r="U28" s="940"/>
    </row>
    <row r="29" spans="1:39" x14ac:dyDescent="0.35">
      <c r="T29" s="940"/>
      <c r="U29" s="940"/>
    </row>
  </sheetData>
  <sheetProtection algorithmName="SHA-512" hashValue="5Y2brNv1jQY06ZszLpk6XN+E0qA1MVUlMxZBpUhutH1MxGWZA9xhPFHVal8NEiHdlHUX9U4fLy0NABqt3HeFCA==" saltValue="7LAHGvC2M1mW5Om+l3nOfQ==" spinCount="100000" sheet="1" objects="1" scenarios="1"/>
  <mergeCells count="104">
    <mergeCell ref="T27:U29"/>
    <mergeCell ref="AI22:AM23"/>
    <mergeCell ref="R24:R25"/>
    <mergeCell ref="AL24:AL25"/>
    <mergeCell ref="AM24:AM25"/>
    <mergeCell ref="AF24:AF25"/>
    <mergeCell ref="AG24:AG25"/>
    <mergeCell ref="AI24:AI25"/>
    <mergeCell ref="AJ24:AJ25"/>
    <mergeCell ref="AK24:AK25"/>
    <mergeCell ref="AA24:AA25"/>
    <mergeCell ref="AB24:AB25"/>
    <mergeCell ref="AC24:AC25"/>
    <mergeCell ref="AD24:AD25"/>
    <mergeCell ref="AE24:AE25"/>
    <mergeCell ref="Y24:Y25"/>
    <mergeCell ref="Z24:Z25"/>
    <mergeCell ref="S24:S25"/>
    <mergeCell ref="T24:T25"/>
    <mergeCell ref="U24:U25"/>
    <mergeCell ref="V24:V25"/>
    <mergeCell ref="W24:W25"/>
    <mergeCell ref="X24:X25"/>
    <mergeCell ref="R22:U23"/>
    <mergeCell ref="AI12:AM13"/>
    <mergeCell ref="AI14:AI15"/>
    <mergeCell ref="AJ14:AJ15"/>
    <mergeCell ref="AK14:AK15"/>
    <mergeCell ref="AL14:AL15"/>
    <mergeCell ref="AH12:AH13"/>
    <mergeCell ref="V22:X23"/>
    <mergeCell ref="Y22:AE23"/>
    <mergeCell ref="AF22:AG23"/>
    <mergeCell ref="AH22:AH23"/>
    <mergeCell ref="W14:W15"/>
    <mergeCell ref="V12:X13"/>
    <mergeCell ref="Y12:AE13"/>
    <mergeCell ref="AF12:AG13"/>
    <mergeCell ref="AD14:AD15"/>
    <mergeCell ref="AE14:AE15"/>
    <mergeCell ref="AF14:AF15"/>
    <mergeCell ref="AG14:AG15"/>
    <mergeCell ref="X17:Z19"/>
    <mergeCell ref="N15:O15"/>
    <mergeCell ref="N25:O25"/>
    <mergeCell ref="AM14:AM15"/>
    <mergeCell ref="Y14:Y15"/>
    <mergeCell ref="Z14:Z15"/>
    <mergeCell ref="AA14:AA15"/>
    <mergeCell ref="AB14:AB15"/>
    <mergeCell ref="AC14:AC15"/>
    <mergeCell ref="T17:U19"/>
    <mergeCell ref="X14:X15"/>
    <mergeCell ref="R14:R15"/>
    <mergeCell ref="S14:S15"/>
    <mergeCell ref="T14:T15"/>
    <mergeCell ref="U14:U15"/>
    <mergeCell ref="V14:V15"/>
    <mergeCell ref="I7:K7"/>
    <mergeCell ref="B7:D7"/>
    <mergeCell ref="G13:H13"/>
    <mergeCell ref="I13:J13"/>
    <mergeCell ref="B13:F13"/>
    <mergeCell ref="I5:K5"/>
    <mergeCell ref="I6:K6"/>
    <mergeCell ref="E3:H3"/>
    <mergeCell ref="I3:K4"/>
    <mergeCell ref="I12:M12"/>
    <mergeCell ref="L13:M13"/>
    <mergeCell ref="R12:U13"/>
    <mergeCell ref="H14:H15"/>
    <mergeCell ref="I14:I15"/>
    <mergeCell ref="G14:G15"/>
    <mergeCell ref="G24:G25"/>
    <mergeCell ref="B1:E1"/>
    <mergeCell ref="B10:E10"/>
    <mergeCell ref="B20:E20"/>
    <mergeCell ref="C14:D14"/>
    <mergeCell ref="C24:D24"/>
    <mergeCell ref="H5:H7"/>
    <mergeCell ref="B14:B15"/>
    <mergeCell ref="B24:B25"/>
    <mergeCell ref="E24:F24"/>
    <mergeCell ref="H24:H25"/>
    <mergeCell ref="I24:I25"/>
    <mergeCell ref="J24:J25"/>
    <mergeCell ref="L24:L25"/>
    <mergeCell ref="L14:L15"/>
    <mergeCell ref="B12:F12"/>
    <mergeCell ref="K13:K15"/>
    <mergeCell ref="E14:F14"/>
    <mergeCell ref="G12:H12"/>
    <mergeCell ref="B3:D3"/>
    <mergeCell ref="B22:F22"/>
    <mergeCell ref="G22:H22"/>
    <mergeCell ref="I22:M22"/>
    <mergeCell ref="B23:F23"/>
    <mergeCell ref="G23:H23"/>
    <mergeCell ref="I23:J23"/>
    <mergeCell ref="K23:K25"/>
    <mergeCell ref="L23:M23"/>
    <mergeCell ref="J14:J15"/>
    <mergeCell ref="M24:M25"/>
    <mergeCell ref="M14:M15"/>
  </mergeCells>
  <dataValidations count="5">
    <dataValidation type="decimal" operator="greaterThanOrEqual" allowBlank="1" showInputMessage="1" showErrorMessage="1" sqref="E5:E6" xr:uid="{113E3DDA-658E-482E-A7B7-26B0BC6CF314}">
      <formula1>0</formula1>
    </dataValidation>
    <dataValidation type="list" allowBlank="1" showInputMessage="1" showErrorMessage="1" sqref="F16 F26" xr:uid="{9B4242A0-1DF3-4E7B-B4F4-16660FD868DD}">
      <formula1>"F,C"</formula1>
    </dataValidation>
    <dataValidation type="list" allowBlank="1" showInputMessage="1" showErrorMessage="1" sqref="H16" xr:uid="{78D11707-6A10-44A1-8FB1-14C91D5BDB7E}">
      <formula1>"kg/m3,lb/gal,lb/ft3,API"</formula1>
    </dataValidation>
    <dataValidation type="decimal" operator="greaterThanOrEqual" allowBlank="1" showInputMessage="1" showErrorMessage="1" error="The value you entered is not valid._x000a__x000a_This cell accepts only zero and positive numeric values." sqref="C5:C6 C16 C26 G26 G16" xr:uid="{713B9666-222D-4128-9E49-CDA4BA4A06AE}">
      <formula1>0</formula1>
    </dataValidation>
    <dataValidation type="decimal" allowBlank="1" showInputMessage="1" showErrorMessage="1" error="The value you entered is not valid._x000a__x000a_This cell accepts only values between -150 and 150." sqref="E16 E26" xr:uid="{38F412A2-8AC5-4025-8506-37B5EB82E37E}">
      <formula1>-150</formula1>
      <formula2>150</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9027" r:id="rId3" name="Drop Down 3">
              <controlPr defaultSize="0" autoLine="0" autoPict="0">
                <anchor moveWithCells="1" sizeWithCells="1">
                  <from>
                    <xdr:col>1</xdr:col>
                    <xdr:colOff>0</xdr:colOff>
                    <xdr:row>25</xdr:row>
                    <xdr:rowOff>0</xdr:rowOff>
                  </from>
                  <to>
                    <xdr:col>2</xdr:col>
                    <xdr:colOff>0</xdr:colOff>
                    <xdr:row>26</xdr:row>
                    <xdr:rowOff>0</xdr:rowOff>
                  </to>
                </anchor>
              </controlPr>
            </control>
          </mc:Choice>
        </mc:AlternateContent>
        <mc:AlternateContent xmlns:mc="http://schemas.openxmlformats.org/markup-compatibility/2006">
          <mc:Choice Requires="x14">
            <control shapeId="129026" r:id="rId4" name="Drop Down 2">
              <controlPr defaultSize="0" autoLine="0" autoPict="0">
                <anchor moveWithCells="1" sizeWithCells="1">
                  <from>
                    <xdr:col>1</xdr:col>
                    <xdr:colOff>0</xdr:colOff>
                    <xdr:row>15</xdr:row>
                    <xdr:rowOff>0</xdr:rowOff>
                  </from>
                  <to>
                    <xdr:col>2</xdr:col>
                    <xdr:colOff>0</xdr:colOff>
                    <xdr:row>16</xdr:row>
                    <xdr:rowOff>0</xdr:rowOff>
                  </to>
                </anchor>
              </controlPr>
            </control>
          </mc:Choice>
        </mc:AlternateContent>
        <mc:AlternateContent xmlns:mc="http://schemas.openxmlformats.org/markup-compatibility/2006">
          <mc:Choice Requires="x14">
            <control shapeId="129028" r:id="rId5" name="Drop Down 4">
              <controlPr defaultSize="0" autoLine="0" autoPict="0">
                <anchor moveWithCells="1" sizeWithCells="1">
                  <from>
                    <xdr:col>10</xdr:col>
                    <xdr:colOff>0</xdr:colOff>
                    <xdr:row>15</xdr:row>
                    <xdr:rowOff>0</xdr:rowOff>
                  </from>
                  <to>
                    <xdr:col>11</xdr:col>
                    <xdr:colOff>0</xdr:colOff>
                    <xdr:row>16</xdr:row>
                    <xdr:rowOff>0</xdr:rowOff>
                  </to>
                </anchor>
              </controlPr>
            </control>
          </mc:Choice>
        </mc:AlternateContent>
        <mc:AlternateContent xmlns:mc="http://schemas.openxmlformats.org/markup-compatibility/2006">
          <mc:Choice Requires="x14">
            <control shapeId="129031" r:id="rId6" name="Drop Down 7">
              <controlPr defaultSize="0" autoLine="0" autoPict="0">
                <anchor moveWithCells="1" sizeWithCells="1">
                  <from>
                    <xdr:col>10</xdr:col>
                    <xdr:colOff>0</xdr:colOff>
                    <xdr:row>25</xdr:row>
                    <xdr:rowOff>0</xdr:rowOff>
                  </from>
                  <to>
                    <xdr:col>11</xdr:col>
                    <xdr:colOff>0</xdr:colOff>
                    <xdr:row>26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9908FECF-A0D0-4314-B3CE-CFD364031100}">
          <x14:formula1>
            <xm:f>'Lookup Tables'!$B$284:$B$285</xm:f>
          </x14:formula1>
          <xm:sqref>J16</xm:sqref>
        </x14:dataValidation>
        <x14:dataValidation type="list" allowBlank="1" showInputMessage="1" showErrorMessage="1" xr:uid="{54BB8AD9-B058-4F29-A599-840270CB814C}">
          <x14:formula1>
            <xm:f>'Lookup Tables'!$C$284:$C$285</xm:f>
          </x14:formula1>
          <xm:sqref>J26</xm:sqref>
        </x14:dataValidation>
        <x14:dataValidation type="list" allowBlank="1" showInputMessage="1" showErrorMessage="1" xr:uid="{416CFC05-7ACD-40E1-9D5C-93854C247B6D}">
          <x14:formula1>
            <xm:f>'Lookup Tables'!$C$190:$C$197</xm:f>
          </x14:formula1>
          <xm:sqref>D6</xm:sqref>
        </x14:dataValidation>
        <x14:dataValidation type="list" allowBlank="1" showInputMessage="1" showErrorMessage="1" xr:uid="{85E0B81C-A12F-45E4-BC1C-A6F25961792D}">
          <x14:formula1>
            <xm:f>'Lookup Tables'!$B$259:$B$262</xm:f>
          </x14:formula1>
          <xm:sqref>D16 D26</xm:sqref>
        </x14:dataValidation>
        <x14:dataValidation type="list" allowBlank="1" showInputMessage="1" showErrorMessage="1" xr:uid="{9FD9C08A-EFB9-45C4-BF32-81C6E23DFB52}">
          <x14:formula1>
            <xm:f>'Lookup Tables'!$B$190:$B$197</xm:f>
          </x14:formula1>
          <xm:sqref>D5</xm:sqref>
        </x14:dataValidation>
        <x14:dataValidation type="list" allowBlank="1" showInputMessage="1" showErrorMessage="1" xr:uid="{C09908B6-139B-4B43-A072-0ED8A788948E}">
          <x14:formula1>
            <xm:f>'Lookup Tables'!$B$227:$B$235</xm:f>
          </x14:formula1>
          <xm:sqref>H5:H7 M26 M16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C51E2-A4F0-42EB-B2B6-41D1B24AD0C9}">
  <sheetPr>
    <tabColor rgb="FFE67942"/>
  </sheetPr>
  <dimension ref="A1:P112"/>
  <sheetViews>
    <sheetView showGridLines="0" zoomScaleNormal="100" workbookViewId="0">
      <selection activeCell="D87" sqref="D87"/>
    </sheetView>
  </sheetViews>
  <sheetFormatPr defaultColWidth="9.1796875" defaultRowHeight="14" x14ac:dyDescent="0.3"/>
  <cols>
    <col min="1" max="1" width="40.81640625" style="256" customWidth="1"/>
    <col min="2" max="2" width="28" style="256" customWidth="1"/>
    <col min="3" max="3" width="35.1796875" style="256" customWidth="1"/>
    <col min="4" max="4" width="11.26953125" style="256" bestFit="1" customWidth="1"/>
    <col min="5" max="5" width="9.453125" style="256" bestFit="1" customWidth="1"/>
    <col min="6" max="6" width="10.26953125" style="256" customWidth="1"/>
    <col min="7" max="7" width="10.1796875" style="256" bestFit="1" customWidth="1"/>
    <col min="8" max="8" width="10.453125" style="256" customWidth="1"/>
    <col min="9" max="9" width="28.7265625" style="256" customWidth="1"/>
    <col min="10" max="10" width="16.81640625" style="256" customWidth="1"/>
    <col min="11" max="11" width="16.1796875" style="256" customWidth="1"/>
    <col min="12" max="12" width="18.54296875" style="256" customWidth="1"/>
    <col min="13" max="13" width="27.453125" style="256" customWidth="1"/>
    <col min="14" max="16" width="20.7265625" style="256" customWidth="1"/>
    <col min="17" max="16384" width="9.1796875" style="256"/>
  </cols>
  <sheetData>
    <row r="1" spans="1:16" ht="22.5" x14ac:dyDescent="0.45">
      <c r="A1" s="982" t="str">
        <f ca="1">'Translation Table'!H63</f>
        <v>"DETAILED RESULTS TABULATION" FOR QUALITY ASSURANCE CHECKS</v>
      </c>
      <c r="B1" s="982"/>
      <c r="C1" s="982"/>
      <c r="D1" s="983"/>
      <c r="E1" s="983"/>
    </row>
    <row r="3" spans="1:16" ht="22.5" x14ac:dyDescent="0.3">
      <c r="A3" s="974" t="str">
        <f ca="1">'Translation Table'!H64</f>
        <v>Calculations - Combustion</v>
      </c>
      <c r="B3" s="974"/>
    </row>
    <row r="4" spans="1:16" ht="22.5" x14ac:dyDescent="0.3">
      <c r="A4" s="249"/>
      <c r="B4" s="249"/>
    </row>
    <row r="5" spans="1:16" ht="15.5" x14ac:dyDescent="0.3">
      <c r="A5" s="962" t="str">
        <f ca="1">'Translation Table'!H86</f>
        <v>Primary Source Category</v>
      </c>
      <c r="B5" s="966" t="str">
        <f ca="1">'Translation Table'!H393</f>
        <v>Type</v>
      </c>
      <c r="C5" s="967"/>
      <c r="D5" s="450" t="str">
        <f ca="1">'Calculations - Combustion'!AS4</f>
        <v>CO2</v>
      </c>
      <c r="E5" s="450" t="str">
        <f ca="1">'Calculations - Combustion'!AT4</f>
        <v>CH4</v>
      </c>
      <c r="F5" s="450" t="str">
        <f ca="1">'Calculations - Combustion'!AU4</f>
        <v>N2O</v>
      </c>
      <c r="G5" s="450" t="str">
        <f ca="1">'Calculations - Combustion'!AV4</f>
        <v>NOx</v>
      </c>
      <c r="H5" s="450" t="str">
        <f ca="1">'Calculations - Combustion'!AW4</f>
        <v>CO</v>
      </c>
      <c r="I5" s="450" t="str">
        <f ca="1">'Calculations - Combustion'!AX4</f>
        <v>NMVOC</v>
      </c>
      <c r="J5" s="450" t="str">
        <f ca="1">'Calculations - Combustion'!AY4</f>
        <v>SO2</v>
      </c>
      <c r="K5" s="955" t="str">
        <f ca="1">'Translation Table'!H65</f>
        <v>Checks</v>
      </c>
      <c r="L5" s="699"/>
      <c r="M5" s="700"/>
      <c r="N5" s="955" t="str">
        <f ca="1">'Translation Table'!H69</f>
        <v>Error Messages</v>
      </c>
      <c r="O5" s="956"/>
      <c r="P5" s="957"/>
    </row>
    <row r="6" spans="1:16" ht="15.5" x14ac:dyDescent="0.3">
      <c r="A6" s="963"/>
      <c r="B6" s="968"/>
      <c r="C6" s="969"/>
      <c r="D6" s="450" t="str">
        <f ca="1">'Calculations - Combustion'!AS5</f>
        <v>(tonnes/y)</v>
      </c>
      <c r="E6" s="450" t="str">
        <f ca="1">'Calculations - Combustion'!AT5</f>
        <v>(tonnes/y)</v>
      </c>
      <c r="F6" s="450" t="str">
        <f ca="1">'Calculations - Combustion'!AU5</f>
        <v>(tonnes/y)</v>
      </c>
      <c r="G6" s="450" t="str">
        <f ca="1">'Calculations - Combustion'!AV5</f>
        <v>(tonnes/y)</v>
      </c>
      <c r="H6" s="450" t="str">
        <f ca="1">'Calculations - Combustion'!AW5</f>
        <v>(tonnes/y)</v>
      </c>
      <c r="I6" s="450" t="str">
        <f ca="1">'Calculations - Combustion'!AX5</f>
        <v>(tonnes/y)</v>
      </c>
      <c r="J6" s="450" t="str">
        <f ca="1">'Calculations - Combustion'!AY5</f>
        <v>(tonnes/y)</v>
      </c>
      <c r="K6" s="450" t="str">
        <f ca="1">'Translation Table'!H66</f>
        <v>Active</v>
      </c>
      <c r="L6" s="450" t="str">
        <f ca="1">'Translation Table'!H67</f>
        <v>EF Result</v>
      </c>
      <c r="M6" s="450" t="str">
        <f ca="1">'Translation Table'!H68</f>
        <v>Reported or Measured Activity</v>
      </c>
      <c r="N6" s="958"/>
      <c r="O6" s="959"/>
      <c r="P6" s="960"/>
    </row>
    <row r="7" spans="1:16" x14ac:dyDescent="0.3">
      <c r="A7" s="238" t="str">
        <f ca="1">'Translation Table'!H101</f>
        <v>Fuel Combustion:</v>
      </c>
      <c r="B7" s="964"/>
      <c r="C7" s="965"/>
      <c r="D7" s="980"/>
      <c r="E7" s="980"/>
      <c r="F7" s="980"/>
      <c r="G7" s="980"/>
      <c r="H7" s="980"/>
      <c r="I7" s="980"/>
      <c r="J7" s="980"/>
      <c r="K7" s="452"/>
      <c r="L7" s="452"/>
      <c r="M7" s="452"/>
      <c r="N7" s="945"/>
      <c r="O7" s="945"/>
      <c r="P7" s="945"/>
    </row>
    <row r="8" spans="1:16" x14ac:dyDescent="0.3">
      <c r="A8" s="890" t="str">
        <f ca="1">'Translation Table'!H123</f>
        <v xml:space="preserve">    - Solid Fuels</v>
      </c>
      <c r="B8" s="949" t="str">
        <f ca="1">'Calculations - Combustion'!B6</f>
        <v>Anthracite</v>
      </c>
      <c r="C8" s="949"/>
      <c r="D8" s="453">
        <f ca="1">'Calculations - Combustion'!AS6</f>
        <v>0</v>
      </c>
      <c r="E8" s="453">
        <f ca="1">'Calculations - Combustion'!AT6</f>
        <v>0</v>
      </c>
      <c r="F8" s="453">
        <f ca="1">'Calculations - Combustion'!AU6</f>
        <v>0</v>
      </c>
      <c r="G8" s="453">
        <f ca="1">'Calculations - Combustion'!AV6</f>
        <v>0</v>
      </c>
      <c r="H8" s="453">
        <f ca="1">'Calculations - Combustion'!AW6</f>
        <v>0</v>
      </c>
      <c r="I8" s="453">
        <f ca="1">'Calculations - Combustion'!AX6</f>
        <v>0</v>
      </c>
      <c r="J8" s="453">
        <f ca="1">'Calculations - Combustion'!AY6</f>
        <v>0</v>
      </c>
      <c r="K8" s="452" t="b">
        <f ca="1">IF(OR('Setup - Fuel Use'!D6&lt;&gt;0,'Setup - Fuel Use'!F6&lt;&gt;0),TRUE,FALSE)</f>
        <v>0</v>
      </c>
      <c r="L8" s="193" t="b">
        <v>1</v>
      </c>
      <c r="M8" s="193" t="b">
        <f ca="1">IF('Setup - Fuel Use'!AF6&gt;0,TRUE, FALSE)</f>
        <v>0</v>
      </c>
      <c r="N8" s="954" t="str">
        <f t="shared" ref="N8:N15" ca="1" si="0">IF(OR(AND(K8=TRUE,SUM(D8:J8)=0),AND(K8=FALSE,SUM(D8:J8)&gt;0)),LOOKUP("Err07",TblErrorMsg),"")</f>
        <v/>
      </c>
      <c r="O8" s="954"/>
      <c r="P8" s="954"/>
    </row>
    <row r="9" spans="1:16" x14ac:dyDescent="0.3">
      <c r="A9" s="949"/>
      <c r="B9" s="948" t="str">
        <f ca="1">'Calculations - Combustion'!B7</f>
        <v>Bituminous</v>
      </c>
      <c r="C9" s="948"/>
      <c r="D9" s="454">
        <f ca="1">'Calculations - Combustion'!AS7</f>
        <v>0</v>
      </c>
      <c r="E9" s="454">
        <f ca="1">'Calculations - Combustion'!AT7</f>
        <v>0</v>
      </c>
      <c r="F9" s="454">
        <f ca="1">'Calculations - Combustion'!AU7</f>
        <v>0</v>
      </c>
      <c r="G9" s="454">
        <f ca="1">'Calculations - Combustion'!AV7</f>
        <v>0</v>
      </c>
      <c r="H9" s="454">
        <f ca="1">'Calculations - Combustion'!AW7</f>
        <v>0</v>
      </c>
      <c r="I9" s="454">
        <f ca="1">'Calculations - Combustion'!AX7</f>
        <v>0</v>
      </c>
      <c r="J9" s="454">
        <f ca="1">'Calculations - Combustion'!AY7</f>
        <v>0</v>
      </c>
      <c r="K9" s="452" t="b">
        <f ca="1">IF(OR('Setup - Fuel Use'!D7&lt;&gt;0,'Setup - Fuel Use'!F7&lt;&gt;0),TRUE,FALSE)</f>
        <v>0</v>
      </c>
      <c r="L9" s="452" t="b">
        <v>1</v>
      </c>
      <c r="M9" s="452" t="b">
        <f ca="1">IF('Setup - Fuel Use'!AF7&gt;0,TRUE, FALSE)</f>
        <v>0</v>
      </c>
      <c r="N9" s="961" t="str">
        <f t="shared" ca="1" si="0"/>
        <v/>
      </c>
      <c r="O9" s="961"/>
      <c r="P9" s="961"/>
    </row>
    <row r="10" spans="1:16" x14ac:dyDescent="0.3">
      <c r="A10" s="949"/>
      <c r="B10" s="949" t="str">
        <f ca="1">'Calculations - Combustion'!B8</f>
        <v>Lignite</v>
      </c>
      <c r="C10" s="949"/>
      <c r="D10" s="453">
        <f ca="1">'Calculations - Combustion'!AS8</f>
        <v>0</v>
      </c>
      <c r="E10" s="453">
        <f ca="1">'Calculations - Combustion'!AT8</f>
        <v>0</v>
      </c>
      <c r="F10" s="453">
        <f ca="1">'Calculations - Combustion'!AU8</f>
        <v>0</v>
      </c>
      <c r="G10" s="453">
        <f ca="1">'Calculations - Combustion'!AV8</f>
        <v>0</v>
      </c>
      <c r="H10" s="453">
        <f ca="1">'Calculations - Combustion'!AW8</f>
        <v>0</v>
      </c>
      <c r="I10" s="453">
        <f ca="1">'Calculations - Combustion'!AX8</f>
        <v>0</v>
      </c>
      <c r="J10" s="453">
        <f ca="1">'Calculations - Combustion'!AY8</f>
        <v>0</v>
      </c>
      <c r="K10" s="193" t="b">
        <f ca="1">IF(OR('Setup - Fuel Use'!D8&lt;&gt;0,'Setup - Fuel Use'!F8&lt;&gt;0),TRUE,FALSE)</f>
        <v>0</v>
      </c>
      <c r="L10" s="193" t="b">
        <v>1</v>
      </c>
      <c r="M10" s="193" t="b">
        <f ca="1">IF('Setup - Fuel Use'!AF8&gt;0,TRUE, FALSE)</f>
        <v>0</v>
      </c>
      <c r="N10" s="954" t="str">
        <f t="shared" ca="1" si="0"/>
        <v/>
      </c>
      <c r="O10" s="954"/>
      <c r="P10" s="954"/>
    </row>
    <row r="11" spans="1:16" x14ac:dyDescent="0.3">
      <c r="A11" s="949"/>
      <c r="B11" s="948" t="str">
        <f ca="1">'Calculations - Combustion'!B9</f>
        <v>Cleaned Coal</v>
      </c>
      <c r="C11" s="948"/>
      <c r="D11" s="454">
        <f ca="1">'Calculations - Combustion'!AS9</f>
        <v>0</v>
      </c>
      <c r="E11" s="454">
        <f ca="1">'Calculations - Combustion'!AT9</f>
        <v>0</v>
      </c>
      <c r="F11" s="454">
        <f ca="1">'Calculations - Combustion'!AU9</f>
        <v>0</v>
      </c>
      <c r="G11" s="454">
        <f ca="1">'Calculations - Combustion'!AV9</f>
        <v>0</v>
      </c>
      <c r="H11" s="454">
        <f ca="1">'Calculations - Combustion'!AW9</f>
        <v>0</v>
      </c>
      <c r="I11" s="454">
        <f ca="1">'Calculations - Combustion'!AX9</f>
        <v>0</v>
      </c>
      <c r="J11" s="454">
        <f ca="1">'Calculations - Combustion'!AY9</f>
        <v>0</v>
      </c>
      <c r="K11" s="452" t="b">
        <f ca="1">IF(OR('Setup - Fuel Use'!D9&lt;&gt;0,'Setup - Fuel Use'!F9&lt;&gt;0),TRUE,FALSE)</f>
        <v>0</v>
      </c>
      <c r="L11" s="452" t="b">
        <v>1</v>
      </c>
      <c r="M11" s="452" t="b">
        <f ca="1">IF('Setup - Fuel Use'!AF9&gt;0,TRUE, FALSE)</f>
        <v>0</v>
      </c>
      <c r="N11" s="961" t="str">
        <f t="shared" ca="1" si="0"/>
        <v/>
      </c>
      <c r="O11" s="961"/>
      <c r="P11" s="961"/>
    </row>
    <row r="12" spans="1:16" x14ac:dyDescent="0.3">
      <c r="A12" s="949"/>
      <c r="B12" s="949" t="str">
        <f ca="1">'Calculations - Combustion'!B10</f>
        <v>Other Washed Coal</v>
      </c>
      <c r="C12" s="949"/>
      <c r="D12" s="453">
        <f ca="1">'Calculations - Combustion'!AS10</f>
        <v>0</v>
      </c>
      <c r="E12" s="453">
        <f ca="1">'Calculations - Combustion'!AT10</f>
        <v>0</v>
      </c>
      <c r="F12" s="453">
        <f ca="1">'Calculations - Combustion'!AU10</f>
        <v>0</v>
      </c>
      <c r="G12" s="453">
        <f ca="1">'Calculations - Combustion'!AV10</f>
        <v>0</v>
      </c>
      <c r="H12" s="453">
        <f ca="1">'Calculations - Combustion'!AW10</f>
        <v>0</v>
      </c>
      <c r="I12" s="453">
        <f ca="1">'Calculations - Combustion'!AX10</f>
        <v>0</v>
      </c>
      <c r="J12" s="453">
        <f ca="1">'Calculations - Combustion'!AY10</f>
        <v>0</v>
      </c>
      <c r="K12" s="193" t="b">
        <f ca="1">IF(OR('Setup - Fuel Use'!D10&lt;&gt;0,'Setup - Fuel Use'!F10&lt;&gt;0),TRUE,FALSE)</f>
        <v>0</v>
      </c>
      <c r="L12" s="193" t="b">
        <v>1</v>
      </c>
      <c r="M12" s="193" t="b">
        <f ca="1">IF('Setup - Fuel Use'!AF10&gt;0,TRUE, FALSE)</f>
        <v>0</v>
      </c>
      <c r="N12" s="954" t="str">
        <f t="shared" ca="1" si="0"/>
        <v/>
      </c>
      <c r="O12" s="954"/>
      <c r="P12" s="954"/>
    </row>
    <row r="13" spans="1:16" x14ac:dyDescent="0.3">
      <c r="A13" s="949"/>
      <c r="B13" s="948" t="str">
        <f ca="1">'Calculations - Combustion'!B11</f>
        <v>Briquette Coal</v>
      </c>
      <c r="C13" s="948"/>
      <c r="D13" s="454">
        <f ca="1">'Calculations - Combustion'!AS11</f>
        <v>0</v>
      </c>
      <c r="E13" s="454">
        <f ca="1">'Calculations - Combustion'!AT11</f>
        <v>0</v>
      </c>
      <c r="F13" s="454">
        <f ca="1">'Calculations - Combustion'!AU11</f>
        <v>0</v>
      </c>
      <c r="G13" s="454">
        <f ca="1">'Calculations - Combustion'!AV11</f>
        <v>0</v>
      </c>
      <c r="H13" s="454">
        <f ca="1">'Calculations - Combustion'!AW11</f>
        <v>0</v>
      </c>
      <c r="I13" s="454">
        <f ca="1">'Calculations - Combustion'!AX11</f>
        <v>0</v>
      </c>
      <c r="J13" s="454">
        <f ca="1">'Calculations - Combustion'!AY11</f>
        <v>0</v>
      </c>
      <c r="K13" s="452" t="b">
        <f ca="1">IF(OR('Setup - Fuel Use'!D11&lt;&gt;0,'Setup - Fuel Use'!F11&lt;&gt;0),TRUE,FALSE)</f>
        <v>0</v>
      </c>
      <c r="L13" s="452" t="b">
        <v>1</v>
      </c>
      <c r="M13" s="452" t="b">
        <f ca="1">IF('Setup - Fuel Use'!AF11&gt;0,TRUE, FALSE)</f>
        <v>0</v>
      </c>
      <c r="N13" s="961" t="str">
        <f t="shared" ca="1" si="0"/>
        <v/>
      </c>
      <c r="O13" s="961"/>
      <c r="P13" s="961"/>
    </row>
    <row r="14" spans="1:16" x14ac:dyDescent="0.3">
      <c r="A14" s="949"/>
      <c r="B14" s="949" t="str">
        <f ca="1">'Calculations - Combustion'!B12</f>
        <v>Coke</v>
      </c>
      <c r="C14" s="949"/>
      <c r="D14" s="453">
        <f ca="1">'Calculations - Combustion'!AS12</f>
        <v>0</v>
      </c>
      <c r="E14" s="453">
        <f ca="1">'Calculations - Combustion'!AT12</f>
        <v>0</v>
      </c>
      <c r="F14" s="453">
        <f ca="1">'Calculations - Combustion'!AU12</f>
        <v>0</v>
      </c>
      <c r="G14" s="453">
        <f ca="1">'Calculations - Combustion'!AV12</f>
        <v>0</v>
      </c>
      <c r="H14" s="453">
        <f ca="1">'Calculations - Combustion'!AW12</f>
        <v>0</v>
      </c>
      <c r="I14" s="453">
        <f ca="1">'Calculations - Combustion'!AX12</f>
        <v>0</v>
      </c>
      <c r="J14" s="453">
        <f ca="1">'Calculations - Combustion'!AY12</f>
        <v>0</v>
      </c>
      <c r="K14" s="193" t="b">
        <f ca="1">IF(OR('Setup - Fuel Use'!D12&lt;&gt;0,'Setup - Fuel Use'!F12&lt;&gt;0),TRUE,FALSE)</f>
        <v>0</v>
      </c>
      <c r="L14" s="193" t="b">
        <v>1</v>
      </c>
      <c r="M14" s="193" t="b">
        <f ca="1">IF('Setup - Fuel Use'!AF12&gt;0,TRUE, FALSE)</f>
        <v>0</v>
      </c>
      <c r="N14" s="954" t="str">
        <f t="shared" ca="1" si="0"/>
        <v/>
      </c>
      <c r="O14" s="954"/>
      <c r="P14" s="954"/>
    </row>
    <row r="15" spans="1:16" x14ac:dyDescent="0.3">
      <c r="A15" s="949"/>
      <c r="B15" s="948" t="str">
        <f ca="1">'Calculations - Combustion'!B13</f>
        <v>Petroleum Coke</v>
      </c>
      <c r="C15" s="948"/>
      <c r="D15" s="454">
        <f ca="1">'Calculations - Combustion'!AS13</f>
        <v>0</v>
      </c>
      <c r="E15" s="454">
        <f ca="1">'Calculations - Combustion'!AT13</f>
        <v>0</v>
      </c>
      <c r="F15" s="454">
        <f ca="1">'Calculations - Combustion'!AU13</f>
        <v>0</v>
      </c>
      <c r="G15" s="454">
        <f ca="1">'Calculations - Combustion'!AV13</f>
        <v>0</v>
      </c>
      <c r="H15" s="454">
        <f ca="1">'Calculations - Combustion'!AW13</f>
        <v>0</v>
      </c>
      <c r="I15" s="454">
        <f ca="1">'Calculations - Combustion'!AX13</f>
        <v>0</v>
      </c>
      <c r="J15" s="454">
        <f ca="1">'Calculations - Combustion'!AY13</f>
        <v>0</v>
      </c>
      <c r="K15" s="452" t="b">
        <f ca="1">IF(OR('Setup - Fuel Use'!D13&lt;&gt;0,'Setup - Fuel Use'!F13&lt;&gt;0),TRUE,FALSE)</f>
        <v>0</v>
      </c>
      <c r="L15" s="452" t="b">
        <v>1</v>
      </c>
      <c r="M15" s="452" t="b">
        <f ca="1">IF('Setup - Fuel Use'!AF13&gt;0,TRUE, FALSE)</f>
        <v>0</v>
      </c>
      <c r="N15" s="961" t="str">
        <f t="shared" ca="1" si="0"/>
        <v/>
      </c>
      <c r="O15" s="961"/>
      <c r="P15" s="961"/>
    </row>
    <row r="16" spans="1:16" x14ac:dyDescent="0.3">
      <c r="A16" s="949"/>
      <c r="B16" s="970" t="str">
        <f ca="1">'Translation Table'!H150</f>
        <v>Total</v>
      </c>
      <c r="C16" s="970"/>
      <c r="D16" s="453">
        <f ca="1">'Calculations - Combustion'!AS14</f>
        <v>0</v>
      </c>
      <c r="E16" s="453">
        <f ca="1">'Calculations - Combustion'!AT14</f>
        <v>0</v>
      </c>
      <c r="F16" s="453">
        <f ca="1">'Calculations - Combustion'!AU14</f>
        <v>0</v>
      </c>
      <c r="G16" s="453">
        <f ca="1">'Calculations - Combustion'!AV14</f>
        <v>0</v>
      </c>
      <c r="H16" s="453">
        <f ca="1">'Calculations - Combustion'!AW14</f>
        <v>0</v>
      </c>
      <c r="I16" s="453">
        <f ca="1">'Calculations - Combustion'!AX14</f>
        <v>0</v>
      </c>
      <c r="J16" s="453">
        <f ca="1">'Calculations - Combustion'!AY14</f>
        <v>0</v>
      </c>
      <c r="K16" s="193"/>
      <c r="L16" s="193"/>
      <c r="M16" s="193"/>
      <c r="N16" s="954"/>
      <c r="O16" s="954"/>
      <c r="P16" s="954"/>
    </row>
    <row r="17" spans="1:16" x14ac:dyDescent="0.3">
      <c r="A17" s="948" t="str">
        <f ca="1">'Translation Table'!H124</f>
        <v xml:space="preserve">    - Liquid Fuels</v>
      </c>
      <c r="B17" s="948" t="str">
        <f ca="1">'Calculations - Combustion'!B20</f>
        <v>Crude Oil</v>
      </c>
      <c r="C17" s="948"/>
      <c r="D17" s="454">
        <f ca="1">'Calculations - Combustion'!AS20</f>
        <v>0</v>
      </c>
      <c r="E17" s="454">
        <f ca="1">'Calculations - Combustion'!AT20</f>
        <v>0</v>
      </c>
      <c r="F17" s="454">
        <f ca="1">'Calculations - Combustion'!AU20</f>
        <v>0</v>
      </c>
      <c r="G17" s="454">
        <f ca="1">'Calculations - Combustion'!AV20</f>
        <v>0</v>
      </c>
      <c r="H17" s="454">
        <f ca="1">'Calculations - Combustion'!AW20</f>
        <v>0</v>
      </c>
      <c r="I17" s="454">
        <f ca="1">'Calculations - Combustion'!AX20</f>
        <v>0</v>
      </c>
      <c r="J17" s="454">
        <f ca="1">'Calculations - Combustion'!AY20</f>
        <v>0</v>
      </c>
      <c r="K17" s="452" t="b">
        <f ca="1">IF(OR('Setup - Fuel Use'!D14&lt;&gt;0,'Setup - Fuel Use'!F14&lt;&gt;0),TRUE,FALSE)</f>
        <v>0</v>
      </c>
      <c r="L17" s="452" t="b">
        <v>1</v>
      </c>
      <c r="M17" s="452" t="b">
        <f ca="1">IF('Setup - Fuel Use'!AF14&gt;0,TRUE, FALSE)</f>
        <v>0</v>
      </c>
      <c r="N17" s="961" t="str">
        <f t="shared" ref="N17:N26" ca="1" si="1">IF(OR(AND(K17=TRUE,SUM(D17:J17)=0),AND(K17=FALSE,SUM(D17:J17)&gt;0)),LOOKUP("Err07",TblErrorMsg),"")</f>
        <v/>
      </c>
      <c r="O17" s="961"/>
      <c r="P17" s="961"/>
    </row>
    <row r="18" spans="1:16" x14ac:dyDescent="0.3">
      <c r="A18" s="948"/>
      <c r="B18" s="949" t="str">
        <f ca="1">'Calculations - Combustion'!B21</f>
        <v>Fuel Oil</v>
      </c>
      <c r="C18" s="949"/>
      <c r="D18" s="453">
        <f ca="1">'Calculations - Combustion'!AS21</f>
        <v>0</v>
      </c>
      <c r="E18" s="453">
        <f ca="1">'Calculations - Combustion'!AT21</f>
        <v>0</v>
      </c>
      <c r="F18" s="453">
        <f ca="1">'Calculations - Combustion'!AU21</f>
        <v>0</v>
      </c>
      <c r="G18" s="453">
        <f ca="1">'Calculations - Combustion'!AV21</f>
        <v>0</v>
      </c>
      <c r="H18" s="453">
        <f ca="1">'Calculations - Combustion'!AW21</f>
        <v>0</v>
      </c>
      <c r="I18" s="453">
        <f ca="1">'Calculations - Combustion'!AX21</f>
        <v>0</v>
      </c>
      <c r="J18" s="453">
        <f ca="1">'Calculations - Combustion'!AY21</f>
        <v>0</v>
      </c>
      <c r="K18" s="452" t="b">
        <f ca="1">IF(OR('Setup - Fuel Use'!D15&lt;&gt;0,'Setup - Fuel Use'!F15&lt;&gt;0),TRUE,FALSE)</f>
        <v>0</v>
      </c>
      <c r="L18" s="193" t="b">
        <v>1</v>
      </c>
      <c r="M18" s="193" t="b">
        <f ca="1">IF('Setup - Fuel Use'!AF15&gt;0,TRUE, FALSE)</f>
        <v>0</v>
      </c>
      <c r="N18" s="954" t="str">
        <f t="shared" ca="1" si="1"/>
        <v/>
      </c>
      <c r="O18" s="954"/>
      <c r="P18" s="954"/>
    </row>
    <row r="19" spans="1:16" x14ac:dyDescent="0.3">
      <c r="A19" s="948"/>
      <c r="B19" s="948" t="str">
        <f ca="1">'Calculations - Combustion'!B22</f>
        <v>Gasoline</v>
      </c>
      <c r="C19" s="948"/>
      <c r="D19" s="454">
        <f ca="1">'Calculations - Combustion'!AS22</f>
        <v>0</v>
      </c>
      <c r="E19" s="454">
        <f ca="1">'Calculations - Combustion'!AT22</f>
        <v>0</v>
      </c>
      <c r="F19" s="454">
        <f ca="1">'Calculations - Combustion'!AU22</f>
        <v>0</v>
      </c>
      <c r="G19" s="454">
        <f ca="1">'Calculations - Combustion'!AV22</f>
        <v>0</v>
      </c>
      <c r="H19" s="454">
        <f ca="1">'Calculations - Combustion'!AW22</f>
        <v>0</v>
      </c>
      <c r="I19" s="454">
        <f ca="1">'Calculations - Combustion'!AX22</f>
        <v>0</v>
      </c>
      <c r="J19" s="454">
        <f ca="1">'Calculations - Combustion'!AY22</f>
        <v>0</v>
      </c>
      <c r="K19" s="452" t="b">
        <f ca="1">IF(OR('Setup - Fuel Use'!D16&lt;&gt;0,'Setup - Fuel Use'!F16&lt;&gt;0),TRUE,FALSE)</f>
        <v>0</v>
      </c>
      <c r="L19" s="452" t="b">
        <v>1</v>
      </c>
      <c r="M19" s="452" t="b">
        <f ca="1">IF('Setup - Fuel Use'!AF16&gt;0,TRUE, FALSE)</f>
        <v>0</v>
      </c>
      <c r="N19" s="961" t="str">
        <f t="shared" ca="1" si="1"/>
        <v/>
      </c>
      <c r="O19" s="961"/>
      <c r="P19" s="961"/>
    </row>
    <row r="20" spans="1:16" x14ac:dyDescent="0.3">
      <c r="A20" s="948"/>
      <c r="B20" s="949" t="str">
        <f ca="1">'Calculations - Combustion'!B23</f>
        <v>Diesel</v>
      </c>
      <c r="C20" s="949"/>
      <c r="D20" s="453">
        <f ca="1">'Calculations - Combustion'!AS23</f>
        <v>0</v>
      </c>
      <c r="E20" s="453">
        <f ca="1">'Calculations - Combustion'!AT23</f>
        <v>0</v>
      </c>
      <c r="F20" s="453">
        <f ca="1">'Calculations - Combustion'!AU23</f>
        <v>0</v>
      </c>
      <c r="G20" s="453">
        <f ca="1">'Calculations - Combustion'!AV23</f>
        <v>0</v>
      </c>
      <c r="H20" s="453">
        <f ca="1">'Calculations - Combustion'!AW23</f>
        <v>0</v>
      </c>
      <c r="I20" s="453">
        <f ca="1">'Calculations - Combustion'!AX23</f>
        <v>0</v>
      </c>
      <c r="J20" s="453">
        <f ca="1">'Calculations - Combustion'!AY23</f>
        <v>0</v>
      </c>
      <c r="K20" s="452" t="b">
        <f ca="1">IF(OR('Setup - Fuel Use'!D17&lt;&gt;0,'Setup - Fuel Use'!F17&lt;&gt;0),TRUE,FALSE)</f>
        <v>0</v>
      </c>
      <c r="L20" s="193" t="b">
        <v>1</v>
      </c>
      <c r="M20" s="193" t="b">
        <f ca="1">IF('Setup - Fuel Use'!AF17&gt;0,TRUE, FALSE)</f>
        <v>0</v>
      </c>
      <c r="N20" s="954" t="str">
        <f t="shared" ca="1" si="1"/>
        <v/>
      </c>
      <c r="O20" s="954"/>
      <c r="P20" s="954"/>
    </row>
    <row r="21" spans="1:16" x14ac:dyDescent="0.3">
      <c r="A21" s="948"/>
      <c r="B21" s="948" t="str">
        <f ca="1">'Calculations - Combustion'!B24</f>
        <v>Aviation Kerosene</v>
      </c>
      <c r="C21" s="948"/>
      <c r="D21" s="454">
        <f ca="1">'Calculations - Combustion'!AS24</f>
        <v>0</v>
      </c>
      <c r="E21" s="454">
        <f ca="1">'Calculations - Combustion'!AT24</f>
        <v>0</v>
      </c>
      <c r="F21" s="454">
        <f ca="1">'Calculations - Combustion'!AU24</f>
        <v>0</v>
      </c>
      <c r="G21" s="454">
        <f ca="1">'Calculations - Combustion'!AV24</f>
        <v>0</v>
      </c>
      <c r="H21" s="454">
        <f ca="1">'Calculations - Combustion'!AW24</f>
        <v>0</v>
      </c>
      <c r="I21" s="454">
        <f ca="1">'Calculations - Combustion'!AX24</f>
        <v>0</v>
      </c>
      <c r="J21" s="454">
        <f ca="1">'Calculations - Combustion'!AY24</f>
        <v>0</v>
      </c>
      <c r="K21" s="452" t="b">
        <f ca="1">IF(OR('Setup - Fuel Use'!D18&lt;&gt;0,'Setup - Fuel Use'!F18&lt;&gt;0),TRUE,FALSE)</f>
        <v>0</v>
      </c>
      <c r="L21" s="452" t="b">
        <v>1</v>
      </c>
      <c r="M21" s="452" t="b">
        <f ca="1">IF('Setup - Fuel Use'!AF18&gt;0,TRUE, FALSE)</f>
        <v>0</v>
      </c>
      <c r="N21" s="961" t="str">
        <f t="shared" ca="1" si="1"/>
        <v/>
      </c>
      <c r="O21" s="961"/>
      <c r="P21" s="961"/>
    </row>
    <row r="22" spans="1:16" x14ac:dyDescent="0.3">
      <c r="A22" s="948"/>
      <c r="B22" s="949" t="str">
        <f ca="1">'Calculations - Combustion'!B25</f>
        <v>Common Kerosene</v>
      </c>
      <c r="C22" s="949"/>
      <c r="D22" s="453">
        <f ca="1">'Calculations - Combustion'!AS25</f>
        <v>0</v>
      </c>
      <c r="E22" s="453">
        <f ca="1">'Calculations - Combustion'!AT25</f>
        <v>0</v>
      </c>
      <c r="F22" s="453">
        <f ca="1">'Calculations - Combustion'!AU25</f>
        <v>0</v>
      </c>
      <c r="G22" s="453">
        <f ca="1">'Calculations - Combustion'!AV25</f>
        <v>0</v>
      </c>
      <c r="H22" s="453">
        <f ca="1">'Calculations - Combustion'!AW25</f>
        <v>0</v>
      </c>
      <c r="I22" s="453">
        <f ca="1">'Calculations - Combustion'!AX25</f>
        <v>0</v>
      </c>
      <c r="J22" s="453">
        <f ca="1">'Calculations - Combustion'!AY25</f>
        <v>0</v>
      </c>
      <c r="K22" s="452" t="b">
        <f ca="1">IF(OR('Setup - Fuel Use'!D19&lt;&gt;0,'Setup - Fuel Use'!F19&lt;&gt;0),TRUE,FALSE)</f>
        <v>0</v>
      </c>
      <c r="L22" s="193" t="b">
        <v>1</v>
      </c>
      <c r="M22" s="193" t="b">
        <f ca="1">IF('Setup - Fuel Use'!AF19&gt;0,TRUE, FALSE)</f>
        <v>0</v>
      </c>
      <c r="N22" s="954" t="str">
        <f t="shared" ca="1" si="1"/>
        <v/>
      </c>
      <c r="O22" s="954"/>
      <c r="P22" s="954"/>
    </row>
    <row r="23" spans="1:16" x14ac:dyDescent="0.3">
      <c r="A23" s="948"/>
      <c r="B23" s="948" t="str">
        <f ca="1">'Calculations - Combustion'!B26</f>
        <v>Naphtha</v>
      </c>
      <c r="C23" s="948"/>
      <c r="D23" s="454">
        <f ca="1">'Calculations - Combustion'!AS26</f>
        <v>0</v>
      </c>
      <c r="E23" s="454">
        <f ca="1">'Calculations - Combustion'!AT26</f>
        <v>0</v>
      </c>
      <c r="F23" s="454">
        <f ca="1">'Calculations - Combustion'!AU26</f>
        <v>0</v>
      </c>
      <c r="G23" s="454">
        <f ca="1">'Calculations - Combustion'!AV26</f>
        <v>0</v>
      </c>
      <c r="H23" s="454">
        <f ca="1">'Calculations - Combustion'!AW26</f>
        <v>0</v>
      </c>
      <c r="I23" s="454">
        <f ca="1">'Calculations - Combustion'!AX26</f>
        <v>0</v>
      </c>
      <c r="J23" s="454">
        <f ca="1">'Calculations - Combustion'!AY26</f>
        <v>0</v>
      </c>
      <c r="K23" s="452" t="b">
        <f ca="1">IF(OR('Setup - Fuel Use'!D20&lt;&gt;0,'Setup - Fuel Use'!F20&lt;&gt;0),TRUE,FALSE)</f>
        <v>0</v>
      </c>
      <c r="L23" s="452" t="b">
        <v>1</v>
      </c>
      <c r="M23" s="452" t="b">
        <f ca="1">IF('Setup - Fuel Use'!AF20&gt;0,TRUE, FALSE)</f>
        <v>0</v>
      </c>
      <c r="N23" s="961" t="str">
        <f t="shared" ca="1" si="1"/>
        <v/>
      </c>
      <c r="O23" s="961"/>
      <c r="P23" s="961"/>
    </row>
    <row r="24" spans="1:16" x14ac:dyDescent="0.3">
      <c r="A24" s="948"/>
      <c r="B24" s="949" t="str">
        <f ca="1">'Calculations - Combustion'!B27</f>
        <v>Liquid Petroleum Gas</v>
      </c>
      <c r="C24" s="949"/>
      <c r="D24" s="453">
        <f ca="1">'Calculations - Combustion'!AS27</f>
        <v>0</v>
      </c>
      <c r="E24" s="453">
        <f ca="1">'Calculations - Combustion'!AT27</f>
        <v>0</v>
      </c>
      <c r="F24" s="453">
        <f ca="1">'Calculations - Combustion'!AU27</f>
        <v>0</v>
      </c>
      <c r="G24" s="453">
        <f ca="1">'Calculations - Combustion'!AV27</f>
        <v>0</v>
      </c>
      <c r="H24" s="453">
        <f ca="1">'Calculations - Combustion'!AW27</f>
        <v>0</v>
      </c>
      <c r="I24" s="453">
        <f ca="1">'Calculations - Combustion'!AX27</f>
        <v>0</v>
      </c>
      <c r="J24" s="453">
        <f ca="1">'Calculations - Combustion'!AY27</f>
        <v>0</v>
      </c>
      <c r="K24" s="452" t="b">
        <f ca="1">IF(OR('Setup - Fuel Use'!D21&lt;&gt;0,'Setup - Fuel Use'!F21&lt;&gt;0),TRUE,FALSE)</f>
        <v>0</v>
      </c>
      <c r="L24" s="193" t="b">
        <v>1</v>
      </c>
      <c r="M24" s="193" t="b">
        <f ca="1">IF('Setup - Fuel Use'!AF21&gt;0,TRUE, FALSE)</f>
        <v>0</v>
      </c>
      <c r="N24" s="954" t="str">
        <f t="shared" ca="1" si="1"/>
        <v/>
      </c>
      <c r="O24" s="954"/>
      <c r="P24" s="954"/>
    </row>
    <row r="25" spans="1:16" x14ac:dyDescent="0.3">
      <c r="A25" s="948"/>
      <c r="B25" s="948" t="str">
        <f ca="1">'Calculations - Combustion'!B28</f>
        <v>Liquefied Natural Gas</v>
      </c>
      <c r="C25" s="948"/>
      <c r="D25" s="454">
        <f ca="1">'Calculations - Combustion'!AS28</f>
        <v>0</v>
      </c>
      <c r="E25" s="454">
        <f ca="1">'Calculations - Combustion'!AT28</f>
        <v>0</v>
      </c>
      <c r="F25" s="454">
        <f ca="1">'Calculations - Combustion'!AU28</f>
        <v>0</v>
      </c>
      <c r="G25" s="454">
        <f ca="1">'Calculations - Combustion'!AV28</f>
        <v>0</v>
      </c>
      <c r="H25" s="454">
        <f ca="1">'Calculations - Combustion'!AW28</f>
        <v>0</v>
      </c>
      <c r="I25" s="454">
        <f ca="1">'Calculations - Combustion'!AX28</f>
        <v>0</v>
      </c>
      <c r="J25" s="454">
        <f ca="1">'Calculations - Combustion'!AY28</f>
        <v>0</v>
      </c>
      <c r="K25" s="452" t="b">
        <f ca="1">IF(OR('Setup - Fuel Use'!D22&lt;&gt;0,'Setup - Fuel Use'!F22&lt;&gt;0),TRUE,FALSE)</f>
        <v>0</v>
      </c>
      <c r="L25" s="452" t="b">
        <v>1</v>
      </c>
      <c r="M25" s="452" t="b">
        <f ca="1">IF('Setup - Fuel Use'!AF22&gt;0,TRUE, FALSE)</f>
        <v>0</v>
      </c>
      <c r="N25" s="961" t="str">
        <f t="shared" ca="1" si="1"/>
        <v/>
      </c>
      <c r="O25" s="961"/>
      <c r="P25" s="961"/>
    </row>
    <row r="26" spans="1:16" x14ac:dyDescent="0.3">
      <c r="A26" s="948"/>
      <c r="B26" s="949" t="str">
        <f ca="1">'Calculations - Combustion'!B29</f>
        <v>Propane (liquid)</v>
      </c>
      <c r="C26" s="949"/>
      <c r="D26" s="453">
        <f ca="1">'Calculations - Combustion'!AS29</f>
        <v>0</v>
      </c>
      <c r="E26" s="453">
        <f ca="1">'Calculations - Combustion'!AT29</f>
        <v>0</v>
      </c>
      <c r="F26" s="453">
        <f ca="1">'Calculations - Combustion'!AU29</f>
        <v>0</v>
      </c>
      <c r="G26" s="453">
        <f ca="1">'Calculations - Combustion'!AV29</f>
        <v>0</v>
      </c>
      <c r="H26" s="453">
        <f ca="1">'Calculations - Combustion'!AW29</f>
        <v>0</v>
      </c>
      <c r="I26" s="453">
        <f ca="1">'Calculations - Combustion'!AX29</f>
        <v>0</v>
      </c>
      <c r="J26" s="453">
        <f ca="1">'Calculations - Combustion'!AY29</f>
        <v>0</v>
      </c>
      <c r="K26" s="452" t="b">
        <f ca="1">IF(OR('Setup - Fuel Use'!D23&lt;&gt;0,'Setup - Fuel Use'!F23&lt;&gt;0),TRUE,FALSE)</f>
        <v>0</v>
      </c>
      <c r="L26" s="193" t="b">
        <v>1</v>
      </c>
      <c r="M26" s="193" t="b">
        <f ca="1">IF('Setup - Fuel Use'!AF23&gt;0,TRUE, FALSE)</f>
        <v>0</v>
      </c>
      <c r="N26" s="954" t="str">
        <f t="shared" ca="1" si="1"/>
        <v/>
      </c>
      <c r="O26" s="954"/>
      <c r="P26" s="954"/>
    </row>
    <row r="27" spans="1:16" x14ac:dyDescent="0.3">
      <c r="A27" s="948"/>
      <c r="B27" s="950" t="str">
        <f ca="1">'Translation Table'!H150</f>
        <v>Total</v>
      </c>
      <c r="C27" s="950"/>
      <c r="D27" s="454">
        <f ca="1">'Calculations - Combustion'!AS30</f>
        <v>0</v>
      </c>
      <c r="E27" s="454">
        <f ca="1">'Calculations - Combustion'!AT30</f>
        <v>0</v>
      </c>
      <c r="F27" s="454">
        <f ca="1">'Calculations - Combustion'!AU30</f>
        <v>0</v>
      </c>
      <c r="G27" s="454">
        <f ca="1">'Calculations - Combustion'!AV30</f>
        <v>0</v>
      </c>
      <c r="H27" s="454">
        <f ca="1">'Calculations - Combustion'!AW30</f>
        <v>0</v>
      </c>
      <c r="I27" s="454">
        <f ca="1">'Calculations - Combustion'!AX30</f>
        <v>0</v>
      </c>
      <c r="J27" s="454">
        <f ca="1">'Calculations - Combustion'!AY30</f>
        <v>0</v>
      </c>
      <c r="K27" s="452"/>
      <c r="L27" s="452"/>
      <c r="M27" s="452"/>
      <c r="N27" s="961"/>
      <c r="O27" s="961"/>
      <c r="P27" s="961"/>
    </row>
    <row r="28" spans="1:16" x14ac:dyDescent="0.3">
      <c r="A28" s="949" t="str">
        <f ca="1">'Translation Table'!H125</f>
        <v xml:space="preserve">    - Gaseous Fuels</v>
      </c>
      <c r="B28" s="237" t="str">
        <f ca="1">'Calculations - Combustion'!B36</f>
        <v>Natural Gas</v>
      </c>
      <c r="C28" s="237" t="str">
        <f ca="1">'Calculations - Combustion'!J36</f>
        <v>Turbine</v>
      </c>
      <c r="D28" s="453">
        <f ca="1">'Calculations - Combustion'!AM36</f>
        <v>0</v>
      </c>
      <c r="E28" s="453">
        <f ca="1">'Calculations - Combustion'!AN36</f>
        <v>0</v>
      </c>
      <c r="F28" s="453">
        <f ca="1">'Calculations - Combustion'!AO36</f>
        <v>0</v>
      </c>
      <c r="G28" s="453">
        <f ca="1">'Calculations - Combustion'!AP36</f>
        <v>0</v>
      </c>
      <c r="H28" s="453">
        <f ca="1">'Calculations - Combustion'!AQ36</f>
        <v>0</v>
      </c>
      <c r="I28" s="453">
        <f ca="1">'Calculations - Combustion'!AR36</f>
        <v>0</v>
      </c>
      <c r="J28" s="453">
        <f ca="1">'Calculations - Combustion'!AS36</f>
        <v>0</v>
      </c>
      <c r="K28" s="193" t="b">
        <f ca="1">IF(OR('Setup - Fuel Use'!D25&lt;&gt;0,'Setup - Fuel Use'!F25&lt;&gt;0),TRUE,FALSE)</f>
        <v>0</v>
      </c>
      <c r="L28" s="193" t="b">
        <v>1</v>
      </c>
      <c r="M28" s="193" t="b">
        <f ca="1">IF('Setup - Fuel Use'!AF25&gt;0,TRUE, FALSE)</f>
        <v>0</v>
      </c>
      <c r="N28" s="954" t="str">
        <f t="shared" ref="N28:N33" ca="1" si="2">IF(OR(AND(K28=TRUE,SUM(D28:J28)=0),AND(K28=FALSE,SUM(D28:J28)&gt;0)),LOOKUP("Err07",TblErrorMsg),"")</f>
        <v/>
      </c>
      <c r="O28" s="954"/>
      <c r="P28" s="954"/>
    </row>
    <row r="29" spans="1:16" x14ac:dyDescent="0.3">
      <c r="A29" s="949"/>
      <c r="B29" s="238" t="str">
        <f ca="1">'Calculations - Combustion'!B37</f>
        <v>Natural Gas</v>
      </c>
      <c r="C29" s="238" t="str">
        <f ca="1">'Calculations - Combustion'!J37</f>
        <v>Gas Engine (2-Stroke Lean-Burn)</v>
      </c>
      <c r="D29" s="454">
        <f ca="1">'Calculations - Combustion'!AM37</f>
        <v>0</v>
      </c>
      <c r="E29" s="454">
        <f ca="1">'Calculations - Combustion'!AN37</f>
        <v>0</v>
      </c>
      <c r="F29" s="454">
        <f ca="1">'Calculations - Combustion'!AO37</f>
        <v>0</v>
      </c>
      <c r="G29" s="454">
        <f ca="1">'Calculations - Combustion'!AP37</f>
        <v>0</v>
      </c>
      <c r="H29" s="454">
        <f ca="1">'Calculations - Combustion'!AQ37</f>
        <v>0</v>
      </c>
      <c r="I29" s="454">
        <f ca="1">'Calculations - Combustion'!AR37</f>
        <v>0</v>
      </c>
      <c r="J29" s="454">
        <f ca="1">'Calculations - Combustion'!AS37</f>
        <v>0</v>
      </c>
      <c r="K29" s="193" t="b">
        <f ca="1">IF(OR('Setup - Fuel Use'!D26&lt;&gt;0,'Setup - Fuel Use'!F26&lt;&gt;0),TRUE,FALSE)</f>
        <v>0</v>
      </c>
      <c r="L29" s="452" t="b">
        <v>1</v>
      </c>
      <c r="M29" s="452" t="b">
        <f ca="1">IF('Setup - Fuel Use'!AF26&gt;0,TRUE, FALSE)</f>
        <v>0</v>
      </c>
      <c r="N29" s="961" t="str">
        <f t="shared" ca="1" si="2"/>
        <v/>
      </c>
      <c r="O29" s="961"/>
      <c r="P29" s="961"/>
    </row>
    <row r="30" spans="1:16" x14ac:dyDescent="0.3">
      <c r="A30" s="949"/>
      <c r="B30" s="237" t="str">
        <f ca="1">'Calculations - Combustion'!B38</f>
        <v>Natural Gas</v>
      </c>
      <c r="C30" s="237" t="str">
        <f ca="1">'Calculations - Combustion'!J38</f>
        <v>Gas Engine (4-Stroke Lean-Burn)</v>
      </c>
      <c r="D30" s="453">
        <f ca="1">'Calculations - Combustion'!AM38</f>
        <v>0</v>
      </c>
      <c r="E30" s="453">
        <f ca="1">'Calculations - Combustion'!AN38</f>
        <v>0</v>
      </c>
      <c r="F30" s="453">
        <f ca="1">'Calculations - Combustion'!AO38</f>
        <v>0</v>
      </c>
      <c r="G30" s="453">
        <f ca="1">'Calculations - Combustion'!AP38</f>
        <v>0</v>
      </c>
      <c r="H30" s="453">
        <f ca="1">'Calculations - Combustion'!AQ38</f>
        <v>0</v>
      </c>
      <c r="I30" s="453">
        <f ca="1">'Calculations - Combustion'!AR38</f>
        <v>0</v>
      </c>
      <c r="J30" s="453">
        <f ca="1">'Calculations - Combustion'!AS38</f>
        <v>0</v>
      </c>
      <c r="K30" s="193" t="b">
        <f ca="1">IF(OR('Setup - Fuel Use'!D27&lt;&gt;0,'Setup - Fuel Use'!F27&lt;&gt;0),TRUE,FALSE)</f>
        <v>0</v>
      </c>
      <c r="L30" s="193" t="b">
        <v>1</v>
      </c>
      <c r="M30" s="193" t="b">
        <f ca="1">IF('Setup - Fuel Use'!AF27&gt;0,TRUE, FALSE)</f>
        <v>0</v>
      </c>
      <c r="N30" s="954" t="str">
        <f t="shared" ca="1" si="2"/>
        <v/>
      </c>
      <c r="O30" s="954"/>
      <c r="P30" s="954"/>
    </row>
    <row r="31" spans="1:16" x14ac:dyDescent="0.3">
      <c r="A31" s="949"/>
      <c r="B31" s="238" t="str">
        <f ca="1">'Calculations - Combustion'!B39</f>
        <v>Natural Gas</v>
      </c>
      <c r="C31" s="238" t="str">
        <f ca="1">'Calculations - Combustion'!J39</f>
        <v>Gas Engine (4-Stroke Rich-Burn)</v>
      </c>
      <c r="D31" s="454">
        <f ca="1">'Calculations - Combustion'!AM39</f>
        <v>0</v>
      </c>
      <c r="E31" s="454">
        <f ca="1">'Calculations - Combustion'!AN39</f>
        <v>0</v>
      </c>
      <c r="F31" s="454">
        <f ca="1">'Calculations - Combustion'!AO39</f>
        <v>0</v>
      </c>
      <c r="G31" s="454">
        <f ca="1">'Calculations - Combustion'!AP39</f>
        <v>0</v>
      </c>
      <c r="H31" s="454">
        <f ca="1">'Calculations - Combustion'!AQ39</f>
        <v>0</v>
      </c>
      <c r="I31" s="454">
        <f ca="1">'Calculations - Combustion'!AR39</f>
        <v>0</v>
      </c>
      <c r="J31" s="454">
        <f ca="1">'Calculations - Combustion'!AS39</f>
        <v>0</v>
      </c>
      <c r="K31" s="193" t="b">
        <f ca="1">IF(OR('Setup - Fuel Use'!D28&lt;&gt;0,'Setup - Fuel Use'!F28&lt;&gt;0),TRUE,FALSE)</f>
        <v>0</v>
      </c>
      <c r="L31" s="452" t="b">
        <v>1</v>
      </c>
      <c r="M31" s="452" t="b">
        <f ca="1">IF('Setup - Fuel Use'!AF28&gt;0,TRUE, FALSE)</f>
        <v>0</v>
      </c>
      <c r="N31" s="961" t="str">
        <f t="shared" ca="1" si="2"/>
        <v/>
      </c>
      <c r="O31" s="961"/>
      <c r="P31" s="961"/>
    </row>
    <row r="32" spans="1:16" x14ac:dyDescent="0.3">
      <c r="A32" s="949"/>
      <c r="B32" s="237" t="str">
        <f ca="1">'Calculations - Combustion'!B40</f>
        <v>Natural Gas</v>
      </c>
      <c r="C32" s="237" t="str">
        <f ca="1">'Calculations - Combustion'!J40</f>
        <v>Heaters &amp; Boilers</v>
      </c>
      <c r="D32" s="453">
        <f ca="1">'Calculations - Combustion'!AM40</f>
        <v>0</v>
      </c>
      <c r="E32" s="453">
        <f ca="1">'Calculations - Combustion'!AN40</f>
        <v>0</v>
      </c>
      <c r="F32" s="453">
        <f ca="1">'Calculations - Combustion'!AO40</f>
        <v>0</v>
      </c>
      <c r="G32" s="453">
        <f ca="1">'Calculations - Combustion'!AP40</f>
        <v>0</v>
      </c>
      <c r="H32" s="453">
        <f ca="1">'Calculations - Combustion'!AQ40</f>
        <v>0</v>
      </c>
      <c r="I32" s="453">
        <f ca="1">'Calculations - Combustion'!AR40</f>
        <v>0</v>
      </c>
      <c r="J32" s="453">
        <f ca="1">'Calculations - Combustion'!AS40</f>
        <v>0</v>
      </c>
      <c r="K32" s="193" t="b">
        <f ca="1">IF(OR('Setup - Fuel Use'!D29&lt;&gt;0,'Setup - Fuel Use'!F29&lt;&gt;0),TRUE,FALSE)</f>
        <v>0</v>
      </c>
      <c r="L32" s="193" t="b">
        <v>1</v>
      </c>
      <c r="M32" s="193" t="b">
        <f ca="1">IF('Setup - Fuel Use'!AF29&gt;0,TRUE, FALSE)</f>
        <v>0</v>
      </c>
      <c r="N32" s="954" t="str">
        <f t="shared" ca="1" si="2"/>
        <v/>
      </c>
      <c r="O32" s="954"/>
      <c r="P32" s="954"/>
    </row>
    <row r="33" spans="1:16" x14ac:dyDescent="0.3">
      <c r="A33" s="949"/>
      <c r="B33" s="238" t="str">
        <f ca="1">'Calculations - Combustion'!B41</f>
        <v>Natural Gas</v>
      </c>
      <c r="C33" s="238" t="str">
        <f ca="1">'Calculations - Combustion'!J41</f>
        <v>Heaters &amp; Boilers (Low-NOx)</v>
      </c>
      <c r="D33" s="454">
        <f ca="1">'Calculations - Combustion'!AM41</f>
        <v>0</v>
      </c>
      <c r="E33" s="454">
        <f ca="1">'Calculations - Combustion'!AN41</f>
        <v>0</v>
      </c>
      <c r="F33" s="454">
        <f ca="1">'Calculations - Combustion'!AO41</f>
        <v>0</v>
      </c>
      <c r="G33" s="454">
        <f ca="1">'Calculations - Combustion'!AP41</f>
        <v>0</v>
      </c>
      <c r="H33" s="454">
        <f ca="1">'Calculations - Combustion'!AQ41</f>
        <v>0</v>
      </c>
      <c r="I33" s="454">
        <f ca="1">'Calculations - Combustion'!AR41</f>
        <v>0</v>
      </c>
      <c r="J33" s="454">
        <f ca="1">'Calculations - Combustion'!AS41</f>
        <v>0</v>
      </c>
      <c r="K33" s="193" t="b">
        <f ca="1">IF(OR('Setup - Fuel Use'!D30&lt;&gt;0,'Setup - Fuel Use'!F30&lt;&gt;0),TRUE,FALSE)</f>
        <v>0</v>
      </c>
      <c r="L33" s="452" t="b">
        <v>1</v>
      </c>
      <c r="M33" s="452" t="b">
        <f ca="1">IF('Setup - Fuel Use'!AF30&gt;0,TRUE, FALSE)</f>
        <v>0</v>
      </c>
      <c r="N33" s="961" t="str">
        <f t="shared" ca="1" si="2"/>
        <v/>
      </c>
      <c r="O33" s="961"/>
      <c r="P33" s="961"/>
    </row>
    <row r="34" spans="1:16" x14ac:dyDescent="0.3">
      <c r="A34" s="949"/>
      <c r="B34" s="237" t="str">
        <f ca="1">'Calculations - Combustion'!B42</f>
        <v>Coke Oven Gas</v>
      </c>
      <c r="C34" s="237" t="str">
        <f ca="1">'Calculations - Combustion'!J42</f>
        <v>Turbine</v>
      </c>
      <c r="D34" s="453">
        <f>'Calculations - Combustion'!AM42</f>
        <v>0</v>
      </c>
      <c r="E34" s="453">
        <f>'Calculations - Combustion'!AN42</f>
        <v>0</v>
      </c>
      <c r="F34" s="453">
        <f>'Calculations - Combustion'!AO42</f>
        <v>0</v>
      </c>
      <c r="G34" s="453">
        <f>'Calculations - Combustion'!AP42</f>
        <v>0</v>
      </c>
      <c r="H34" s="453">
        <f>'Calculations - Combustion'!AQ42</f>
        <v>0</v>
      </c>
      <c r="I34" s="453">
        <f>'Calculations - Combustion'!AR42</f>
        <v>0</v>
      </c>
      <c r="J34" s="453">
        <f>'Calculations - Combustion'!AS42</f>
        <v>0</v>
      </c>
      <c r="K34" s="193" t="b">
        <v>0</v>
      </c>
      <c r="L34" s="193" t="b">
        <v>1</v>
      </c>
      <c r="M34" s="193" t="b">
        <v>0</v>
      </c>
      <c r="N34" s="946" t="str">
        <f ca="1">'Translation Table'!$H$70</f>
        <v>Not Implemented at this time.</v>
      </c>
      <c r="O34" s="946"/>
      <c r="P34" s="946"/>
    </row>
    <row r="35" spans="1:16" x14ac:dyDescent="0.3">
      <c r="A35" s="949"/>
      <c r="B35" s="238" t="str">
        <f ca="1">'Calculations - Combustion'!B43</f>
        <v>Coke Oven Gas</v>
      </c>
      <c r="C35" s="238" t="str">
        <f ca="1">'Calculations - Combustion'!J43</f>
        <v>Gas Engine (2-Stroke Lean-Burn)</v>
      </c>
      <c r="D35" s="454">
        <f>'Calculations - Combustion'!AM43</f>
        <v>0</v>
      </c>
      <c r="E35" s="454">
        <f>'Calculations - Combustion'!AN43</f>
        <v>0</v>
      </c>
      <c r="F35" s="454">
        <f>'Calculations - Combustion'!AO43</f>
        <v>0</v>
      </c>
      <c r="G35" s="454">
        <f>'Calculations - Combustion'!AP43</f>
        <v>0</v>
      </c>
      <c r="H35" s="454">
        <f>'Calculations - Combustion'!AQ43</f>
        <v>0</v>
      </c>
      <c r="I35" s="454">
        <f>'Calculations - Combustion'!AR43</f>
        <v>0</v>
      </c>
      <c r="J35" s="454">
        <f>'Calculations - Combustion'!AS43</f>
        <v>0</v>
      </c>
      <c r="K35" s="452" t="b">
        <v>0</v>
      </c>
      <c r="L35" s="452" t="b">
        <v>1</v>
      </c>
      <c r="M35" s="452" t="b">
        <v>0</v>
      </c>
      <c r="N35" s="945" t="str">
        <f ca="1">'Translation Table'!$H$70</f>
        <v>Not Implemented at this time.</v>
      </c>
      <c r="O35" s="945"/>
      <c r="P35" s="945"/>
    </row>
    <row r="36" spans="1:16" x14ac:dyDescent="0.3">
      <c r="A36" s="949"/>
      <c r="B36" s="237" t="str">
        <f ca="1">'Calculations - Combustion'!B44</f>
        <v>Coke Oven Gas</v>
      </c>
      <c r="C36" s="237" t="str">
        <f ca="1">'Calculations - Combustion'!J44</f>
        <v>Gas Engine (4-Stroke Lean-Burn)</v>
      </c>
      <c r="D36" s="453">
        <f>'Calculations - Combustion'!AM44</f>
        <v>0</v>
      </c>
      <c r="E36" s="453">
        <f>'Calculations - Combustion'!AN44</f>
        <v>0</v>
      </c>
      <c r="F36" s="453">
        <f>'Calculations - Combustion'!AO44</f>
        <v>0</v>
      </c>
      <c r="G36" s="453">
        <f>'Calculations - Combustion'!AP44</f>
        <v>0</v>
      </c>
      <c r="H36" s="453">
        <f>'Calculations - Combustion'!AQ44</f>
        <v>0</v>
      </c>
      <c r="I36" s="453">
        <f>'Calculations - Combustion'!AR44</f>
        <v>0</v>
      </c>
      <c r="J36" s="453">
        <f>'Calculations - Combustion'!AS44</f>
        <v>0</v>
      </c>
      <c r="K36" s="193" t="b">
        <v>0</v>
      </c>
      <c r="L36" s="193" t="b">
        <v>1</v>
      </c>
      <c r="M36" s="193" t="b">
        <v>0</v>
      </c>
      <c r="N36" s="946" t="str">
        <f ca="1">'Translation Table'!$H$70</f>
        <v>Not Implemented at this time.</v>
      </c>
      <c r="O36" s="946"/>
      <c r="P36" s="946"/>
    </row>
    <row r="37" spans="1:16" x14ac:dyDescent="0.3">
      <c r="A37" s="949"/>
      <c r="B37" s="238" t="str">
        <f ca="1">'Calculations - Combustion'!B45</f>
        <v>Coke Oven Gas</v>
      </c>
      <c r="C37" s="238" t="str">
        <f ca="1">'Calculations - Combustion'!J45</f>
        <v>Gas Engine (4-Stroke Rich-Burn)</v>
      </c>
      <c r="D37" s="454">
        <f>'Calculations - Combustion'!AM45</f>
        <v>0</v>
      </c>
      <c r="E37" s="454">
        <f>'Calculations - Combustion'!AN45</f>
        <v>0</v>
      </c>
      <c r="F37" s="454">
        <f>'Calculations - Combustion'!AO45</f>
        <v>0</v>
      </c>
      <c r="G37" s="454">
        <f>'Calculations - Combustion'!AP45</f>
        <v>0</v>
      </c>
      <c r="H37" s="454">
        <f>'Calculations - Combustion'!AQ45</f>
        <v>0</v>
      </c>
      <c r="I37" s="454">
        <f>'Calculations - Combustion'!AR45</f>
        <v>0</v>
      </c>
      <c r="J37" s="454">
        <f>'Calculations - Combustion'!AS45</f>
        <v>0</v>
      </c>
      <c r="K37" s="452" t="b">
        <v>0</v>
      </c>
      <c r="L37" s="452" t="b">
        <v>1</v>
      </c>
      <c r="M37" s="452" t="b">
        <v>0</v>
      </c>
      <c r="N37" s="945" t="str">
        <f ca="1">'Translation Table'!$H$70</f>
        <v>Not Implemented at this time.</v>
      </c>
      <c r="O37" s="945"/>
      <c r="P37" s="945"/>
    </row>
    <row r="38" spans="1:16" x14ac:dyDescent="0.3">
      <c r="A38" s="949"/>
      <c r="B38" s="237" t="str">
        <f ca="1">'Calculations - Combustion'!B46</f>
        <v>Coke Oven Gas</v>
      </c>
      <c r="C38" s="237" t="str">
        <f ca="1">'Calculations - Combustion'!J46</f>
        <v>Heaters &amp; Boilers</v>
      </c>
      <c r="D38" s="453">
        <f>'Calculations - Combustion'!AM46</f>
        <v>0</v>
      </c>
      <c r="E38" s="453">
        <f>'Calculations - Combustion'!AN46</f>
        <v>0</v>
      </c>
      <c r="F38" s="453">
        <f>'Calculations - Combustion'!AO46</f>
        <v>0</v>
      </c>
      <c r="G38" s="453">
        <f>'Calculations - Combustion'!AP46</f>
        <v>0</v>
      </c>
      <c r="H38" s="453">
        <f>'Calculations - Combustion'!AQ46</f>
        <v>0</v>
      </c>
      <c r="I38" s="453">
        <f>'Calculations - Combustion'!AR46</f>
        <v>0</v>
      </c>
      <c r="J38" s="453">
        <f>'Calculations - Combustion'!AS46</f>
        <v>0</v>
      </c>
      <c r="K38" s="193" t="b">
        <v>0</v>
      </c>
      <c r="L38" s="193" t="b">
        <v>1</v>
      </c>
      <c r="M38" s="193" t="b">
        <v>0</v>
      </c>
      <c r="N38" s="946" t="str">
        <f ca="1">'Translation Table'!$H$70</f>
        <v>Not Implemented at this time.</v>
      </c>
      <c r="O38" s="946"/>
      <c r="P38" s="946"/>
    </row>
    <row r="39" spans="1:16" x14ac:dyDescent="0.3">
      <c r="A39" s="949"/>
      <c r="B39" s="238" t="str">
        <f ca="1">'Calculations - Combustion'!B47</f>
        <v>Coke Oven Gas</v>
      </c>
      <c r="C39" s="238" t="str">
        <f ca="1">'Calculations - Combustion'!J47</f>
        <v>Heaters &amp; Boilers (Low-NOx)</v>
      </c>
      <c r="D39" s="454">
        <f>'Calculations - Combustion'!AM47</f>
        <v>0</v>
      </c>
      <c r="E39" s="454">
        <f>'Calculations - Combustion'!AN47</f>
        <v>0</v>
      </c>
      <c r="F39" s="454">
        <f>'Calculations - Combustion'!AO47</f>
        <v>0</v>
      </c>
      <c r="G39" s="454">
        <f>'Calculations - Combustion'!AP47</f>
        <v>0</v>
      </c>
      <c r="H39" s="454">
        <f>'Calculations - Combustion'!AQ47</f>
        <v>0</v>
      </c>
      <c r="I39" s="454">
        <f>'Calculations - Combustion'!AR47</f>
        <v>0</v>
      </c>
      <c r="J39" s="454">
        <f>'Calculations - Combustion'!AS47</f>
        <v>0</v>
      </c>
      <c r="K39" s="452" t="b">
        <v>0</v>
      </c>
      <c r="L39" s="452" t="b">
        <v>1</v>
      </c>
      <c r="M39" s="452" t="b">
        <v>0</v>
      </c>
      <c r="N39" s="945" t="str">
        <f ca="1">'Translation Table'!$H$70</f>
        <v>Not Implemented at this time.</v>
      </c>
      <c r="O39" s="945"/>
      <c r="P39" s="945"/>
    </row>
    <row r="40" spans="1:16" x14ac:dyDescent="0.3">
      <c r="A40" s="949"/>
      <c r="B40" s="237" t="str">
        <f ca="1">'Calculations - Combustion'!B48</f>
        <v>Blast Furnace Gas</v>
      </c>
      <c r="C40" s="237" t="str">
        <f ca="1">'Calculations - Combustion'!J48</f>
        <v>Turbine</v>
      </c>
      <c r="D40" s="453">
        <f>'Calculations - Combustion'!AM48</f>
        <v>0</v>
      </c>
      <c r="E40" s="453">
        <f>'Calculations - Combustion'!AN48</f>
        <v>0</v>
      </c>
      <c r="F40" s="453">
        <f>'Calculations - Combustion'!AO48</f>
        <v>0</v>
      </c>
      <c r="G40" s="453">
        <f>'Calculations - Combustion'!AP48</f>
        <v>0</v>
      </c>
      <c r="H40" s="453">
        <f>'Calculations - Combustion'!AQ48</f>
        <v>0</v>
      </c>
      <c r="I40" s="453">
        <f>'Calculations - Combustion'!AR48</f>
        <v>0</v>
      </c>
      <c r="J40" s="453">
        <f>'Calculations - Combustion'!AS48</f>
        <v>0</v>
      </c>
      <c r="K40" s="193" t="b">
        <v>0</v>
      </c>
      <c r="L40" s="193" t="b">
        <v>1</v>
      </c>
      <c r="M40" s="193" t="b">
        <v>0</v>
      </c>
      <c r="N40" s="946" t="str">
        <f ca="1">'Translation Table'!$H$70</f>
        <v>Not Implemented at this time.</v>
      </c>
      <c r="O40" s="946"/>
      <c r="P40" s="946"/>
    </row>
    <row r="41" spans="1:16" x14ac:dyDescent="0.3">
      <c r="A41" s="949"/>
      <c r="B41" s="238" t="str">
        <f ca="1">'Calculations - Combustion'!B49</f>
        <v>Blast Furnace Gas</v>
      </c>
      <c r="C41" s="238" t="str">
        <f ca="1">'Calculations - Combustion'!J49</f>
        <v>Gas Engine (2-Stroke Lean-Burn)</v>
      </c>
      <c r="D41" s="454">
        <f>'Calculations - Combustion'!AM49</f>
        <v>0</v>
      </c>
      <c r="E41" s="454">
        <f>'Calculations - Combustion'!AN49</f>
        <v>0</v>
      </c>
      <c r="F41" s="454">
        <f>'Calculations - Combustion'!AO49</f>
        <v>0</v>
      </c>
      <c r="G41" s="454">
        <f>'Calculations - Combustion'!AP49</f>
        <v>0</v>
      </c>
      <c r="H41" s="454">
        <f>'Calculations - Combustion'!AQ49</f>
        <v>0</v>
      </c>
      <c r="I41" s="454">
        <f>'Calculations - Combustion'!AR49</f>
        <v>0</v>
      </c>
      <c r="J41" s="454">
        <f>'Calculations - Combustion'!AS49</f>
        <v>0</v>
      </c>
      <c r="K41" s="452" t="b">
        <v>0</v>
      </c>
      <c r="L41" s="452" t="b">
        <v>1</v>
      </c>
      <c r="M41" s="452" t="b">
        <v>0</v>
      </c>
      <c r="N41" s="945" t="str">
        <f ca="1">'Translation Table'!$H$70</f>
        <v>Not Implemented at this time.</v>
      </c>
      <c r="O41" s="945"/>
      <c r="P41" s="945"/>
    </row>
    <row r="42" spans="1:16" x14ac:dyDescent="0.3">
      <c r="A42" s="949"/>
      <c r="B42" s="237" t="str">
        <f ca="1">'Calculations - Combustion'!B50</f>
        <v>Blast Furnace Gas</v>
      </c>
      <c r="C42" s="237" t="str">
        <f ca="1">'Calculations - Combustion'!J50</f>
        <v>Gas Engine (4-Stroke Lean-Burn)</v>
      </c>
      <c r="D42" s="453">
        <f>'Calculations - Combustion'!AM50</f>
        <v>0</v>
      </c>
      <c r="E42" s="453">
        <f>'Calculations - Combustion'!AN50</f>
        <v>0</v>
      </c>
      <c r="F42" s="453">
        <f>'Calculations - Combustion'!AO50</f>
        <v>0</v>
      </c>
      <c r="G42" s="453">
        <f>'Calculations - Combustion'!AP50</f>
        <v>0</v>
      </c>
      <c r="H42" s="453">
        <f>'Calculations - Combustion'!AQ50</f>
        <v>0</v>
      </c>
      <c r="I42" s="453">
        <f>'Calculations - Combustion'!AR50</f>
        <v>0</v>
      </c>
      <c r="J42" s="453">
        <f>'Calculations - Combustion'!AS50</f>
        <v>0</v>
      </c>
      <c r="K42" s="193" t="b">
        <v>0</v>
      </c>
      <c r="L42" s="193" t="b">
        <v>1</v>
      </c>
      <c r="M42" s="193" t="b">
        <v>0</v>
      </c>
      <c r="N42" s="946" t="str">
        <f ca="1">'Translation Table'!$H$70</f>
        <v>Not Implemented at this time.</v>
      </c>
      <c r="O42" s="946"/>
      <c r="P42" s="946"/>
    </row>
    <row r="43" spans="1:16" x14ac:dyDescent="0.3">
      <c r="A43" s="949"/>
      <c r="B43" s="238" t="str">
        <f ca="1">'Calculations - Combustion'!B51</f>
        <v>Blast Furnace Gas</v>
      </c>
      <c r="C43" s="238" t="str">
        <f ca="1">'Calculations - Combustion'!J51</f>
        <v>Gas Engine (4-Stroke Rich-Burn)</v>
      </c>
      <c r="D43" s="454">
        <f>'Calculations - Combustion'!AM51</f>
        <v>0</v>
      </c>
      <c r="E43" s="454">
        <f>'Calculations - Combustion'!AN51</f>
        <v>0</v>
      </c>
      <c r="F43" s="454">
        <f>'Calculations - Combustion'!AO51</f>
        <v>0</v>
      </c>
      <c r="G43" s="454">
        <f>'Calculations - Combustion'!AP51</f>
        <v>0</v>
      </c>
      <c r="H43" s="454">
        <f>'Calculations - Combustion'!AQ51</f>
        <v>0</v>
      </c>
      <c r="I43" s="454">
        <f>'Calculations - Combustion'!AR51</f>
        <v>0</v>
      </c>
      <c r="J43" s="454">
        <f>'Calculations - Combustion'!AS51</f>
        <v>0</v>
      </c>
      <c r="K43" s="452" t="b">
        <v>0</v>
      </c>
      <c r="L43" s="452" t="b">
        <v>1</v>
      </c>
      <c r="M43" s="452" t="b">
        <v>0</v>
      </c>
      <c r="N43" s="945" t="str">
        <f ca="1">'Translation Table'!$H$70</f>
        <v>Not Implemented at this time.</v>
      </c>
      <c r="O43" s="945"/>
      <c r="P43" s="945"/>
    </row>
    <row r="44" spans="1:16" x14ac:dyDescent="0.3">
      <c r="A44" s="949"/>
      <c r="B44" s="237" t="str">
        <f ca="1">'Calculations - Combustion'!B52</f>
        <v>Blast Furnace Gas</v>
      </c>
      <c r="C44" s="237" t="str">
        <f ca="1">'Calculations - Combustion'!J52</f>
        <v>Heaters &amp; Boilers</v>
      </c>
      <c r="D44" s="453">
        <f>'Calculations - Combustion'!AM52</f>
        <v>0</v>
      </c>
      <c r="E44" s="453">
        <f>'Calculations - Combustion'!AN52</f>
        <v>0</v>
      </c>
      <c r="F44" s="453">
        <f>'Calculations - Combustion'!AO52</f>
        <v>0</v>
      </c>
      <c r="G44" s="453">
        <f>'Calculations - Combustion'!AP52</f>
        <v>0</v>
      </c>
      <c r="H44" s="453">
        <f>'Calculations - Combustion'!AQ52</f>
        <v>0</v>
      </c>
      <c r="I44" s="453">
        <f>'Calculations - Combustion'!AR52</f>
        <v>0</v>
      </c>
      <c r="J44" s="453">
        <f>'Calculations - Combustion'!AS52</f>
        <v>0</v>
      </c>
      <c r="K44" s="193" t="b">
        <v>0</v>
      </c>
      <c r="L44" s="193" t="b">
        <v>1</v>
      </c>
      <c r="M44" s="193" t="b">
        <v>0</v>
      </c>
      <c r="N44" s="946" t="str">
        <f ca="1">'Translation Table'!$H$70</f>
        <v>Not Implemented at this time.</v>
      </c>
      <c r="O44" s="946"/>
      <c r="P44" s="946"/>
    </row>
    <row r="45" spans="1:16" x14ac:dyDescent="0.3">
      <c r="A45" s="949"/>
      <c r="B45" s="238" t="str">
        <f ca="1">'Calculations - Combustion'!B53</f>
        <v>Blast Furnace Gas</v>
      </c>
      <c r="C45" s="238" t="str">
        <f ca="1">'Calculations - Combustion'!J53</f>
        <v>Heaters &amp; Boilers (Low-NOx)</v>
      </c>
      <c r="D45" s="454">
        <f>'Calculations - Combustion'!AM53</f>
        <v>0</v>
      </c>
      <c r="E45" s="454">
        <f>'Calculations - Combustion'!AN53</f>
        <v>0</v>
      </c>
      <c r="F45" s="454">
        <f>'Calculations - Combustion'!AO53</f>
        <v>0</v>
      </c>
      <c r="G45" s="454">
        <f>'Calculations - Combustion'!AP53</f>
        <v>0</v>
      </c>
      <c r="H45" s="454">
        <f>'Calculations - Combustion'!AQ53</f>
        <v>0</v>
      </c>
      <c r="I45" s="454">
        <f>'Calculations - Combustion'!AR53</f>
        <v>0</v>
      </c>
      <c r="J45" s="454">
        <f>'Calculations - Combustion'!AS53</f>
        <v>0</v>
      </c>
      <c r="K45" s="452" t="b">
        <v>0</v>
      </c>
      <c r="L45" s="452" t="b">
        <v>1</v>
      </c>
      <c r="M45" s="452" t="b">
        <v>0</v>
      </c>
      <c r="N45" s="945" t="str">
        <f ca="1">'Translation Table'!$H$70</f>
        <v>Not Implemented at this time.</v>
      </c>
      <c r="O45" s="945"/>
      <c r="P45" s="945"/>
    </row>
    <row r="46" spans="1:16" x14ac:dyDescent="0.3">
      <c r="A46" s="949"/>
      <c r="B46" s="237" t="str">
        <f ca="1">'Calculations - Combustion'!B54</f>
        <v>Converter Gas</v>
      </c>
      <c r="C46" s="237" t="str">
        <f ca="1">'Calculations - Combustion'!J54</f>
        <v>Turbine</v>
      </c>
      <c r="D46" s="453">
        <f>'Calculations - Combustion'!AM54</f>
        <v>0</v>
      </c>
      <c r="E46" s="453">
        <f>'Calculations - Combustion'!AN54</f>
        <v>0</v>
      </c>
      <c r="F46" s="453">
        <f>'Calculations - Combustion'!AO54</f>
        <v>0</v>
      </c>
      <c r="G46" s="453">
        <f>'Calculations - Combustion'!AP54</f>
        <v>0</v>
      </c>
      <c r="H46" s="453">
        <f>'Calculations - Combustion'!AQ54</f>
        <v>0</v>
      </c>
      <c r="I46" s="453">
        <f>'Calculations - Combustion'!AR54</f>
        <v>0</v>
      </c>
      <c r="J46" s="453">
        <f>'Calculations - Combustion'!AS54</f>
        <v>0</v>
      </c>
      <c r="K46" s="193" t="b">
        <v>0</v>
      </c>
      <c r="L46" s="193" t="b">
        <v>1</v>
      </c>
      <c r="M46" s="193" t="b">
        <v>0</v>
      </c>
      <c r="N46" s="946" t="str">
        <f ca="1">'Translation Table'!$H$70</f>
        <v>Not Implemented at this time.</v>
      </c>
      <c r="O46" s="946"/>
      <c r="P46" s="946"/>
    </row>
    <row r="47" spans="1:16" x14ac:dyDescent="0.3">
      <c r="A47" s="949"/>
      <c r="B47" s="238" t="str">
        <f ca="1">'Calculations - Combustion'!B55</f>
        <v>Converter Gas</v>
      </c>
      <c r="C47" s="238" t="str">
        <f ca="1">'Calculations - Combustion'!J55</f>
        <v>Gas Engine (2-Stroke Lean-Burn)</v>
      </c>
      <c r="D47" s="454">
        <f>'Calculations - Combustion'!AM55</f>
        <v>0</v>
      </c>
      <c r="E47" s="454">
        <f>'Calculations - Combustion'!AN55</f>
        <v>0</v>
      </c>
      <c r="F47" s="454">
        <f>'Calculations - Combustion'!AO55</f>
        <v>0</v>
      </c>
      <c r="G47" s="454">
        <f>'Calculations - Combustion'!AP55</f>
        <v>0</v>
      </c>
      <c r="H47" s="454">
        <f>'Calculations - Combustion'!AQ55</f>
        <v>0</v>
      </c>
      <c r="I47" s="454">
        <f>'Calculations - Combustion'!AR55</f>
        <v>0</v>
      </c>
      <c r="J47" s="454">
        <f>'Calculations - Combustion'!AS55</f>
        <v>0</v>
      </c>
      <c r="K47" s="452" t="b">
        <v>0</v>
      </c>
      <c r="L47" s="452" t="b">
        <v>1</v>
      </c>
      <c r="M47" s="452" t="b">
        <v>0</v>
      </c>
      <c r="N47" s="945" t="str">
        <f ca="1">'Translation Table'!$H$70</f>
        <v>Not Implemented at this time.</v>
      </c>
      <c r="O47" s="945"/>
      <c r="P47" s="945"/>
    </row>
    <row r="48" spans="1:16" x14ac:dyDescent="0.3">
      <c r="A48" s="949"/>
      <c r="B48" s="237" t="str">
        <f ca="1">'Calculations - Combustion'!B56</f>
        <v>Converter Gas</v>
      </c>
      <c r="C48" s="237" t="str">
        <f ca="1">'Calculations - Combustion'!J56</f>
        <v>Gas Engine (4-Stroke Lean-Burn)</v>
      </c>
      <c r="D48" s="453">
        <f>'Calculations - Combustion'!AM56</f>
        <v>0</v>
      </c>
      <c r="E48" s="453">
        <f>'Calculations - Combustion'!AN56</f>
        <v>0</v>
      </c>
      <c r="F48" s="453">
        <f>'Calculations - Combustion'!AO56</f>
        <v>0</v>
      </c>
      <c r="G48" s="453">
        <f>'Calculations - Combustion'!AP56</f>
        <v>0</v>
      </c>
      <c r="H48" s="453">
        <f>'Calculations - Combustion'!AQ56</f>
        <v>0</v>
      </c>
      <c r="I48" s="453">
        <f>'Calculations - Combustion'!AR56</f>
        <v>0</v>
      </c>
      <c r="J48" s="453">
        <f>'Calculations - Combustion'!AS56</f>
        <v>0</v>
      </c>
      <c r="K48" s="193" t="b">
        <v>0</v>
      </c>
      <c r="L48" s="193" t="b">
        <v>1</v>
      </c>
      <c r="M48" s="193" t="b">
        <v>0</v>
      </c>
      <c r="N48" s="946" t="str">
        <f ca="1">'Translation Table'!$H$70</f>
        <v>Not Implemented at this time.</v>
      </c>
      <c r="O48" s="946"/>
      <c r="P48" s="946"/>
    </row>
    <row r="49" spans="1:16" x14ac:dyDescent="0.3">
      <c r="A49" s="949"/>
      <c r="B49" s="238" t="str">
        <f ca="1">'Calculations - Combustion'!B57</f>
        <v>Converter Gas</v>
      </c>
      <c r="C49" s="238" t="str">
        <f ca="1">'Calculations - Combustion'!J57</f>
        <v>Gas Engine (4-Stroke Rich-Burn)</v>
      </c>
      <c r="D49" s="454">
        <f>'Calculations - Combustion'!AM57</f>
        <v>0</v>
      </c>
      <c r="E49" s="454">
        <f>'Calculations - Combustion'!AN57</f>
        <v>0</v>
      </c>
      <c r="F49" s="454">
        <f>'Calculations - Combustion'!AO57</f>
        <v>0</v>
      </c>
      <c r="G49" s="454">
        <f>'Calculations - Combustion'!AP57</f>
        <v>0</v>
      </c>
      <c r="H49" s="454">
        <f>'Calculations - Combustion'!AQ57</f>
        <v>0</v>
      </c>
      <c r="I49" s="454">
        <f>'Calculations - Combustion'!AR57</f>
        <v>0</v>
      </c>
      <c r="J49" s="454">
        <f>'Calculations - Combustion'!AS57</f>
        <v>0</v>
      </c>
      <c r="K49" s="452" t="b">
        <v>0</v>
      </c>
      <c r="L49" s="452" t="b">
        <v>1</v>
      </c>
      <c r="M49" s="452" t="b">
        <v>0</v>
      </c>
      <c r="N49" s="945" t="str">
        <f ca="1">'Translation Table'!$H$70</f>
        <v>Not Implemented at this time.</v>
      </c>
      <c r="O49" s="945"/>
      <c r="P49" s="945"/>
    </row>
    <row r="50" spans="1:16" x14ac:dyDescent="0.3">
      <c r="A50" s="949"/>
      <c r="B50" s="237" t="str">
        <f ca="1">'Calculations - Combustion'!B58</f>
        <v>Converter Gas</v>
      </c>
      <c r="C50" s="237" t="str">
        <f ca="1">'Calculations - Combustion'!J58</f>
        <v>Heaters &amp; Boilers</v>
      </c>
      <c r="D50" s="453">
        <f>'Calculations - Combustion'!AM58</f>
        <v>0</v>
      </c>
      <c r="E50" s="453">
        <f>'Calculations - Combustion'!AN58</f>
        <v>0</v>
      </c>
      <c r="F50" s="453">
        <f>'Calculations - Combustion'!AO58</f>
        <v>0</v>
      </c>
      <c r="G50" s="453">
        <f>'Calculations - Combustion'!AP58</f>
        <v>0</v>
      </c>
      <c r="H50" s="453">
        <f>'Calculations - Combustion'!AQ58</f>
        <v>0</v>
      </c>
      <c r="I50" s="453">
        <f>'Calculations - Combustion'!AR58</f>
        <v>0</v>
      </c>
      <c r="J50" s="453">
        <f>'Calculations - Combustion'!AS58</f>
        <v>0</v>
      </c>
      <c r="K50" s="193" t="b">
        <v>0</v>
      </c>
      <c r="L50" s="193" t="b">
        <v>1</v>
      </c>
      <c r="M50" s="193" t="b">
        <v>0</v>
      </c>
      <c r="N50" s="946" t="str">
        <f ca="1">'Translation Table'!$H$70</f>
        <v>Not Implemented at this time.</v>
      </c>
      <c r="O50" s="946"/>
      <c r="P50" s="946"/>
    </row>
    <row r="51" spans="1:16" x14ac:dyDescent="0.3">
      <c r="A51" s="949"/>
      <c r="B51" s="238" t="str">
        <f ca="1">'Calculations - Combustion'!B59</f>
        <v>Converter Gas</v>
      </c>
      <c r="C51" s="238" t="str">
        <f ca="1">'Calculations - Combustion'!J59</f>
        <v>Heaters &amp; Boilers (Low-NOx)</v>
      </c>
      <c r="D51" s="454">
        <f>'Calculations - Combustion'!AM59</f>
        <v>0</v>
      </c>
      <c r="E51" s="454">
        <f>'Calculations - Combustion'!AN59</f>
        <v>0</v>
      </c>
      <c r="F51" s="454">
        <f>'Calculations - Combustion'!AO59</f>
        <v>0</v>
      </c>
      <c r="G51" s="454">
        <f>'Calculations - Combustion'!AP59</f>
        <v>0</v>
      </c>
      <c r="H51" s="454">
        <f>'Calculations - Combustion'!AQ59</f>
        <v>0</v>
      </c>
      <c r="I51" s="454">
        <f>'Calculations - Combustion'!AR59</f>
        <v>0</v>
      </c>
      <c r="J51" s="454">
        <f>'Calculations - Combustion'!AS59</f>
        <v>0</v>
      </c>
      <c r="K51" s="452" t="b">
        <v>0</v>
      </c>
      <c r="L51" s="452" t="b">
        <v>1</v>
      </c>
      <c r="M51" s="452" t="b">
        <v>0</v>
      </c>
      <c r="N51" s="945" t="str">
        <f ca="1">'Translation Table'!$H$70</f>
        <v>Not Implemented at this time.</v>
      </c>
      <c r="O51" s="945"/>
      <c r="P51" s="945"/>
    </row>
    <row r="52" spans="1:16" x14ac:dyDescent="0.3">
      <c r="A52" s="949"/>
      <c r="B52" s="237" t="str">
        <f ca="1">'Calculations - Combustion'!B60</f>
        <v>Gas of Calcium Carbide Furnace</v>
      </c>
      <c r="C52" s="237" t="str">
        <f ca="1">'Calculations - Combustion'!J60</f>
        <v>Turbine</v>
      </c>
      <c r="D52" s="453">
        <f>'Calculations - Combustion'!AM60</f>
        <v>0</v>
      </c>
      <c r="E52" s="453">
        <f>'Calculations - Combustion'!AN60</f>
        <v>0</v>
      </c>
      <c r="F52" s="453">
        <f>'Calculations - Combustion'!AO60</f>
        <v>0</v>
      </c>
      <c r="G52" s="453">
        <f>'Calculations - Combustion'!AP60</f>
        <v>0</v>
      </c>
      <c r="H52" s="453">
        <f>'Calculations - Combustion'!AQ60</f>
        <v>0</v>
      </c>
      <c r="I52" s="453">
        <f>'Calculations - Combustion'!AR60</f>
        <v>0</v>
      </c>
      <c r="J52" s="453">
        <f>'Calculations - Combustion'!AS60</f>
        <v>0</v>
      </c>
      <c r="K52" s="193" t="b">
        <v>0</v>
      </c>
      <c r="L52" s="193" t="b">
        <v>1</v>
      </c>
      <c r="M52" s="193" t="b">
        <v>0</v>
      </c>
      <c r="N52" s="946" t="str">
        <f ca="1">'Translation Table'!$H$70</f>
        <v>Not Implemented at this time.</v>
      </c>
      <c r="O52" s="946"/>
      <c r="P52" s="946"/>
    </row>
    <row r="53" spans="1:16" x14ac:dyDescent="0.3">
      <c r="A53" s="949"/>
      <c r="B53" s="238" t="str">
        <f ca="1">'Calculations - Combustion'!B61</f>
        <v>Gas of Calcium Carbide Furnace</v>
      </c>
      <c r="C53" s="238" t="str">
        <f ca="1">'Calculations - Combustion'!J61</f>
        <v>Gas Engine (2-Stroke Lean-Burn)</v>
      </c>
      <c r="D53" s="454">
        <f>'Calculations - Combustion'!AM61</f>
        <v>0</v>
      </c>
      <c r="E53" s="454">
        <f>'Calculations - Combustion'!AN61</f>
        <v>0</v>
      </c>
      <c r="F53" s="454">
        <f>'Calculations - Combustion'!AO61</f>
        <v>0</v>
      </c>
      <c r="G53" s="454">
        <f>'Calculations - Combustion'!AP61</f>
        <v>0</v>
      </c>
      <c r="H53" s="454">
        <f>'Calculations - Combustion'!AQ61</f>
        <v>0</v>
      </c>
      <c r="I53" s="454">
        <f>'Calculations - Combustion'!AR61</f>
        <v>0</v>
      </c>
      <c r="J53" s="454">
        <f>'Calculations - Combustion'!AS61</f>
        <v>0</v>
      </c>
      <c r="K53" s="452" t="b">
        <v>0</v>
      </c>
      <c r="L53" s="452" t="b">
        <v>1</v>
      </c>
      <c r="M53" s="452" t="b">
        <v>0</v>
      </c>
      <c r="N53" s="945" t="str">
        <f ca="1">'Translation Table'!$H$70</f>
        <v>Not Implemented at this time.</v>
      </c>
      <c r="O53" s="945"/>
      <c r="P53" s="945"/>
    </row>
    <row r="54" spans="1:16" x14ac:dyDescent="0.3">
      <c r="A54" s="949"/>
      <c r="B54" s="237" t="str">
        <f ca="1">'Calculations - Combustion'!B62</f>
        <v>Gas of Calcium Carbide Furnace</v>
      </c>
      <c r="C54" s="237" t="str">
        <f ca="1">'Calculations - Combustion'!J62</f>
        <v>Gas Engine (4-Stroke Lean-Burn)</v>
      </c>
      <c r="D54" s="453">
        <f>'Calculations - Combustion'!AM62</f>
        <v>0</v>
      </c>
      <c r="E54" s="453">
        <f>'Calculations - Combustion'!AN62</f>
        <v>0</v>
      </c>
      <c r="F54" s="453">
        <f>'Calculations - Combustion'!AO62</f>
        <v>0</v>
      </c>
      <c r="G54" s="453">
        <f>'Calculations - Combustion'!AP62</f>
        <v>0</v>
      </c>
      <c r="H54" s="453">
        <f>'Calculations - Combustion'!AQ62</f>
        <v>0</v>
      </c>
      <c r="I54" s="453">
        <f>'Calculations - Combustion'!AR62</f>
        <v>0</v>
      </c>
      <c r="J54" s="453">
        <f>'Calculations - Combustion'!AS62</f>
        <v>0</v>
      </c>
      <c r="K54" s="193" t="b">
        <v>0</v>
      </c>
      <c r="L54" s="193" t="b">
        <v>1</v>
      </c>
      <c r="M54" s="193" t="b">
        <v>0</v>
      </c>
      <c r="N54" s="946" t="str">
        <f ca="1">'Translation Table'!$H$70</f>
        <v>Not Implemented at this time.</v>
      </c>
      <c r="O54" s="946"/>
      <c r="P54" s="946"/>
    </row>
    <row r="55" spans="1:16" x14ac:dyDescent="0.3">
      <c r="A55" s="949"/>
      <c r="B55" s="238" t="str">
        <f ca="1">'Calculations - Combustion'!B63</f>
        <v>Gas of Calcium Carbide Furnace</v>
      </c>
      <c r="C55" s="238" t="str">
        <f ca="1">'Calculations - Combustion'!J63</f>
        <v>Gas Engine (4-Stroke Rich-Burn)</v>
      </c>
      <c r="D55" s="454">
        <f>'Calculations - Combustion'!AM63</f>
        <v>0</v>
      </c>
      <c r="E55" s="454">
        <f>'Calculations - Combustion'!AN63</f>
        <v>0</v>
      </c>
      <c r="F55" s="454">
        <f>'Calculations - Combustion'!AO63</f>
        <v>0</v>
      </c>
      <c r="G55" s="454">
        <f>'Calculations - Combustion'!AP63</f>
        <v>0</v>
      </c>
      <c r="H55" s="454">
        <f>'Calculations - Combustion'!AQ63</f>
        <v>0</v>
      </c>
      <c r="I55" s="454">
        <f>'Calculations - Combustion'!AR63</f>
        <v>0</v>
      </c>
      <c r="J55" s="454">
        <f>'Calculations - Combustion'!AS63</f>
        <v>0</v>
      </c>
      <c r="K55" s="452" t="b">
        <v>0</v>
      </c>
      <c r="L55" s="452" t="b">
        <v>1</v>
      </c>
      <c r="M55" s="452" t="b">
        <v>0</v>
      </c>
      <c r="N55" s="945" t="str">
        <f ca="1">'Translation Table'!$H$70</f>
        <v>Not Implemented at this time.</v>
      </c>
      <c r="O55" s="945"/>
      <c r="P55" s="945"/>
    </row>
    <row r="56" spans="1:16" x14ac:dyDescent="0.3">
      <c r="A56" s="949"/>
      <c r="B56" s="237" t="str">
        <f ca="1">'Calculations - Combustion'!B64</f>
        <v>Gas of Calcium Carbide Furnace</v>
      </c>
      <c r="C56" s="237" t="str">
        <f ca="1">'Calculations - Combustion'!J64</f>
        <v>Heaters &amp; Boilers</v>
      </c>
      <c r="D56" s="453">
        <f>'Calculations - Combustion'!AM64</f>
        <v>0</v>
      </c>
      <c r="E56" s="453">
        <f>'Calculations - Combustion'!AN64</f>
        <v>0</v>
      </c>
      <c r="F56" s="453">
        <f>'Calculations - Combustion'!AO64</f>
        <v>0</v>
      </c>
      <c r="G56" s="453">
        <f>'Calculations - Combustion'!AP64</f>
        <v>0</v>
      </c>
      <c r="H56" s="453">
        <f>'Calculations - Combustion'!AQ64</f>
        <v>0</v>
      </c>
      <c r="I56" s="453">
        <f>'Calculations - Combustion'!AR64</f>
        <v>0</v>
      </c>
      <c r="J56" s="453">
        <f>'Calculations - Combustion'!AS64</f>
        <v>0</v>
      </c>
      <c r="K56" s="193" t="b">
        <v>0</v>
      </c>
      <c r="L56" s="193" t="b">
        <v>1</v>
      </c>
      <c r="M56" s="193" t="b">
        <v>0</v>
      </c>
      <c r="N56" s="946" t="str">
        <f ca="1">'Translation Table'!$H$70</f>
        <v>Not Implemented at this time.</v>
      </c>
      <c r="O56" s="946"/>
      <c r="P56" s="946"/>
    </row>
    <row r="57" spans="1:16" x14ac:dyDescent="0.3">
      <c r="A57" s="949"/>
      <c r="B57" s="238" t="str">
        <f ca="1">'Calculations - Combustion'!B65</f>
        <v>Gas of Calcium Carbide Furnace</v>
      </c>
      <c r="C57" s="238" t="str">
        <f ca="1">'Calculations - Combustion'!J65</f>
        <v>Heaters &amp; Boilers (Low-NOx)</v>
      </c>
      <c r="D57" s="454">
        <f>'Calculations - Combustion'!AM65</f>
        <v>0</v>
      </c>
      <c r="E57" s="454">
        <f>'Calculations - Combustion'!AN65</f>
        <v>0</v>
      </c>
      <c r="F57" s="454">
        <f>'Calculations - Combustion'!AO65</f>
        <v>0</v>
      </c>
      <c r="G57" s="454">
        <f>'Calculations - Combustion'!AP65</f>
        <v>0</v>
      </c>
      <c r="H57" s="454">
        <f>'Calculations - Combustion'!AQ65</f>
        <v>0</v>
      </c>
      <c r="I57" s="454">
        <f>'Calculations - Combustion'!AR65</f>
        <v>0</v>
      </c>
      <c r="J57" s="454">
        <f>'Calculations - Combustion'!AS65</f>
        <v>0</v>
      </c>
      <c r="K57" s="452" t="b">
        <v>0</v>
      </c>
      <c r="L57" s="452" t="b">
        <v>1</v>
      </c>
      <c r="M57" s="452" t="b">
        <v>0</v>
      </c>
      <c r="N57" s="945" t="str">
        <f ca="1">'Translation Table'!$H$70</f>
        <v>Not Implemented at this time.</v>
      </c>
      <c r="O57" s="945"/>
      <c r="P57" s="945"/>
    </row>
    <row r="58" spans="1:16" x14ac:dyDescent="0.3">
      <c r="A58" s="949"/>
      <c r="B58" s="237" t="str">
        <f ca="1">'Calculations - Combustion'!B66</f>
        <v>Other Coal Gases</v>
      </c>
      <c r="C58" s="237" t="str">
        <f ca="1">'Calculations - Combustion'!J66</f>
        <v>Turbine</v>
      </c>
      <c r="D58" s="453">
        <f>'Calculations - Combustion'!AM66</f>
        <v>0</v>
      </c>
      <c r="E58" s="453">
        <f>'Calculations - Combustion'!AN66</f>
        <v>0</v>
      </c>
      <c r="F58" s="453">
        <f>'Calculations - Combustion'!AO66</f>
        <v>0</v>
      </c>
      <c r="G58" s="453">
        <f>'Calculations - Combustion'!AP66</f>
        <v>0</v>
      </c>
      <c r="H58" s="453">
        <f>'Calculations - Combustion'!AQ66</f>
        <v>0</v>
      </c>
      <c r="I58" s="453">
        <f>'Calculations - Combustion'!AR66</f>
        <v>0</v>
      </c>
      <c r="J58" s="453">
        <f>'Calculations - Combustion'!AS66</f>
        <v>0</v>
      </c>
      <c r="K58" s="193" t="b">
        <v>0</v>
      </c>
      <c r="L58" s="193" t="b">
        <v>1</v>
      </c>
      <c r="M58" s="193" t="b">
        <v>0</v>
      </c>
      <c r="N58" s="946" t="str">
        <f ca="1">'Translation Table'!$H$70</f>
        <v>Not Implemented at this time.</v>
      </c>
      <c r="O58" s="946"/>
      <c r="P58" s="946"/>
    </row>
    <row r="59" spans="1:16" x14ac:dyDescent="0.3">
      <c r="A59" s="949"/>
      <c r="B59" s="238" t="str">
        <f ca="1">'Calculations - Combustion'!B67</f>
        <v>Other Coal Gases</v>
      </c>
      <c r="C59" s="238" t="str">
        <f ca="1">'Calculations - Combustion'!J67</f>
        <v>Gas Engine (2-Stroke Lean-Burn)</v>
      </c>
      <c r="D59" s="454">
        <f>'Calculations - Combustion'!AM67</f>
        <v>0</v>
      </c>
      <c r="E59" s="454">
        <f>'Calculations - Combustion'!AN67</f>
        <v>0</v>
      </c>
      <c r="F59" s="454">
        <f>'Calculations - Combustion'!AO67</f>
        <v>0</v>
      </c>
      <c r="G59" s="454">
        <f>'Calculations - Combustion'!AP67</f>
        <v>0</v>
      </c>
      <c r="H59" s="454">
        <f>'Calculations - Combustion'!AQ67</f>
        <v>0</v>
      </c>
      <c r="I59" s="454">
        <f>'Calculations - Combustion'!AR67</f>
        <v>0</v>
      </c>
      <c r="J59" s="454">
        <f>'Calculations - Combustion'!AS67</f>
        <v>0</v>
      </c>
      <c r="K59" s="452" t="b">
        <v>0</v>
      </c>
      <c r="L59" s="452" t="b">
        <v>1</v>
      </c>
      <c r="M59" s="452" t="b">
        <v>0</v>
      </c>
      <c r="N59" s="945" t="str">
        <f ca="1">'Translation Table'!$H$70</f>
        <v>Not Implemented at this time.</v>
      </c>
      <c r="O59" s="945"/>
      <c r="P59" s="945"/>
    </row>
    <row r="60" spans="1:16" x14ac:dyDescent="0.3">
      <c r="A60" s="949"/>
      <c r="B60" s="237" t="str">
        <f ca="1">'Calculations - Combustion'!B68</f>
        <v>Other Coal Gases</v>
      </c>
      <c r="C60" s="237" t="str">
        <f ca="1">'Calculations - Combustion'!J68</f>
        <v>Gas Engine (4-Stroke Lean-Burn)</v>
      </c>
      <c r="D60" s="453">
        <f>'Calculations - Combustion'!AM68</f>
        <v>0</v>
      </c>
      <c r="E60" s="453">
        <f>'Calculations - Combustion'!AN68</f>
        <v>0</v>
      </c>
      <c r="F60" s="453">
        <f>'Calculations - Combustion'!AO68</f>
        <v>0</v>
      </c>
      <c r="G60" s="453">
        <f>'Calculations - Combustion'!AP68</f>
        <v>0</v>
      </c>
      <c r="H60" s="453">
        <f>'Calculations - Combustion'!AQ68</f>
        <v>0</v>
      </c>
      <c r="I60" s="453">
        <f>'Calculations - Combustion'!AR68</f>
        <v>0</v>
      </c>
      <c r="J60" s="453">
        <f>'Calculations - Combustion'!AS68</f>
        <v>0</v>
      </c>
      <c r="K60" s="193" t="b">
        <v>0</v>
      </c>
      <c r="L60" s="193" t="b">
        <v>1</v>
      </c>
      <c r="M60" s="193" t="b">
        <v>0</v>
      </c>
      <c r="N60" s="946" t="str">
        <f ca="1">'Translation Table'!$H$70</f>
        <v>Not Implemented at this time.</v>
      </c>
      <c r="O60" s="946"/>
      <c r="P60" s="946"/>
    </row>
    <row r="61" spans="1:16" x14ac:dyDescent="0.3">
      <c r="A61" s="949"/>
      <c r="B61" s="238" t="str">
        <f ca="1">'Calculations - Combustion'!B69</f>
        <v>Other Coal Gases</v>
      </c>
      <c r="C61" s="238" t="str">
        <f ca="1">'Calculations - Combustion'!J69</f>
        <v>Gas Engine (4-Stroke Rich-Burn)</v>
      </c>
      <c r="D61" s="454">
        <f>'Calculations - Combustion'!AM69</f>
        <v>0</v>
      </c>
      <c r="E61" s="454">
        <f>'Calculations - Combustion'!AN69</f>
        <v>0</v>
      </c>
      <c r="F61" s="454">
        <f>'Calculations - Combustion'!AO69</f>
        <v>0</v>
      </c>
      <c r="G61" s="454">
        <f>'Calculations - Combustion'!AP69</f>
        <v>0</v>
      </c>
      <c r="H61" s="454">
        <f>'Calculations - Combustion'!AQ69</f>
        <v>0</v>
      </c>
      <c r="I61" s="454">
        <f>'Calculations - Combustion'!AR69</f>
        <v>0</v>
      </c>
      <c r="J61" s="454">
        <f>'Calculations - Combustion'!AS69</f>
        <v>0</v>
      </c>
      <c r="K61" s="452" t="b">
        <v>0</v>
      </c>
      <c r="L61" s="452" t="b">
        <v>1</v>
      </c>
      <c r="M61" s="452" t="b">
        <v>0</v>
      </c>
      <c r="N61" s="945" t="str">
        <f ca="1">'Translation Table'!$H$70</f>
        <v>Not Implemented at this time.</v>
      </c>
      <c r="O61" s="945"/>
      <c r="P61" s="945"/>
    </row>
    <row r="62" spans="1:16" x14ac:dyDescent="0.3">
      <c r="A62" s="949"/>
      <c r="B62" s="237" t="str">
        <f ca="1">'Calculations - Combustion'!B70</f>
        <v>Other Coal Gases</v>
      </c>
      <c r="C62" s="237" t="str">
        <f ca="1">'Calculations - Combustion'!J70</f>
        <v>Heaters &amp; Boilers</v>
      </c>
      <c r="D62" s="453">
        <f>'Calculations - Combustion'!AM70</f>
        <v>0</v>
      </c>
      <c r="E62" s="453">
        <f>'Calculations - Combustion'!AN70</f>
        <v>0</v>
      </c>
      <c r="F62" s="453">
        <f>'Calculations - Combustion'!AO70</f>
        <v>0</v>
      </c>
      <c r="G62" s="453">
        <f>'Calculations - Combustion'!AP70</f>
        <v>0</v>
      </c>
      <c r="H62" s="453">
        <f>'Calculations - Combustion'!AQ70</f>
        <v>0</v>
      </c>
      <c r="I62" s="453">
        <f>'Calculations - Combustion'!AR70</f>
        <v>0</v>
      </c>
      <c r="J62" s="453">
        <f>'Calculations - Combustion'!AS70</f>
        <v>0</v>
      </c>
      <c r="K62" s="193" t="b">
        <v>0</v>
      </c>
      <c r="L62" s="193" t="b">
        <v>1</v>
      </c>
      <c r="M62" s="193" t="b">
        <v>0</v>
      </c>
      <c r="N62" s="946" t="str">
        <f ca="1">'Translation Table'!$H$70</f>
        <v>Not Implemented at this time.</v>
      </c>
      <c r="O62" s="946"/>
      <c r="P62" s="946"/>
    </row>
    <row r="63" spans="1:16" x14ac:dyDescent="0.3">
      <c r="A63" s="949"/>
      <c r="B63" s="238" t="str">
        <f ca="1">'Calculations - Combustion'!B71</f>
        <v>Other Coal Gases</v>
      </c>
      <c r="C63" s="238" t="str">
        <f ca="1">'Calculations - Combustion'!J71</f>
        <v>Heaters &amp; Boilers (Low-NOx)</v>
      </c>
      <c r="D63" s="454">
        <f>'Calculations - Combustion'!AM71</f>
        <v>0</v>
      </c>
      <c r="E63" s="454">
        <f>'Calculations - Combustion'!AN71</f>
        <v>0</v>
      </c>
      <c r="F63" s="454">
        <f>'Calculations - Combustion'!AO71</f>
        <v>0</v>
      </c>
      <c r="G63" s="454">
        <f>'Calculations - Combustion'!AP71</f>
        <v>0</v>
      </c>
      <c r="H63" s="454">
        <f>'Calculations - Combustion'!AQ71</f>
        <v>0</v>
      </c>
      <c r="I63" s="454">
        <f>'Calculations - Combustion'!AR71</f>
        <v>0</v>
      </c>
      <c r="J63" s="454">
        <f>'Calculations - Combustion'!AS71</f>
        <v>0</v>
      </c>
      <c r="K63" s="452" t="b">
        <v>0</v>
      </c>
      <c r="L63" s="452" t="b">
        <v>1</v>
      </c>
      <c r="M63" s="452" t="b">
        <v>0</v>
      </c>
      <c r="N63" s="945" t="str">
        <f ca="1">'Translation Table'!$H$70</f>
        <v>Not Implemented at this time.</v>
      </c>
      <c r="O63" s="945"/>
      <c r="P63" s="945"/>
    </row>
    <row r="64" spans="1:16" x14ac:dyDescent="0.3">
      <c r="A64" s="455" t="str">
        <f ca="1">'Translation Table'!H126</f>
        <v xml:space="preserve">    - Turbine Engines</v>
      </c>
      <c r="B64" s="970" t="str">
        <f ca="1">'Calculations - Combustion'!AL72</f>
        <v>Total for Turbines Engines</v>
      </c>
      <c r="C64" s="970"/>
      <c r="D64" s="453">
        <f ca="1">'Calculations - Combustion'!AM72</f>
        <v>0</v>
      </c>
      <c r="E64" s="453">
        <f ca="1">'Calculations - Combustion'!AN72</f>
        <v>0</v>
      </c>
      <c r="F64" s="453">
        <f ca="1">'Calculations - Combustion'!AO72</f>
        <v>0</v>
      </c>
      <c r="G64" s="453">
        <f ca="1">'Calculations - Combustion'!AP72</f>
        <v>0</v>
      </c>
      <c r="H64" s="453">
        <f ca="1">'Calculations - Combustion'!AQ72</f>
        <v>0</v>
      </c>
      <c r="I64" s="453">
        <f ca="1">'Calculations - Combustion'!AR72</f>
        <v>0</v>
      </c>
      <c r="J64" s="453">
        <f ca="1">'Calculations - Combustion'!AS72</f>
        <v>0</v>
      </c>
      <c r="K64" s="193"/>
      <c r="L64" s="193" t="b">
        <v>1</v>
      </c>
      <c r="M64" s="193" t="b">
        <f>IF('Setup - Fuel Use'!AE24&gt;0,TRUE,FALSE)</f>
        <v>0</v>
      </c>
      <c r="N64" s="954"/>
      <c r="O64" s="954"/>
      <c r="P64" s="954"/>
    </row>
    <row r="65" spans="1:16" x14ac:dyDescent="0.3">
      <c r="A65" s="456" t="str">
        <f ca="1">'Translation Table'!H127</f>
        <v xml:space="preserve">    - Reciprocating Engines</v>
      </c>
      <c r="B65" s="950" t="str">
        <f ca="1">'Calculations - Combustion'!AL73</f>
        <v>Total for Reciprocating Engines</v>
      </c>
      <c r="C65" s="950"/>
      <c r="D65" s="454">
        <f ca="1">'Calculations - Combustion'!AM73</f>
        <v>0</v>
      </c>
      <c r="E65" s="454">
        <f ca="1">'Calculations - Combustion'!AN73</f>
        <v>0</v>
      </c>
      <c r="F65" s="454">
        <f ca="1">'Calculations - Combustion'!AO73</f>
        <v>0</v>
      </c>
      <c r="G65" s="454">
        <f ca="1">'Calculations - Combustion'!AP73</f>
        <v>0</v>
      </c>
      <c r="H65" s="454">
        <f ca="1">'Calculations - Combustion'!AQ73</f>
        <v>0</v>
      </c>
      <c r="I65" s="454">
        <f ca="1">'Calculations - Combustion'!AR73</f>
        <v>0</v>
      </c>
      <c r="J65" s="454">
        <f ca="1">'Calculations - Combustion'!AS73</f>
        <v>0</v>
      </c>
      <c r="K65" s="452"/>
      <c r="L65" s="452" t="b">
        <v>1</v>
      </c>
      <c r="M65" s="452" t="b">
        <f>IF(SUM('Setup - Fuel Use'!AE26:AE28)&gt;0,TRUE,FALSE)</f>
        <v>0</v>
      </c>
      <c r="N65" s="961"/>
      <c r="O65" s="961"/>
      <c r="P65" s="961"/>
    </row>
    <row r="66" spans="1:16" x14ac:dyDescent="0.3">
      <c r="A66" s="455" t="str">
        <f ca="1">'Translation Table'!H128</f>
        <v xml:space="preserve">    - Heaters and Boilers</v>
      </c>
      <c r="B66" s="970" t="str">
        <f ca="1">'Calculations - Combustion'!AL74</f>
        <v>Total for Heaters and Boilers</v>
      </c>
      <c r="C66" s="970"/>
      <c r="D66" s="453">
        <f ca="1">'Calculations - Combustion'!AM74</f>
        <v>0</v>
      </c>
      <c r="E66" s="453">
        <f ca="1">'Calculations - Combustion'!AN74</f>
        <v>0</v>
      </c>
      <c r="F66" s="453">
        <f ca="1">'Calculations - Combustion'!AO74</f>
        <v>0</v>
      </c>
      <c r="G66" s="453">
        <f ca="1">'Calculations - Combustion'!AP74</f>
        <v>0</v>
      </c>
      <c r="H66" s="453">
        <f ca="1">'Calculations - Combustion'!AQ74</f>
        <v>0</v>
      </c>
      <c r="I66" s="453">
        <f ca="1">'Calculations - Combustion'!AR74</f>
        <v>0</v>
      </c>
      <c r="J66" s="453">
        <f ca="1">'Calculations - Combustion'!AS74</f>
        <v>0</v>
      </c>
      <c r="K66" s="193"/>
      <c r="L66" s="193" t="b">
        <v>1</v>
      </c>
      <c r="M66" s="193" t="b">
        <f>IF(SUM('Setup - Fuel Use'!AE29:AE30)&gt;0,TRUE,FALSE)</f>
        <v>0</v>
      </c>
      <c r="N66" s="954"/>
      <c r="O66" s="954"/>
      <c r="P66" s="954"/>
    </row>
    <row r="67" spans="1:16" x14ac:dyDescent="0.3">
      <c r="A67" s="456"/>
      <c r="B67" s="950" t="str">
        <f ca="1">'Translation Table'!H150</f>
        <v>Total</v>
      </c>
      <c r="C67" s="950"/>
      <c r="D67" s="454">
        <f ca="1">'Calculations - Combustion'!AM75</f>
        <v>0</v>
      </c>
      <c r="E67" s="454">
        <f ca="1">'Calculations - Combustion'!AN75</f>
        <v>0</v>
      </c>
      <c r="F67" s="454">
        <f ca="1">'Calculations - Combustion'!AO75</f>
        <v>0</v>
      </c>
      <c r="G67" s="454">
        <f ca="1">'Calculations - Combustion'!AP75</f>
        <v>0</v>
      </c>
      <c r="H67" s="454">
        <f ca="1">'Calculations - Combustion'!AQ75</f>
        <v>0</v>
      </c>
      <c r="I67" s="454">
        <f ca="1">'Calculations - Combustion'!AR75</f>
        <v>0</v>
      </c>
      <c r="J67" s="454">
        <f ca="1">'Calculations - Combustion'!AS75</f>
        <v>0</v>
      </c>
      <c r="K67" s="452"/>
      <c r="L67" s="452"/>
      <c r="M67" s="452"/>
      <c r="N67" s="961"/>
      <c r="O67" s="961"/>
      <c r="P67" s="961"/>
    </row>
    <row r="68" spans="1:16" x14ac:dyDescent="0.3">
      <c r="A68" s="948" t="str">
        <f ca="1">'Translation Table'!H129</f>
        <v>Acid Gas Removal</v>
      </c>
      <c r="B68" s="949" t="str">
        <f ca="1">'Calculations - Combustion'!B89</f>
        <v>Vented</v>
      </c>
      <c r="C68" s="949"/>
      <c r="D68" s="453">
        <f>'Calculations - Combustion'!AJ89</f>
        <v>0</v>
      </c>
      <c r="E68" s="453">
        <f>'Calculations - Combustion'!AK89</f>
        <v>0</v>
      </c>
      <c r="F68" s="453">
        <f>'Calculations - Combustion'!AL89</f>
        <v>0</v>
      </c>
      <c r="G68" s="453">
        <f>'Calculations - Combustion'!AM89</f>
        <v>0</v>
      </c>
      <c r="H68" s="453">
        <f>'Calculations - Combustion'!AN89</f>
        <v>0</v>
      </c>
      <c r="I68" s="453">
        <f>'Calculations - Combustion'!AO89</f>
        <v>0</v>
      </c>
      <c r="J68" s="453">
        <f>'Calculations - Combustion'!AP89</f>
        <v>0</v>
      </c>
      <c r="K68" s="193" t="b">
        <f>IF('Setup - Facility Details'!D23&gt;0,TRUE,FALSE)</f>
        <v>0</v>
      </c>
      <c r="L68" s="193" t="b">
        <v>1</v>
      </c>
      <c r="M68" s="193" t="b">
        <v>1</v>
      </c>
      <c r="N68" s="954" t="str">
        <f>IF(OR(AND(K68=TRUE,SUM(D68:J68)=0),AND(K68=FALSE,SUM(D68:J68)&gt;0)),LOOKUP("Err07",TblErrorMsg),"")</f>
        <v/>
      </c>
      <c r="O68" s="954"/>
      <c r="P68" s="954"/>
    </row>
    <row r="69" spans="1:16" x14ac:dyDescent="0.3">
      <c r="A69" s="948"/>
      <c r="B69" s="948" t="str">
        <f ca="1">'Calculations - Combustion'!B90</f>
        <v>Flared</v>
      </c>
      <c r="C69" s="948"/>
      <c r="D69" s="454">
        <f>'Calculations - Combustion'!AJ90</f>
        <v>0</v>
      </c>
      <c r="E69" s="454">
        <f>'Calculations - Combustion'!AK90</f>
        <v>0</v>
      </c>
      <c r="F69" s="454">
        <f>'Calculations - Combustion'!AL90</f>
        <v>0</v>
      </c>
      <c r="G69" s="454">
        <f>'Calculations - Combustion'!AM90</f>
        <v>0</v>
      </c>
      <c r="H69" s="454">
        <f>'Calculations - Combustion'!AN90</f>
        <v>0</v>
      </c>
      <c r="I69" s="454">
        <f>'Calculations - Combustion'!AO90</f>
        <v>0</v>
      </c>
      <c r="J69" s="454">
        <f>'Calculations - Combustion'!AP90</f>
        <v>0</v>
      </c>
      <c r="K69" s="452" t="b">
        <f>IF('Setup - Facility Details'!D21&gt;0,TRUE,FALSE)</f>
        <v>0</v>
      </c>
      <c r="L69" s="452" t="b">
        <v>1</v>
      </c>
      <c r="M69" s="452" t="b">
        <v>1</v>
      </c>
      <c r="N69" s="961" t="str">
        <f>IF(OR(AND(K69=TRUE,SUM(D69:J69)=0),AND(K69=FALSE,SUM(D69:J69)&gt;0)),LOOKUP("Err07",TblErrorMsg),"")</f>
        <v/>
      </c>
      <c r="O69" s="961"/>
      <c r="P69" s="961"/>
    </row>
    <row r="70" spans="1:16" x14ac:dyDescent="0.3">
      <c r="A70" s="948"/>
      <c r="B70" s="981" t="str">
        <f ca="1">'Translation Table'!H150</f>
        <v>Total</v>
      </c>
      <c r="C70" s="981"/>
      <c r="D70" s="453">
        <f>'Calculations - Combustion'!AJ91</f>
        <v>0</v>
      </c>
      <c r="E70" s="453">
        <f>'Calculations - Combustion'!AK91</f>
        <v>0</v>
      </c>
      <c r="F70" s="453">
        <f>'Calculations - Combustion'!AL91</f>
        <v>0</v>
      </c>
      <c r="G70" s="453">
        <f>'Calculations - Combustion'!AM91</f>
        <v>0</v>
      </c>
      <c r="H70" s="453">
        <f>'Calculations - Combustion'!AN91</f>
        <v>0</v>
      </c>
      <c r="I70" s="453">
        <f>'Calculations - Combustion'!AO91</f>
        <v>0</v>
      </c>
      <c r="J70" s="453">
        <f>'Calculations - Combustion'!AP91</f>
        <v>0</v>
      </c>
      <c r="K70" s="193"/>
      <c r="L70" s="193"/>
      <c r="M70" s="193"/>
      <c r="N70" s="954"/>
      <c r="O70" s="954"/>
      <c r="P70" s="954"/>
    </row>
    <row r="71" spans="1:16" x14ac:dyDescent="0.3">
      <c r="A71" s="949" t="str">
        <f ca="1">'Translation Table'!H130</f>
        <v>Flaring  &amp; Venting (Hydrocarbon Gas)</v>
      </c>
      <c r="B71" s="948" t="str">
        <f ca="1">'Calculations - Combustion'!B81</f>
        <v>Vented</v>
      </c>
      <c r="C71" s="948"/>
      <c r="D71" s="454">
        <f>'Calculations - Combustion'!AJ81</f>
        <v>0</v>
      </c>
      <c r="E71" s="454">
        <f>'Calculations - Combustion'!AK81</f>
        <v>0</v>
      </c>
      <c r="F71" s="454">
        <f>'Calculations - Combustion'!AL81</f>
        <v>0</v>
      </c>
      <c r="G71" s="454">
        <f>'Calculations - Combustion'!AM81</f>
        <v>0</v>
      </c>
      <c r="H71" s="454">
        <f>'Calculations - Combustion'!AN81</f>
        <v>0</v>
      </c>
      <c r="I71" s="454">
        <f>'Calculations - Combustion'!AO81</f>
        <v>0</v>
      </c>
      <c r="J71" s="454">
        <f>'Calculations - Combustion'!AP81</f>
        <v>0</v>
      </c>
      <c r="K71" s="452" t="b">
        <f>IF('Setup - Facility Details'!D22&gt;0,TRUE,FALSE)</f>
        <v>0</v>
      </c>
      <c r="L71" s="452" t="b">
        <v>1</v>
      </c>
      <c r="M71" s="452" t="b">
        <v>1</v>
      </c>
      <c r="N71" s="961" t="str">
        <f>IF(OR(AND(K71=TRUE,SUM(D71:J71)=0),AND(K71=FALSE,SUM(D71:J71)&gt;0)),LOOKUP("Err07",TblErrorMsg),"")</f>
        <v/>
      </c>
      <c r="O71" s="961"/>
      <c r="P71" s="961"/>
    </row>
    <row r="72" spans="1:16" x14ac:dyDescent="0.3">
      <c r="A72" s="949"/>
      <c r="B72" s="949" t="str">
        <f ca="1">'Calculations - Combustion'!B82</f>
        <v>Flared</v>
      </c>
      <c r="C72" s="949"/>
      <c r="D72" s="453">
        <f>'Calculations - Combustion'!AJ82</f>
        <v>0</v>
      </c>
      <c r="E72" s="453">
        <f>'Calculations - Combustion'!AK82</f>
        <v>0</v>
      </c>
      <c r="F72" s="453">
        <f>'Calculations - Combustion'!AL82</f>
        <v>0</v>
      </c>
      <c r="G72" s="453">
        <f>'Calculations - Combustion'!AM82</f>
        <v>0</v>
      </c>
      <c r="H72" s="453">
        <f>'Calculations - Combustion'!AN82</f>
        <v>0</v>
      </c>
      <c r="I72" s="453">
        <f>'Calculations - Combustion'!AO82</f>
        <v>0</v>
      </c>
      <c r="J72" s="453">
        <f>'Calculations - Combustion'!AP82</f>
        <v>0</v>
      </c>
      <c r="K72" s="193" t="b">
        <f>IF('Setup - Facility Details'!D20&gt;0,TRUE,FALSE)</f>
        <v>0</v>
      </c>
      <c r="L72" s="193" t="b">
        <v>1</v>
      </c>
      <c r="M72" s="193" t="b">
        <v>1</v>
      </c>
      <c r="N72" s="954" t="str">
        <f>IF(OR(AND(K72=TRUE,SUM(D72:J72)=0),AND(K72=FALSE,SUM(D72:J72)&gt;0)),LOOKUP("Err07",TblErrorMsg),"")</f>
        <v/>
      </c>
      <c r="O72" s="954"/>
      <c r="P72" s="954"/>
    </row>
    <row r="73" spans="1:16" x14ac:dyDescent="0.3">
      <c r="A73" s="949"/>
      <c r="B73" s="971" t="str">
        <f ca="1">'Translation Table'!H150</f>
        <v>Total</v>
      </c>
      <c r="C73" s="971"/>
      <c r="D73" s="454">
        <f>'Calculations - Combustion'!AJ83</f>
        <v>0</v>
      </c>
      <c r="E73" s="454">
        <f>'Calculations - Combustion'!AK83</f>
        <v>0</v>
      </c>
      <c r="F73" s="454">
        <f>'Calculations - Combustion'!AL83</f>
        <v>0</v>
      </c>
      <c r="G73" s="454">
        <f>'Calculations - Combustion'!AM83</f>
        <v>0</v>
      </c>
      <c r="H73" s="454">
        <f>'Calculations - Combustion'!AN83</f>
        <v>0</v>
      </c>
      <c r="I73" s="454">
        <f>'Calculations - Combustion'!AO83</f>
        <v>0</v>
      </c>
      <c r="J73" s="454">
        <f>'Calculations - Combustion'!AP83</f>
        <v>0</v>
      </c>
      <c r="K73" s="452"/>
      <c r="L73" s="452"/>
      <c r="M73" s="452"/>
      <c r="N73" s="961"/>
      <c r="O73" s="961"/>
      <c r="P73" s="961"/>
    </row>
    <row r="74" spans="1:16" x14ac:dyDescent="0.3">
      <c r="A74" s="948" t="str">
        <f ca="1">'Translation Table'!H148</f>
        <v>Indirect Emissions from Power &amp; Heat Purchases:</v>
      </c>
      <c r="B74" s="949" t="str">
        <f ca="1">'Calculations - Combustion'!B97</f>
        <v>Hydro Electric</v>
      </c>
      <c r="C74" s="949"/>
      <c r="D74" s="260">
        <f>'Calculations - Combustion'!M97</f>
        <v>0</v>
      </c>
      <c r="E74" s="260">
        <f>'Calculations - Combustion'!N97</f>
        <v>0</v>
      </c>
      <c r="F74" s="260">
        <f>'Calculations - Combustion'!O97</f>
        <v>0</v>
      </c>
      <c r="G74" s="260">
        <f>'Calculations - Combustion'!P97</f>
        <v>0</v>
      </c>
      <c r="H74" s="260">
        <f>'Calculations - Combustion'!Q97</f>
        <v>0</v>
      </c>
      <c r="I74" s="260">
        <f>'Calculations - Combustion'!R97</f>
        <v>0</v>
      </c>
      <c r="J74" s="260">
        <f>'Calculations - Combustion'!S97</f>
        <v>0</v>
      </c>
      <c r="K74" s="193" t="b">
        <f>IF('Setup - Facility Details'!D25&gt;0,TRUE,FALSE)</f>
        <v>0</v>
      </c>
      <c r="L74" s="193" t="b">
        <v>1</v>
      </c>
      <c r="M74" s="193" t="b">
        <v>1</v>
      </c>
      <c r="N74" s="954"/>
      <c r="O74" s="954"/>
      <c r="P74" s="954"/>
    </row>
    <row r="75" spans="1:16" x14ac:dyDescent="0.3">
      <c r="A75" s="948"/>
      <c r="B75" s="948" t="str">
        <f ca="1">'Calculations - Combustion'!B98</f>
        <v>Coal-Fired Power Plant</v>
      </c>
      <c r="C75" s="948"/>
      <c r="D75" s="457">
        <f>'Calculations - Combustion'!M98</f>
        <v>0</v>
      </c>
      <c r="E75" s="457">
        <f>'Calculations - Combustion'!N98</f>
        <v>0</v>
      </c>
      <c r="F75" s="457">
        <f>'Calculations - Combustion'!O98</f>
        <v>0</v>
      </c>
      <c r="G75" s="457">
        <f>'Calculations - Combustion'!P98</f>
        <v>0</v>
      </c>
      <c r="H75" s="457">
        <f>'Calculations - Combustion'!Q98</f>
        <v>0</v>
      </c>
      <c r="I75" s="457">
        <f>'Calculations - Combustion'!R98</f>
        <v>0</v>
      </c>
      <c r="J75" s="457">
        <f>'Calculations - Combustion'!S98</f>
        <v>0</v>
      </c>
      <c r="K75" s="452" t="b">
        <f>IF('Setup - Facility Details'!D26&gt;0,TRUE,FALSE)</f>
        <v>0</v>
      </c>
      <c r="L75" s="452" t="b">
        <v>1</v>
      </c>
      <c r="M75" s="452" t="b">
        <v>1</v>
      </c>
      <c r="N75" s="961" t="str">
        <f>IF(OR(AND(K75=TRUE,SUM(D75:J75)=0),AND(K75=FALSE,SUM(D75:J75)&gt;0)),LOOKUP("Err07",TblErrorMsg),"")</f>
        <v/>
      </c>
      <c r="O75" s="961"/>
      <c r="P75" s="961"/>
    </row>
    <row r="76" spans="1:16" x14ac:dyDescent="0.3">
      <c r="A76" s="948"/>
      <c r="B76" s="949" t="str">
        <f ca="1">'Calculations - Combustion'!B99</f>
        <v>Natural Gas (Gas Turbine)</v>
      </c>
      <c r="C76" s="949"/>
      <c r="D76" s="260">
        <f>'Calculations - Combustion'!M99</f>
        <v>0</v>
      </c>
      <c r="E76" s="260">
        <f>'Calculations - Combustion'!N99</f>
        <v>0</v>
      </c>
      <c r="F76" s="260">
        <f>'Calculations - Combustion'!O99</f>
        <v>0</v>
      </c>
      <c r="G76" s="260">
        <f>'Calculations - Combustion'!P99</f>
        <v>0</v>
      </c>
      <c r="H76" s="260">
        <f>'Calculations - Combustion'!Q99</f>
        <v>0</v>
      </c>
      <c r="I76" s="260">
        <f>'Calculations - Combustion'!R99</f>
        <v>0</v>
      </c>
      <c r="J76" s="260">
        <f>'Calculations - Combustion'!S99</f>
        <v>0</v>
      </c>
      <c r="K76" s="193" t="b">
        <f>IF('Setup - Facility Details'!D27&gt;0,TRUE,FALSE)</f>
        <v>0</v>
      </c>
      <c r="L76" s="193" t="b">
        <v>1</v>
      </c>
      <c r="M76" s="193" t="b">
        <v>1</v>
      </c>
      <c r="N76" s="954" t="str">
        <f>IF(OR(AND(K76=TRUE,SUM(D76:J76)=0),AND(K76=FALSE,SUM(D76:J76)&gt;0)),LOOKUP("Err07",TblErrorMsg),"")</f>
        <v/>
      </c>
      <c r="O76" s="954"/>
      <c r="P76" s="954"/>
    </row>
    <row r="77" spans="1:16" x14ac:dyDescent="0.3">
      <c r="A77" s="948"/>
      <c r="B77" s="948" t="str">
        <f ca="1">'Calculations - Combustion'!B100</f>
        <v>Natural Gas (Combined Cycle)</v>
      </c>
      <c r="C77" s="948"/>
      <c r="D77" s="457">
        <f>'Calculations - Combustion'!M100</f>
        <v>0</v>
      </c>
      <c r="E77" s="457">
        <f>'Calculations - Combustion'!N100</f>
        <v>0</v>
      </c>
      <c r="F77" s="457">
        <f>'Calculations - Combustion'!O100</f>
        <v>0</v>
      </c>
      <c r="G77" s="457">
        <f>'Calculations - Combustion'!P100</f>
        <v>0</v>
      </c>
      <c r="H77" s="457">
        <f>'Calculations - Combustion'!Q100</f>
        <v>0</v>
      </c>
      <c r="I77" s="457">
        <f>'Calculations - Combustion'!R100</f>
        <v>0</v>
      </c>
      <c r="J77" s="457">
        <f>'Calculations - Combustion'!S100</f>
        <v>0</v>
      </c>
      <c r="K77" s="452" t="b">
        <f>IF('Setup - Facility Details'!D28&gt;0,TRUE,FALSE)</f>
        <v>0</v>
      </c>
      <c r="L77" s="452" t="b">
        <v>1</v>
      </c>
      <c r="M77" s="452" t="b">
        <v>1</v>
      </c>
      <c r="N77" s="961" t="str">
        <f>IF(OR(AND(K77=TRUE,SUM(D77:J77)=0),AND(K77=FALSE,SUM(D77:J77)&gt;0)),LOOKUP("Err07",TblErrorMsg),"")</f>
        <v/>
      </c>
      <c r="O77" s="961"/>
      <c r="P77" s="961"/>
    </row>
    <row r="78" spans="1:16" x14ac:dyDescent="0.3">
      <c r="A78" s="948"/>
      <c r="B78" s="970" t="str">
        <f ca="1">'Translation Table'!H150</f>
        <v>Total</v>
      </c>
      <c r="C78" s="970"/>
      <c r="D78" s="260">
        <f>'Calculations - Combustion'!M101</f>
        <v>0</v>
      </c>
      <c r="E78" s="260">
        <f>'Calculations - Combustion'!N101</f>
        <v>0</v>
      </c>
      <c r="F78" s="260">
        <f>'Calculations - Combustion'!O101</f>
        <v>0</v>
      </c>
      <c r="G78" s="260">
        <f>'Calculations - Combustion'!P101</f>
        <v>0</v>
      </c>
      <c r="H78" s="260">
        <f>'Calculations - Combustion'!Q101</f>
        <v>0</v>
      </c>
      <c r="I78" s="260">
        <f>'Calculations - Combustion'!R101</f>
        <v>0</v>
      </c>
      <c r="J78" s="260">
        <f>'Calculations - Combustion'!S101</f>
        <v>0</v>
      </c>
      <c r="K78" s="193"/>
      <c r="L78" s="193"/>
      <c r="M78" s="193"/>
      <c r="N78" s="954"/>
      <c r="O78" s="954"/>
      <c r="P78" s="954"/>
    </row>
    <row r="79" spans="1:16" x14ac:dyDescent="0.3">
      <c r="A79" s="257"/>
      <c r="B79" s="257"/>
      <c r="C79" s="257"/>
      <c r="D79" s="259"/>
      <c r="E79" s="259"/>
      <c r="F79" s="259"/>
      <c r="G79" s="259"/>
      <c r="H79" s="259"/>
      <c r="I79" s="259"/>
      <c r="J79" s="259"/>
    </row>
    <row r="80" spans="1:16" x14ac:dyDescent="0.3">
      <c r="A80" s="257"/>
      <c r="B80" s="257"/>
      <c r="C80" s="257"/>
      <c r="D80" s="259"/>
      <c r="E80" s="259"/>
      <c r="F80" s="259"/>
      <c r="G80" s="259"/>
      <c r="H80" s="259"/>
      <c r="I80" s="259"/>
      <c r="J80" s="259"/>
    </row>
    <row r="81" spans="1:12" x14ac:dyDescent="0.3">
      <c r="A81" s="257"/>
      <c r="B81" s="257"/>
      <c r="C81" s="257"/>
      <c r="D81" s="259"/>
      <c r="E81" s="259"/>
      <c r="F81" s="259"/>
      <c r="G81" s="259"/>
      <c r="H81" s="259"/>
      <c r="I81" s="259"/>
      <c r="J81" s="259"/>
    </row>
    <row r="82" spans="1:12" ht="22.5" x14ac:dyDescent="0.3">
      <c r="A82" s="974" t="str">
        <f ca="1">'Translation Table'!H71</f>
        <v>Calculations - Fugitives</v>
      </c>
      <c r="B82" s="974"/>
      <c r="C82" s="257"/>
      <c r="D82" s="258"/>
      <c r="E82" s="258"/>
      <c r="F82" s="258"/>
      <c r="G82" s="258"/>
      <c r="H82" s="258"/>
      <c r="I82" s="258"/>
      <c r="J82" s="258"/>
    </row>
    <row r="83" spans="1:12" ht="22.5" x14ac:dyDescent="0.3">
      <c r="A83" s="249"/>
      <c r="B83" s="249"/>
      <c r="C83" s="257"/>
      <c r="D83" s="258"/>
      <c r="E83" s="258"/>
      <c r="F83" s="258"/>
      <c r="G83" s="258"/>
      <c r="H83" s="258"/>
      <c r="I83" s="258"/>
      <c r="J83" s="258"/>
    </row>
    <row r="84" spans="1:12" ht="15.5" x14ac:dyDescent="0.3">
      <c r="A84" s="975" t="str">
        <f ca="1">'Translation Table'!H86</f>
        <v>Primary Source Category</v>
      </c>
      <c r="B84" s="975" t="str">
        <f ca="1">'Translation Table'!H393</f>
        <v>Type</v>
      </c>
      <c r="C84" s="975"/>
      <c r="D84" s="458" t="str">
        <f ca="1">'Calculations - Fugitives'!C57</f>
        <v>CH4</v>
      </c>
      <c r="E84" s="458" t="str">
        <f ca="1">'Calculations - Fugitives'!D57</f>
        <v>CO2</v>
      </c>
      <c r="F84" s="458" t="str">
        <f ca="1">'Calculations - Fugitives'!E57</f>
        <v>NMVOC</v>
      </c>
      <c r="G84" s="955" t="str">
        <f ca="1">'Translation Table'!H65</f>
        <v>Checks</v>
      </c>
      <c r="H84" s="699"/>
      <c r="I84" s="700"/>
      <c r="J84" s="955" t="str">
        <f ca="1">'Translation Table'!H69</f>
        <v>Error Messages</v>
      </c>
      <c r="K84" s="956"/>
      <c r="L84" s="957"/>
    </row>
    <row r="85" spans="1:12" ht="15.5" x14ac:dyDescent="0.3">
      <c r="A85" s="975"/>
      <c r="B85" s="975"/>
      <c r="C85" s="975"/>
      <c r="D85" s="458" t="str">
        <f ca="1">'Calculations - Fugitives'!F60</f>
        <v>tonnes/y</v>
      </c>
      <c r="E85" s="458" t="str">
        <f ca="1">'Calculations - Fugitives'!F60</f>
        <v>tonnes/y</v>
      </c>
      <c r="F85" s="458" t="str">
        <f ca="1">'Calculations - Fugitives'!F60</f>
        <v>tonnes/y</v>
      </c>
      <c r="G85" s="450" t="str">
        <f ca="1">'Translation Table'!H66</f>
        <v>Active</v>
      </c>
      <c r="H85" s="450" t="str">
        <f ca="1">'Translation Table'!H67</f>
        <v>EF Result</v>
      </c>
      <c r="I85" s="450" t="str">
        <f ca="1">'Translation Table'!H68</f>
        <v>Reported or Measured Activity</v>
      </c>
      <c r="J85" s="958"/>
      <c r="K85" s="959"/>
      <c r="L85" s="960"/>
    </row>
    <row r="86" spans="1:12" x14ac:dyDescent="0.3">
      <c r="A86" s="237" t="str">
        <f ca="1">'Translation Table'!H131</f>
        <v>Fugitive Equipment Leaks</v>
      </c>
      <c r="B86" s="949"/>
      <c r="C86" s="949"/>
      <c r="D86" s="260">
        <f ca="1">'Calculations - Fugitives'!C60</f>
        <v>0</v>
      </c>
      <c r="E86" s="260">
        <f ca="1">'Calculations - Fugitives'!D60</f>
        <v>0</v>
      </c>
      <c r="F86" s="260">
        <f ca="1">'Calculations - Fugitives'!E60</f>
        <v>0</v>
      </c>
      <c r="G86" s="193" t="b">
        <f>IF(SUM('Setup - Facility Details'!E51:E70)&gt;0,TRUE,FALSE)</f>
        <v>0</v>
      </c>
      <c r="H86" s="193" t="b">
        <f>IF('Setup - Facility Details'!C35&gt;0,FALSE,TRUE)</f>
        <v>1</v>
      </c>
      <c r="I86" s="193" t="b">
        <f>IF('Setup - Facility Details'!C35&gt;0,TRUE,FALSE)</f>
        <v>0</v>
      </c>
      <c r="J86" s="946" t="str">
        <f ca="1">IF(OR(AND(G86=TRUE,SUM(D86:F86)=0),AND(G86=FALSE,SUM(D86:F86)&gt;0)),LOOKUP("Err07",TblErrorMsg),"")</f>
        <v/>
      </c>
      <c r="K86" s="946"/>
      <c r="L86" s="946"/>
    </row>
    <row r="87" spans="1:12" ht="14.5" x14ac:dyDescent="0.3">
      <c r="A87" s="238" t="str">
        <f ca="1">'Translation Table'!H132</f>
        <v>Compressor Seals</v>
      </c>
      <c r="B87" s="978"/>
      <c r="C87" s="979"/>
      <c r="D87" s="457">
        <f ca="1">'Calculations - Fugitives'!C66</f>
        <v>0</v>
      </c>
      <c r="E87" s="457">
        <f ca="1">'Calculations - Fugitives'!D66</f>
        <v>0</v>
      </c>
      <c r="F87" s="457">
        <f ca="1">'Calculations - Fugitives'!E66</f>
        <v>0</v>
      </c>
      <c r="G87" s="452" t="b">
        <f ca="1">IF(SUM('Calculations - Fugitives'!G55:AT55)&gt;0,TRUE,FALSE)</f>
        <v>0</v>
      </c>
      <c r="H87" s="452" t="b">
        <f>IF('Setup - Facility Details'!C36&gt;0,FALSE,TRUE)</f>
        <v>1</v>
      </c>
      <c r="I87" s="452" t="b">
        <f>IF('Setup - Facility Details'!C36&gt;0,TRUE,FALSE)</f>
        <v>0</v>
      </c>
      <c r="J87" s="945" t="str">
        <f ca="1">IF(OR(AND(G87=TRUE,SUM(D87:F87)=0),AND(G87=FALSE,SUM(D87:F87)&gt;0)),LOOKUP("Err07",TblErrorMsg),"")</f>
        <v/>
      </c>
      <c r="K87" s="945"/>
      <c r="L87" s="945"/>
    </row>
    <row r="88" spans="1:12" x14ac:dyDescent="0.3">
      <c r="A88" s="949" t="str">
        <f ca="1">'Translation Table'!H133</f>
        <v>Wells:</v>
      </c>
      <c r="B88" s="949"/>
      <c r="C88" s="949"/>
      <c r="D88" s="972"/>
      <c r="E88" s="972"/>
      <c r="F88" s="972"/>
      <c r="G88" s="193"/>
      <c r="H88" s="193"/>
      <c r="I88" s="193"/>
      <c r="J88" s="946"/>
      <c r="K88" s="946"/>
      <c r="L88" s="946"/>
    </row>
    <row r="89" spans="1:12" x14ac:dyDescent="0.3">
      <c r="A89" s="949" t="str">
        <f ca="1">'Translation Table'!H134</f>
        <v xml:space="preserve"> - Casing Vents</v>
      </c>
      <c r="B89" s="948" t="str">
        <f ca="1">'Calculations - Fugitives'!B186</f>
        <v>Well: Conventional Oil</v>
      </c>
      <c r="C89" s="948"/>
      <c r="D89" s="454">
        <f ca="1">'Calculations - Fugitives'!F186</f>
        <v>0</v>
      </c>
      <c r="E89" s="457">
        <f ca="1">'Calculations - Fugitives'!G186</f>
        <v>0</v>
      </c>
      <c r="F89" s="457">
        <f ca="1">'Calculations - Fugitives'!H186</f>
        <v>0</v>
      </c>
      <c r="G89" s="452" t="b">
        <f ca="1">IF('Calculations - Fugitives'!C186&gt;0,TRUE,FALSE)</f>
        <v>0</v>
      </c>
      <c r="H89" s="452" t="s">
        <v>3204</v>
      </c>
      <c r="I89" s="452" t="b">
        <v>0</v>
      </c>
      <c r="J89" s="945" t="str">
        <f t="shared" ref="J89:J100" ca="1" si="3">IF(OR(AND(G89=TRUE,SUM(D89:F89)=0),AND(G89=FALSE,SUM(D89:F89)&gt;0)),LOOKUP("Err07",TblErrorMsg),"")</f>
        <v/>
      </c>
      <c r="K89" s="945"/>
      <c r="L89" s="945"/>
    </row>
    <row r="90" spans="1:12" x14ac:dyDescent="0.3">
      <c r="A90" s="949"/>
      <c r="B90" s="949" t="str">
        <f>'Calculations - Fugitives'!B187</f>
        <v>Well: Conventional Oil (Gas Lift)</v>
      </c>
      <c r="C90" s="949"/>
      <c r="D90" s="453">
        <f ca="1">'Calculations - Fugitives'!F187</f>
        <v>0</v>
      </c>
      <c r="E90" s="260">
        <f ca="1">'Calculations - Fugitives'!G187</f>
        <v>0</v>
      </c>
      <c r="F90" s="260">
        <f ca="1">'Calculations - Fugitives'!H187</f>
        <v>0</v>
      </c>
      <c r="G90" s="193" t="b">
        <f ca="1">IF('Calculations - Fugitives'!C187&gt;0,TRUE,FALSE)</f>
        <v>0</v>
      </c>
      <c r="H90" s="193" t="b">
        <f>IF('Setup - Facility Details'!C39&gt;0,FALSE,TRUE)</f>
        <v>1</v>
      </c>
      <c r="I90" s="193" t="b">
        <v>0</v>
      </c>
      <c r="J90" s="946" t="str">
        <f t="shared" ca="1" si="3"/>
        <v/>
      </c>
      <c r="K90" s="946"/>
      <c r="L90" s="946"/>
    </row>
    <row r="91" spans="1:12" x14ac:dyDescent="0.3">
      <c r="A91" s="949"/>
      <c r="B91" s="949" t="str">
        <f ca="1">'Calculations - Fugitives'!B189</f>
        <v>Well: Gas</v>
      </c>
      <c r="C91" s="949"/>
      <c r="D91" s="453">
        <f ca="1">'Calculations - Fugitives'!F189</f>
        <v>0</v>
      </c>
      <c r="E91" s="260">
        <f ca="1">'Calculations - Fugitives'!G189</f>
        <v>0</v>
      </c>
      <c r="F91" s="260">
        <f ca="1">'Calculations - Fugitives'!H189</f>
        <v>0</v>
      </c>
      <c r="G91" s="193" t="b">
        <f ca="1">IF('Calculations - Fugitives'!C189&gt;0,TRUE,FALSE)</f>
        <v>0</v>
      </c>
      <c r="H91" s="689"/>
      <c r="I91" s="193" t="b">
        <v>0</v>
      </c>
      <c r="J91" s="946" t="str">
        <f ca="1">IF(OR(AND(G91=TRUE,SUM(D91:F91)=0),AND(G91=FALSE,SUM(D91:F91)&gt;0)),LOOKUP("Err07",TblErrorMsg),"")</f>
        <v/>
      </c>
      <c r="K91" s="946"/>
      <c r="L91" s="946"/>
    </row>
    <row r="92" spans="1:12" x14ac:dyDescent="0.3">
      <c r="A92" s="949"/>
      <c r="B92" s="948" t="str">
        <f ca="1">'Calculations - Fugitives'!B190</f>
        <v>Well: Heavy Oil</v>
      </c>
      <c r="C92" s="948"/>
      <c r="D92" s="454">
        <f ca="1">'Calculations - Fugitives'!F190</f>
        <v>0</v>
      </c>
      <c r="E92" s="457">
        <f ca="1">'Calculations - Fugitives'!G190</f>
        <v>0</v>
      </c>
      <c r="F92" s="457">
        <f ca="1">'Calculations - Fugitives'!H190</f>
        <v>0</v>
      </c>
      <c r="G92" s="452" t="b">
        <f ca="1">IF('Calculations - Fugitives'!C190&gt;0,TRUE,FALSE)</f>
        <v>0</v>
      </c>
      <c r="H92" s="452" t="b">
        <f>IF('Setup - Facility Details'!C40&gt;0,FALSE,TRUE)</f>
        <v>1</v>
      </c>
      <c r="I92" s="452" t="b">
        <v>0</v>
      </c>
      <c r="J92" s="945" t="str">
        <f t="shared" ca="1" si="3"/>
        <v/>
      </c>
      <c r="K92" s="945"/>
      <c r="L92" s="945"/>
    </row>
    <row r="93" spans="1:12" x14ac:dyDescent="0.3">
      <c r="A93" s="949"/>
      <c r="B93" s="970" t="str">
        <f ca="1">'Calculations - Fugitives'!B191</f>
        <v>Total</v>
      </c>
      <c r="C93" s="970"/>
      <c r="D93" s="453">
        <f ca="1">'Calculations - Fugitives'!F191</f>
        <v>0</v>
      </c>
      <c r="E93" s="260">
        <f ca="1">'Calculations - Fugitives'!G191</f>
        <v>0</v>
      </c>
      <c r="F93" s="260">
        <f ca="1">'Calculations - Fugitives'!H191</f>
        <v>0</v>
      </c>
      <c r="G93" s="193" t="b">
        <f>IF('Setup - Facility Details'!C46&gt;0,TRUE,FALSE)</f>
        <v>0</v>
      </c>
      <c r="H93" s="193"/>
      <c r="I93" s="193" t="b">
        <f>G93</f>
        <v>0</v>
      </c>
      <c r="J93" s="946" t="str">
        <f t="shared" ca="1" si="3"/>
        <v/>
      </c>
      <c r="K93" s="946"/>
      <c r="L93" s="946"/>
    </row>
    <row r="94" spans="1:12" x14ac:dyDescent="0.3">
      <c r="A94" s="977" t="str">
        <f ca="1">'Translation Table'!H136</f>
        <v>Pneumatic Devices:</v>
      </c>
      <c r="B94" s="977"/>
      <c r="C94" s="977"/>
      <c r="D94" s="973"/>
      <c r="E94" s="973"/>
      <c r="F94" s="973"/>
      <c r="G94" s="452"/>
      <c r="H94" s="452"/>
      <c r="I94" s="452"/>
      <c r="J94" s="945" t="str">
        <f t="shared" si="3"/>
        <v/>
      </c>
      <c r="K94" s="945"/>
      <c r="L94" s="945"/>
    </row>
    <row r="95" spans="1:12" x14ac:dyDescent="0.3">
      <c r="A95" s="976" t="str">
        <f ca="1">'Translation Table'!H137</f>
        <v xml:space="preserve">    - Pneumatic Controllers</v>
      </c>
      <c r="B95" s="976"/>
      <c r="C95" s="976"/>
      <c r="D95" s="260">
        <f>'Calculations - Fugitives'!H84</f>
        <v>0</v>
      </c>
      <c r="E95" s="260">
        <f>'Calculations - Fugitives'!I84</f>
        <v>0</v>
      </c>
      <c r="F95" s="260">
        <f>'Calculations - Fugitives'!J84</f>
        <v>0</v>
      </c>
      <c r="G95" s="193" t="b">
        <f ca="1">IF(SUM('Calculations - Fugitives'!G78,'Calculations - Fugitives'!I78,'Calculations - Fugitives'!K78,'Calculations - Fugitives'!M78,'Calculations - Fugitives'!O78,'Calculations - Fugitives'!Q78,'Calculations - Fugitives'!S78,'Calculations - Fugitives'!U78,'Calculations - Fugitives'!W78,'Calculations - Fugitives'!Y78,'Calculations - Fugitives'!AA78,'Calculations - Fugitives'!AC78,'Calculations - Fugitives'!AE78,'Calculations - Fugitives'!AG78,'Calculations - Fugitives'!AI78,'Calculations - Fugitives'!AK78,'Calculations - Fugitives'!AM78,'Calculations - Fugitives'!AO78,'Calculations - Fugitives'!AQ78,'Calculations - Fugitives'!AS78)&gt;0,TRUE,FALSE)</f>
        <v>0</v>
      </c>
      <c r="H95" s="193" t="b">
        <v>1</v>
      </c>
      <c r="I95" s="193" t="b">
        <v>1</v>
      </c>
      <c r="J95" s="946" t="str">
        <f t="shared" ca="1" si="3"/>
        <v/>
      </c>
      <c r="K95" s="946"/>
      <c r="L95" s="946"/>
    </row>
    <row r="96" spans="1:12" x14ac:dyDescent="0.3">
      <c r="A96" s="977" t="str">
        <f ca="1">'Translation Table'!H138</f>
        <v xml:space="preserve">    - Chemical Injection Pumps</v>
      </c>
      <c r="B96" s="977"/>
      <c r="C96" s="977"/>
      <c r="D96" s="457">
        <f ca="1">'Calculations - Fugitives'!G99</f>
        <v>0</v>
      </c>
      <c r="E96" s="457">
        <f ca="1">'Calculations - Fugitives'!H99</f>
        <v>0</v>
      </c>
      <c r="F96" s="457">
        <f ca="1">'Calculations - Fugitives'!I99</f>
        <v>0</v>
      </c>
      <c r="G96" s="452" t="b">
        <f ca="1">IF(SUM('Calculations - Fugitives'!C93:C95)&gt;0,TRUE,FALSE)</f>
        <v>0</v>
      </c>
      <c r="H96" s="452" t="b">
        <v>1</v>
      </c>
      <c r="I96" s="452" t="b">
        <v>1</v>
      </c>
      <c r="J96" s="945" t="str">
        <f t="shared" ca="1" si="3"/>
        <v/>
      </c>
      <c r="K96" s="945"/>
      <c r="L96" s="945"/>
    </row>
    <row r="97" spans="1:12" x14ac:dyDescent="0.3">
      <c r="A97" s="976" t="str">
        <f ca="1">'Translation Table'!H139</f>
        <v xml:space="preserve">    - Compressor Starts</v>
      </c>
      <c r="B97" s="976"/>
      <c r="C97" s="976"/>
      <c r="D97" s="260">
        <f ca="1">'Calculations - Fugitives'!E128</f>
        <v>0</v>
      </c>
      <c r="E97" s="260">
        <f ca="1">'Calculations - Fugitives'!F128</f>
        <v>0</v>
      </c>
      <c r="F97" s="260">
        <f ca="1">'Calculations - Fugitives'!G128</f>
        <v>0</v>
      </c>
      <c r="G97" s="193" t="b">
        <f ca="1">IF(SUM('Calculations - Fugitives'!C120:C123)&gt;0,TRUE,FALSE)</f>
        <v>0</v>
      </c>
      <c r="H97" s="193" t="b">
        <v>1</v>
      </c>
      <c r="I97" s="193" t="b">
        <v>1</v>
      </c>
      <c r="J97" s="946" t="str">
        <f t="shared" ca="1" si="3"/>
        <v/>
      </c>
      <c r="K97" s="946"/>
      <c r="L97" s="946"/>
    </row>
    <row r="98" spans="1:12" x14ac:dyDescent="0.3">
      <c r="A98" s="977" t="str">
        <f ca="1">'Translation Table'!H140</f>
        <v>Process Venting:</v>
      </c>
      <c r="B98" s="977" t="e">
        <f>'Translation Table'!#REF!</f>
        <v>#REF!</v>
      </c>
      <c r="C98" s="977"/>
      <c r="D98" s="973"/>
      <c r="E98" s="973"/>
      <c r="F98" s="973"/>
      <c r="G98" s="452"/>
      <c r="H98" s="452"/>
      <c r="I98" s="452"/>
      <c r="J98" s="945" t="str">
        <f t="shared" si="3"/>
        <v/>
      </c>
      <c r="K98" s="945"/>
      <c r="L98" s="945"/>
    </row>
    <row r="99" spans="1:12" x14ac:dyDescent="0.3">
      <c r="A99" s="976" t="str">
        <f ca="1">'Translation Table'!H141</f>
        <v xml:space="preserve">    - Dehydrators</v>
      </c>
      <c r="B99" s="976"/>
      <c r="C99" s="976"/>
      <c r="D99" s="260">
        <f>'Calculations - Fugitives'!G139</f>
        <v>0</v>
      </c>
      <c r="E99" s="260">
        <f>'Calculations - Fugitives'!H139</f>
        <v>0</v>
      </c>
      <c r="F99" s="260">
        <f>'Calculations - Fugitives'!I139</f>
        <v>0</v>
      </c>
      <c r="G99" s="193" t="b">
        <f ca="1">IF(SUM('Calculations - Fugitives'!C134:C135)&gt;0,TRUE,FALSE)</f>
        <v>0</v>
      </c>
      <c r="H99" s="193" t="b">
        <f>IF('Setup - Facility Details'!C40&gt;0,FALSE,TRUE)</f>
        <v>1</v>
      </c>
      <c r="I99" s="193" t="b">
        <v>1</v>
      </c>
      <c r="J99" s="946" t="str">
        <f t="shared" ca="1" si="3"/>
        <v/>
      </c>
      <c r="K99" s="946"/>
      <c r="L99" s="946"/>
    </row>
    <row r="100" spans="1:12" x14ac:dyDescent="0.3">
      <c r="A100" s="977" t="str">
        <f ca="1">'Translation Table'!H142</f>
        <v xml:space="preserve">    - Sweetening Units</v>
      </c>
      <c r="B100" s="977"/>
      <c r="C100" s="977"/>
      <c r="D100" s="457">
        <f>'Calculations - Fugitives'!G158</f>
        <v>0</v>
      </c>
      <c r="E100" s="457">
        <f>'Calculations - Fugitives'!I158</f>
        <v>0</v>
      </c>
      <c r="F100" s="457">
        <f>'Calculations - Fugitives'!K158</f>
        <v>0</v>
      </c>
      <c r="G100" s="452" t="b">
        <f ca="1">IF(SUM('Calculations - Fugitives'!C146:C157)&gt;0,TRUE,FALSE)</f>
        <v>0</v>
      </c>
      <c r="H100" s="452" t="b">
        <v>1</v>
      </c>
      <c r="I100" s="452" t="b">
        <v>1</v>
      </c>
      <c r="J100" s="945" t="str">
        <f t="shared" ca="1" si="3"/>
        <v/>
      </c>
      <c r="K100" s="945"/>
      <c r="L100" s="945"/>
    </row>
    <row r="101" spans="1:12" x14ac:dyDescent="0.3">
      <c r="A101" s="949" t="str">
        <f ca="1">'Translation Table'!H143</f>
        <v xml:space="preserve">    - Storage Losses</v>
      </c>
      <c r="B101" s="949" t="str">
        <f ca="1">'Calculations - Fugitives'!B165</f>
        <v>Flashing Losses (Oil Production Tanks)</v>
      </c>
      <c r="C101" s="949"/>
      <c r="D101" s="260">
        <f ca="1">'Calculations - Fugitives'!E165</f>
        <v>0</v>
      </c>
      <c r="E101" s="260">
        <f ca="1">'Calculations - Fugitives'!G165</f>
        <v>0</v>
      </c>
      <c r="F101" s="260">
        <f ca="1">'Calculations - Fugitives'!I165</f>
        <v>0</v>
      </c>
      <c r="G101" s="193" t="b" cm="1">
        <f t="array" ref="G101">IF(SUM('Setup - Flashing Losses'!C5:C6&gt;0),TRUE,FALSE)</f>
        <v>0</v>
      </c>
      <c r="H101" s="193" t="b">
        <v>0</v>
      </c>
      <c r="I101" s="193" t="b">
        <v>1</v>
      </c>
      <c r="J101" s="946" t="str">
        <f ca="1">'Translation Table'!H72</f>
        <v>Correlation rather than EF applied where applicable.</v>
      </c>
      <c r="K101" s="946"/>
      <c r="L101" s="946"/>
    </row>
    <row r="102" spans="1:12" x14ac:dyDescent="0.3">
      <c r="A102" s="949"/>
      <c r="B102" s="948" t="str">
        <f ca="1">'Calculations - Fugitives'!B166</f>
        <v>Flashing Losses (Produced Water Tanks)</v>
      </c>
      <c r="C102" s="948"/>
      <c r="D102" s="457">
        <f ca="1">'Calculations - Fugitives'!E166</f>
        <v>0</v>
      </c>
      <c r="E102" s="457">
        <f ca="1">'Calculations - Fugitives'!G166</f>
        <v>0</v>
      </c>
      <c r="F102" s="457">
        <f ca="1">'Calculations - Fugitives'!I166</f>
        <v>0</v>
      </c>
      <c r="G102" s="452" t="b">
        <f>IF(AND(G101,'Setup - Flashing Losses'!C6&gt;0),TRUE,FALSE)</f>
        <v>0</v>
      </c>
      <c r="H102" s="452" t="b">
        <v>0</v>
      </c>
      <c r="I102" s="452" t="b">
        <v>1</v>
      </c>
      <c r="J102" s="945" t="str">
        <f ca="1">'Translation Table'!H72</f>
        <v>Correlation rather than EF applied where applicable.</v>
      </c>
      <c r="K102" s="945"/>
      <c r="L102" s="945"/>
    </row>
    <row r="103" spans="1:12" x14ac:dyDescent="0.3">
      <c r="A103" s="949"/>
      <c r="B103" s="949" t="str">
        <f ca="1">'Calculations - Fugitives'!B167</f>
        <v>Non-Flashing Losses from Storage Tanks (Measured)</v>
      </c>
      <c r="C103" s="949"/>
      <c r="D103" s="260">
        <f>'Calculations - Fugitives'!E167</f>
        <v>0</v>
      </c>
      <c r="E103" s="260">
        <f>'Calculations - Fugitives'!G167</f>
        <v>0</v>
      </c>
      <c r="F103" s="260">
        <f>'Calculations - Fugitives'!I167</f>
        <v>0</v>
      </c>
      <c r="G103" s="193" t="b">
        <f>IF('Setup - Facility Details'!C45&gt;0,TRUE,FALSE)</f>
        <v>0</v>
      </c>
      <c r="H103" s="193" t="b">
        <f>IF('Setup - Facility Details'!C45&gt;0,TRUE,FALSE)</f>
        <v>0</v>
      </c>
      <c r="I103" s="193" t="b">
        <v>1</v>
      </c>
      <c r="J103" s="947"/>
      <c r="K103" s="707"/>
      <c r="L103" s="708"/>
    </row>
    <row r="104" spans="1:12" x14ac:dyDescent="0.3">
      <c r="A104" s="949"/>
      <c r="B104" s="950" t="str">
        <f ca="1">'Calculations - Fugitives'!B168</f>
        <v>Total:</v>
      </c>
      <c r="C104" s="950"/>
      <c r="D104" s="457">
        <f ca="1">'Calculations - Fugitives'!E168</f>
        <v>0</v>
      </c>
      <c r="E104" s="457">
        <f ca="1">'Calculations - Fugitives'!G168</f>
        <v>0</v>
      </c>
      <c r="F104" s="457">
        <f ca="1">'Calculations - Fugitives'!I168</f>
        <v>0</v>
      </c>
      <c r="G104" s="452" t="b">
        <f>IF(OR(G101,G102,G103),TRUE,FALSE)</f>
        <v>0</v>
      </c>
      <c r="H104" s="452"/>
      <c r="I104" s="452"/>
      <c r="J104" s="945"/>
      <c r="K104" s="945"/>
      <c r="L104" s="945"/>
    </row>
    <row r="105" spans="1:12" x14ac:dyDescent="0.3">
      <c r="A105" s="976" t="str">
        <f ca="1">'Translation Table'!H144</f>
        <v>Inspection &amp; Maintenance Activities:</v>
      </c>
      <c r="B105" s="976" t="e">
        <f>'Translation Table'!#REF!</f>
        <v>#REF!</v>
      </c>
      <c r="C105" s="976"/>
      <c r="D105" s="972"/>
      <c r="E105" s="972"/>
      <c r="F105" s="972"/>
      <c r="G105" s="193"/>
      <c r="H105" s="193"/>
      <c r="I105" s="193"/>
      <c r="J105" s="946"/>
      <c r="K105" s="946"/>
      <c r="L105" s="946"/>
    </row>
    <row r="106" spans="1:12" x14ac:dyDescent="0.3">
      <c r="A106" s="977" t="str">
        <f ca="1">'Translation Table'!H145</f>
        <v xml:space="preserve">    - Equipment Depressurization &amp; Purging Events</v>
      </c>
      <c r="B106" s="977"/>
      <c r="C106" s="977"/>
      <c r="D106" s="457">
        <f ca="1">'Calculations - Fugitives'!E114</f>
        <v>0</v>
      </c>
      <c r="E106" s="457">
        <f ca="1">'Calculations - Fugitives'!F114</f>
        <v>0</v>
      </c>
      <c r="F106" s="457">
        <f ca="1">'Calculations - Fugitives'!G114</f>
        <v>0</v>
      </c>
      <c r="G106" s="452" t="b">
        <f ca="1">IF(SUM('Calculations - Fugitives'!D109,'Calculations - Fugitives'!F109,'Calculations - Fugitives'!H109,'Calculations - Fugitives'!J109,'Calculations - Fugitives'!L109,'Calculations - Fugitives'!N109,'Calculations - Fugitives'!P109,'Calculations - Fugitives'!R109,'Calculations - Fugitives'!T109,'Calculations - Fugitives'!V109,'Calculations - Fugitives'!X109,'Calculations - Fugitives'!Z109,'Calculations - Fugitives'!AB109,'Calculations - Fugitives'!AD109,'Calculations - Fugitives'!AF109,'Calculations - Fugitives'!AH109,'Calculations - Fugitives'!AJ109,'Calculations - Fugitives'!AL109,'Calculations - Fugitives'!AN109,'Calculations - Fugitives'!AP109)&gt;0,TRUE,FALSE)</f>
        <v>0</v>
      </c>
      <c r="H106" s="452"/>
      <c r="I106" s="452" t="b">
        <v>1</v>
      </c>
      <c r="J106" s="945" t="str">
        <f ca="1">IF(OR(AND(G106=TRUE,SUM(D106:F106)=0),AND(G106=FALSE,SUM(D106:F106)&gt;0)),LOOKUP("Err07",TblErrorMsg),"")</f>
        <v/>
      </c>
      <c r="K106" s="945"/>
      <c r="L106" s="945"/>
    </row>
    <row r="107" spans="1:12" x14ac:dyDescent="0.3">
      <c r="A107" s="949" t="str">
        <f ca="1">'Translation Table'!H146</f>
        <v>Mishaps:</v>
      </c>
      <c r="B107" s="949"/>
      <c r="C107" s="949"/>
      <c r="D107" s="260">
        <f ca="1">'Calculations - Fugitives'!D179</f>
        <v>0</v>
      </c>
      <c r="E107" s="260">
        <f ca="1">'Calculations - Fugitives'!E179</f>
        <v>0</v>
      </c>
      <c r="F107" s="260">
        <f ca="1">'Calculations - Fugitives'!F179</f>
        <v>0</v>
      </c>
      <c r="G107" s="193" t="b">
        <f>IF('Calculations - Fugitives'!C175&gt;0,TRUE,FALSE)</f>
        <v>0</v>
      </c>
      <c r="H107" s="193" t="s">
        <v>3204</v>
      </c>
      <c r="I107" s="193" t="b">
        <v>1</v>
      </c>
      <c r="J107" s="946" t="str">
        <f ca="1">'Translation Table'!H73</f>
        <v>No EF, so not implemented.</v>
      </c>
      <c r="K107" s="946"/>
      <c r="L107" s="946"/>
    </row>
    <row r="108" spans="1:12" x14ac:dyDescent="0.3">
      <c r="A108" s="951" t="str">
        <f ca="1">'Translation Table'!H149</f>
        <v>Other Contributions (Measured):</v>
      </c>
      <c r="B108" s="948" t="str">
        <f ca="1">'Calculations - Fugitives'!B197</f>
        <v>Emissions From Pits &amp; Ponds</v>
      </c>
      <c r="C108" s="948"/>
      <c r="D108" s="459">
        <f>'Calculations - Fugitives'!D197</f>
        <v>0</v>
      </c>
      <c r="E108" s="459">
        <f>'Calculations - Fugitives'!E197</f>
        <v>0</v>
      </c>
      <c r="F108" s="459">
        <f>'Calculations - Fugitives'!F197</f>
        <v>0</v>
      </c>
      <c r="G108" s="452" t="b">
        <f>IF('Setup - Facility Details'!C37&gt;0,TRUE,FALSE)</f>
        <v>0</v>
      </c>
      <c r="H108" s="452" t="b">
        <v>0</v>
      </c>
      <c r="I108" s="452" t="b">
        <v>1</v>
      </c>
      <c r="J108" s="945" t="str">
        <f ca="1">'Translation Table'!$H$74</f>
        <v>Measured results.</v>
      </c>
      <c r="K108" s="945"/>
      <c r="L108" s="945"/>
    </row>
    <row r="109" spans="1:12" x14ac:dyDescent="0.3">
      <c r="A109" s="952"/>
      <c r="B109" s="949" t="str">
        <f ca="1">'Calculations - Fugitives'!B198</f>
        <v>Emissions From Associated Well Sites</v>
      </c>
      <c r="C109" s="949"/>
      <c r="D109" s="460">
        <f>'Calculations - Fugitives'!D198</f>
        <v>0</v>
      </c>
      <c r="E109" s="460">
        <f>'Calculations - Fugitives'!E198</f>
        <v>0</v>
      </c>
      <c r="F109" s="460">
        <f>'Calculations - Fugitives'!F198</f>
        <v>0</v>
      </c>
      <c r="G109" s="193" t="b">
        <f>IF('Setup - Facility Details'!C38&gt;0,TRUE,FALSE)</f>
        <v>0</v>
      </c>
      <c r="H109" s="193" t="b">
        <v>0</v>
      </c>
      <c r="I109" s="193" t="b">
        <v>1</v>
      </c>
      <c r="J109" s="946" t="str">
        <f ca="1">'Translation Table'!$H$74</f>
        <v>Measured results.</v>
      </c>
      <c r="K109" s="946"/>
      <c r="L109" s="946"/>
    </row>
    <row r="110" spans="1:12" x14ac:dyDescent="0.3">
      <c r="A110" s="952"/>
      <c r="B110" s="948" t="str">
        <f ca="1">'Calculations - Fugitives'!B199</f>
        <v>Emissions From Other Associated Offsite Installations</v>
      </c>
      <c r="C110" s="948"/>
      <c r="D110" s="459">
        <f>'Calculations - Fugitives'!D199</f>
        <v>0</v>
      </c>
      <c r="E110" s="459">
        <f>'Calculations - Fugitives'!E199</f>
        <v>0</v>
      </c>
      <c r="F110" s="459">
        <f>'Calculations - Fugitives'!F199</f>
        <v>0</v>
      </c>
      <c r="G110" s="452" t="b">
        <f>IF('Setup - Facility Details'!C39&gt;0,TRUE,FALSE)</f>
        <v>0</v>
      </c>
      <c r="H110" s="452" t="b">
        <v>0</v>
      </c>
      <c r="I110" s="452" t="b">
        <v>1</v>
      </c>
      <c r="J110" s="945" t="str">
        <f ca="1">'Translation Table'!$H$74</f>
        <v>Measured results.</v>
      </c>
      <c r="K110" s="945"/>
      <c r="L110" s="945"/>
    </row>
    <row r="111" spans="1:12" x14ac:dyDescent="0.3">
      <c r="A111" s="952"/>
      <c r="B111" s="949" t="str">
        <f ca="1">'Calculations - Fugitives'!B200</f>
        <v>Venting by Other Sources</v>
      </c>
      <c r="C111" s="949"/>
      <c r="D111" s="460">
        <f>'Calculations - Fugitives'!D200</f>
        <v>0</v>
      </c>
      <c r="E111" s="460">
        <f>'Calculations - Fugitives'!E200</f>
        <v>0</v>
      </c>
      <c r="F111" s="460">
        <f>'Calculations - Fugitives'!F200</f>
        <v>0</v>
      </c>
      <c r="G111" s="193" t="b">
        <f>IF('Setup - Facility Details'!C44&gt;0,TRUE,FALSE)</f>
        <v>0</v>
      </c>
      <c r="H111" s="193" t="b">
        <v>0</v>
      </c>
      <c r="I111" s="193" t="b">
        <v>1</v>
      </c>
      <c r="J111" s="946" t="str">
        <f ca="1">'Translation Table'!$H$74</f>
        <v>Measured results.</v>
      </c>
      <c r="K111" s="946"/>
      <c r="L111" s="946"/>
    </row>
    <row r="112" spans="1:12" x14ac:dyDescent="0.3">
      <c r="A112" s="953"/>
      <c r="B112" s="950" t="str">
        <f ca="1">'Calculations - Fugitives'!B201</f>
        <v>Total:</v>
      </c>
      <c r="C112" s="950"/>
      <c r="D112" s="459">
        <f>'Calculations - Fugitives'!D201</f>
        <v>0</v>
      </c>
      <c r="E112" s="459">
        <f>'Calculations - Fugitives'!E201</f>
        <v>0</v>
      </c>
      <c r="F112" s="459">
        <f>'Calculations - Fugitives'!F201</f>
        <v>0</v>
      </c>
      <c r="G112" s="452"/>
      <c r="H112" s="452"/>
      <c r="I112" s="452"/>
      <c r="J112" s="945"/>
      <c r="K112" s="945"/>
      <c r="L112" s="945"/>
    </row>
  </sheetData>
  <sheetProtection algorithmName="SHA-512" hashValue="nWBnwPCijxpSkZmDB/5qRdm+XVRanmProZV+G0AGY/r4GsioYt5iEN4vKXfYC7RMN3IaavvsyRa7/F5LZyo2eg==" saltValue="CqHi9Ix4omhlAcLE+WOo4g==" spinCount="100000" sheet="1" objects="1" scenarios="1"/>
  <mergeCells count="187">
    <mergeCell ref="B67:C67"/>
    <mergeCell ref="B68:C68"/>
    <mergeCell ref="B69:C69"/>
    <mergeCell ref="B70:C70"/>
    <mergeCell ref="A1:E1"/>
    <mergeCell ref="B22:C22"/>
    <mergeCell ref="B23:C23"/>
    <mergeCell ref="B25:C25"/>
    <mergeCell ref="B26:C26"/>
    <mergeCell ref="B27:C27"/>
    <mergeCell ref="B8:C8"/>
    <mergeCell ref="B9:C9"/>
    <mergeCell ref="B10:C10"/>
    <mergeCell ref="B11:C11"/>
    <mergeCell ref="B12:C12"/>
    <mergeCell ref="B17:C17"/>
    <mergeCell ref="B13:C13"/>
    <mergeCell ref="B14:C14"/>
    <mergeCell ref="B18:C18"/>
    <mergeCell ref="B24:C24"/>
    <mergeCell ref="A106:C106"/>
    <mergeCell ref="A107:C107"/>
    <mergeCell ref="D7:J7"/>
    <mergeCell ref="A3:B3"/>
    <mergeCell ref="A88:C88"/>
    <mergeCell ref="A89:A93"/>
    <mergeCell ref="A94:C94"/>
    <mergeCell ref="B101:C101"/>
    <mergeCell ref="B102:C102"/>
    <mergeCell ref="B103:C103"/>
    <mergeCell ref="B104:C104"/>
    <mergeCell ref="A95:C95"/>
    <mergeCell ref="A96:C96"/>
    <mergeCell ref="A97:C97"/>
    <mergeCell ref="A98:C98"/>
    <mergeCell ref="A8:A16"/>
    <mergeCell ref="A17:A27"/>
    <mergeCell ref="A28:A63"/>
    <mergeCell ref="B15:C15"/>
    <mergeCell ref="B16:C16"/>
    <mergeCell ref="B19:C19"/>
    <mergeCell ref="B20:C20"/>
    <mergeCell ref="B21:C21"/>
    <mergeCell ref="A71:A73"/>
    <mergeCell ref="B71:C71"/>
    <mergeCell ref="D105:F105"/>
    <mergeCell ref="D94:F94"/>
    <mergeCell ref="D88:F88"/>
    <mergeCell ref="A82:B82"/>
    <mergeCell ref="A84:A85"/>
    <mergeCell ref="A99:C99"/>
    <mergeCell ref="A100:C100"/>
    <mergeCell ref="A101:A104"/>
    <mergeCell ref="A105:C105"/>
    <mergeCell ref="B86:C86"/>
    <mergeCell ref="B89:C89"/>
    <mergeCell ref="B90:C90"/>
    <mergeCell ref="B92:C92"/>
    <mergeCell ref="B93:C93"/>
    <mergeCell ref="B84:C85"/>
    <mergeCell ref="D98:F98"/>
    <mergeCell ref="A74:A78"/>
    <mergeCell ref="B87:C87"/>
    <mergeCell ref="B91:C91"/>
    <mergeCell ref="B77:C77"/>
    <mergeCell ref="B78:C78"/>
    <mergeCell ref="K5:M5"/>
    <mergeCell ref="N5:P6"/>
    <mergeCell ref="N7:P7"/>
    <mergeCell ref="A5:A6"/>
    <mergeCell ref="B7:C7"/>
    <mergeCell ref="B5:C6"/>
    <mergeCell ref="B74:C74"/>
    <mergeCell ref="B75:C75"/>
    <mergeCell ref="B76:C76"/>
    <mergeCell ref="A68:A70"/>
    <mergeCell ref="B72:C72"/>
    <mergeCell ref="B64:C64"/>
    <mergeCell ref="B65:C65"/>
    <mergeCell ref="B66:C66"/>
    <mergeCell ref="B73:C73"/>
    <mergeCell ref="N13:P13"/>
    <mergeCell ref="N14:P14"/>
    <mergeCell ref="N15:P15"/>
    <mergeCell ref="N16:P16"/>
    <mergeCell ref="N17:P17"/>
    <mergeCell ref="N8:P8"/>
    <mergeCell ref="N9:P9"/>
    <mergeCell ref="N10:P10"/>
    <mergeCell ref="N11:P11"/>
    <mergeCell ref="N12:P12"/>
    <mergeCell ref="N23:P23"/>
    <mergeCell ref="N24:P24"/>
    <mergeCell ref="N25:P25"/>
    <mergeCell ref="N26:P26"/>
    <mergeCell ref="N27:P27"/>
    <mergeCell ref="N18:P18"/>
    <mergeCell ref="N19:P19"/>
    <mergeCell ref="N20:P20"/>
    <mergeCell ref="N21:P21"/>
    <mergeCell ref="N22:P22"/>
    <mergeCell ref="N33:P33"/>
    <mergeCell ref="N34:P34"/>
    <mergeCell ref="N35:P35"/>
    <mergeCell ref="N36:P36"/>
    <mergeCell ref="N37:P37"/>
    <mergeCell ref="N28:P28"/>
    <mergeCell ref="N29:P29"/>
    <mergeCell ref="N30:P30"/>
    <mergeCell ref="N31:P31"/>
    <mergeCell ref="N32:P32"/>
    <mergeCell ref="N43:P43"/>
    <mergeCell ref="N44:P44"/>
    <mergeCell ref="N45:P45"/>
    <mergeCell ref="N46:P46"/>
    <mergeCell ref="N47:P47"/>
    <mergeCell ref="N38:P38"/>
    <mergeCell ref="N39:P39"/>
    <mergeCell ref="N40:P40"/>
    <mergeCell ref="N41:P41"/>
    <mergeCell ref="N42:P42"/>
    <mergeCell ref="N53:P53"/>
    <mergeCell ref="N54:P54"/>
    <mergeCell ref="N55:P55"/>
    <mergeCell ref="N56:P56"/>
    <mergeCell ref="N57:P57"/>
    <mergeCell ref="N48:P48"/>
    <mergeCell ref="N49:P49"/>
    <mergeCell ref="N50:P50"/>
    <mergeCell ref="N51:P51"/>
    <mergeCell ref="N52:P52"/>
    <mergeCell ref="N63:P63"/>
    <mergeCell ref="N64:P64"/>
    <mergeCell ref="N65:P65"/>
    <mergeCell ref="N66:P66"/>
    <mergeCell ref="N67:P67"/>
    <mergeCell ref="N58:P58"/>
    <mergeCell ref="N59:P59"/>
    <mergeCell ref="N60:P60"/>
    <mergeCell ref="N61:P61"/>
    <mergeCell ref="N62:P62"/>
    <mergeCell ref="N73:P73"/>
    <mergeCell ref="N74:P74"/>
    <mergeCell ref="N75:P75"/>
    <mergeCell ref="N76:P76"/>
    <mergeCell ref="N77:P77"/>
    <mergeCell ref="N68:P68"/>
    <mergeCell ref="N69:P69"/>
    <mergeCell ref="N70:P70"/>
    <mergeCell ref="N71:P71"/>
    <mergeCell ref="N72:P72"/>
    <mergeCell ref="J89:L89"/>
    <mergeCell ref="J90:L90"/>
    <mergeCell ref="J92:L92"/>
    <mergeCell ref="J93:L93"/>
    <mergeCell ref="J94:L94"/>
    <mergeCell ref="N78:P78"/>
    <mergeCell ref="G84:I84"/>
    <mergeCell ref="J84:L85"/>
    <mergeCell ref="J86:L86"/>
    <mergeCell ref="J88:L88"/>
    <mergeCell ref="J87:L87"/>
    <mergeCell ref="J91:L91"/>
    <mergeCell ref="B108:C108"/>
    <mergeCell ref="B109:C109"/>
    <mergeCell ref="B110:C110"/>
    <mergeCell ref="B111:C111"/>
    <mergeCell ref="B112:C112"/>
    <mergeCell ref="A108:A112"/>
    <mergeCell ref="J108:L108"/>
    <mergeCell ref="J109:L109"/>
    <mergeCell ref="J110:L110"/>
    <mergeCell ref="J111:L111"/>
    <mergeCell ref="J112:L112"/>
    <mergeCell ref="J104:L104"/>
    <mergeCell ref="J106:L106"/>
    <mergeCell ref="J105:L105"/>
    <mergeCell ref="J107:L107"/>
    <mergeCell ref="J100:L100"/>
    <mergeCell ref="J101:L101"/>
    <mergeCell ref="J102:L102"/>
    <mergeCell ref="J103:L103"/>
    <mergeCell ref="J95:L95"/>
    <mergeCell ref="J96:L96"/>
    <mergeCell ref="J97:L97"/>
    <mergeCell ref="J98:L98"/>
    <mergeCell ref="J99:L9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_ip_UnifiedCompliancePolicyUIAction xmlns="http://schemas.microsoft.com/sharepoint/v3" xsi:nil="tru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_ip_UnifiedCompliancePolicyProperties xmlns="http://schemas.microsoft.com/sharepoint/v3" xsi:nil="true"/>
    <Rights xmlns="4ffa91fb-a0ff-4ac5-b2db-65c790d184a4" xsi:nil="true"/>
    <Document_x0020_Creation_x0020_Date xmlns="4ffa91fb-a0ff-4ac5-b2db-65c790d184a4">2025-06-02T13:47:17+00:00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lcf76f155ced4ddcb4097134ff3c332f xmlns="1dcf19bd-8966-40bc-8192-1c6096ed41ca">
      <Terms xmlns="http://schemas.microsoft.com/office/infopath/2007/PartnerControls"/>
    </lcf76f155ced4ddcb4097134ff3c332f>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ED94F6677EA4744A21BDA80C049D5C4" ma:contentTypeVersion="21" ma:contentTypeDescription="Create a new document." ma:contentTypeScope="" ma:versionID="39af7c9e604fd850236aade71c68c8ab">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1dcf19bd-8966-40bc-8192-1c6096ed41ca" xmlns:ns6="5381e799-50cf-49ac-91df-499b0982a98e" targetNamespace="http://schemas.microsoft.com/office/2006/metadata/properties" ma:root="true" ma:fieldsID="453a462923b9eeac51a9630418829a23" ns1:_="" ns2:_="" ns3:_="" ns4:_="" ns5:_="" ns6:_="">
    <xsd:import namespace="http://schemas.microsoft.com/sharepoint/v3"/>
    <xsd:import namespace="4ffa91fb-a0ff-4ac5-b2db-65c790d184a4"/>
    <xsd:import namespace="http://schemas.microsoft.com/sharepoint.v3"/>
    <xsd:import namespace="http://schemas.microsoft.com/sharepoint/v3/fields"/>
    <xsd:import namespace="1dcf19bd-8966-40bc-8192-1c6096ed41ca"/>
    <xsd:import namespace="5381e799-50cf-49ac-91df-499b0982a98e"/>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element ref="ns6:_dlc_DocId" minOccurs="0"/>
                <xsd:element ref="ns6:_dlc_DocIdUrl" minOccurs="0"/>
                <xsd:element ref="ns6:_dlc_DocIdPersistId" minOccurs="0"/>
                <xsd:element ref="ns5:MediaServiceAutoKeyPoints" minOccurs="0"/>
                <xsd:element ref="ns5:MediaServiceKeyPoints" minOccurs="0"/>
                <xsd:element ref="ns5:MediaServiceDateTaken" minOccurs="0"/>
                <xsd:element ref="ns5:MediaServiceAutoTags" minOccurs="0"/>
                <xsd:element ref="ns5:MediaServiceLocation" minOccurs="0"/>
                <xsd:element ref="ns5:MediaServiceGenerationTime" minOccurs="0"/>
                <xsd:element ref="ns5:MediaServiceEventHashCode" minOccurs="0"/>
                <xsd:element ref="ns5:MediaServiceOCR" minOccurs="0"/>
                <xsd:element ref="ns5:MediaLengthInSeconds" minOccurs="0"/>
                <xsd:element ref="ns1:_ip_UnifiedCompliancePolicyProperties" minOccurs="0"/>
                <xsd:element ref="ns1:_ip_UnifiedCompliancePolicyUIAction" minOccurs="0"/>
                <xsd:element ref="ns5:lcf76f155ced4ddcb4097134ff3c332f" minOccurs="0"/>
                <xsd:element ref="ns5:MediaServiceObjectDetectorVersion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44" nillable="true" ma:displayName="Unified Compliance Policy Properties" ma:hidden="true" ma:internalName="_ip_UnifiedCompliancePolicyProperties">
      <xsd:simpleType>
        <xsd:restriction base="dms:Note"/>
      </xsd:simpleType>
    </xsd:element>
    <xsd:element name="_ip_UnifiedCompliancePolicyUIAction" ma:index="4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a76d39c8-2702-4b0a-9443-7286401c36e2}" ma:internalName="TaxCatchAllLabel" ma:readOnly="true" ma:showField="CatchAllDataLabel" ma:web="5381e799-50cf-49ac-91df-499b0982a98e">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a76d39c8-2702-4b0a-9443-7286401c36e2}" ma:internalName="TaxCatchAll" ma:showField="CatchAllData" ma:web="5381e799-50cf-49ac-91df-499b0982a9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cf19bd-8966-40bc-8192-1c6096ed41ca"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KeyPoints" ma:index="35" nillable="true" ma:displayName="MediaServiceAutoKeyPoints" ma:hidden="true" ma:internalName="MediaServiceAutoKeyPoints" ma:readOnly="true">
      <xsd:simpleType>
        <xsd:restriction base="dms:Note"/>
      </xsd:simpleType>
    </xsd:element>
    <xsd:element name="MediaServiceKeyPoints" ma:index="36" nillable="true" ma:displayName="KeyPoints" ma:internalName="MediaServiceKeyPoints" ma:readOnly="true">
      <xsd:simpleType>
        <xsd:restriction base="dms:Note">
          <xsd:maxLength value="255"/>
        </xsd:restriction>
      </xsd:simpleType>
    </xsd:element>
    <xsd:element name="MediaServiceDateTaken" ma:index="37" nillable="true" ma:displayName="MediaServiceDateTaken" ma:hidden="true" ma:internalName="MediaServiceDateTaken" ma:readOnly="true">
      <xsd:simpleType>
        <xsd:restriction base="dms:Text"/>
      </xsd:simpleType>
    </xsd:element>
    <xsd:element name="MediaServiceAutoTags" ma:index="38" nillable="true" ma:displayName="Tags" ma:internalName="MediaServiceAutoTags" ma:readOnly="true">
      <xsd:simpleType>
        <xsd:restriction base="dms:Text"/>
      </xsd:simpleType>
    </xsd:element>
    <xsd:element name="MediaServiceLocation" ma:index="39" nillable="true" ma:displayName="Location" ma:internalName="MediaServiceLocation" ma:readOnly="true">
      <xsd:simpleType>
        <xsd:restriction base="dms:Text"/>
      </xsd:simpleType>
    </xsd:element>
    <xsd:element name="MediaServiceGenerationTime" ma:index="40" nillable="true" ma:displayName="MediaServiceGenerationTime" ma:hidden="true" ma:internalName="MediaServiceGenerationTime" ma:readOnly="true">
      <xsd:simpleType>
        <xsd:restriction base="dms:Text"/>
      </xsd:simpleType>
    </xsd:element>
    <xsd:element name="MediaServiceEventHashCode" ma:index="41" nillable="true" ma:displayName="MediaServiceEventHashCode" ma:hidden="true" ma:internalName="MediaServiceEventHashCode" ma:readOnly="true">
      <xsd:simpleType>
        <xsd:restriction base="dms:Text"/>
      </xsd:simpleType>
    </xsd:element>
    <xsd:element name="MediaServiceOCR" ma:index="42" nillable="true" ma:displayName="Extracted Text" ma:internalName="MediaServiceOCR" ma:readOnly="true">
      <xsd:simpleType>
        <xsd:restriction base="dms:Note">
          <xsd:maxLength value="255"/>
        </xsd:restriction>
      </xsd:simpleType>
    </xsd:element>
    <xsd:element name="MediaLengthInSeconds" ma:index="43" nillable="true" ma:displayName="Length (seconds)" ma:internalName="MediaLengthInSeconds" ma:readOnly="true">
      <xsd:simpleType>
        <xsd:restriction base="dms:Unknown"/>
      </xsd:simpleType>
    </xsd:element>
    <xsd:element name="lcf76f155ced4ddcb4097134ff3c332f" ma:index="47"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4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81e799-50cf-49ac-91df-499b0982a98e"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element name="_dlc_DocId" ma:index="32" nillable="true" ma:displayName="Document ID Value" ma:description="The value of the document ID assigned to this item." ma:internalName="_dlc_DocId" ma:readOnly="true">
      <xsd:simpleType>
        <xsd:restriction base="dms:Text"/>
      </xsd:simpleType>
    </xsd:element>
    <xsd:element name="_dlc_DocIdUrl" ma:index="3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4"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file>

<file path=customXml/itemProps1.xml><?xml version="1.0" encoding="utf-8"?>
<ds:datastoreItem xmlns:ds="http://schemas.openxmlformats.org/officeDocument/2006/customXml" ds:itemID="{D7A89A4C-9328-4D91-998D-9DCA28A8E727}">
  <ds:schemaRefs>
    <ds:schemaRef ds:uri="Microsoft.SharePoint.Taxonomy.ContentTypeSync"/>
  </ds:schemaRefs>
</ds:datastoreItem>
</file>

<file path=customXml/itemProps2.xml><?xml version="1.0" encoding="utf-8"?>
<ds:datastoreItem xmlns:ds="http://schemas.openxmlformats.org/officeDocument/2006/customXml" ds:itemID="{4F3BE7DD-131E-43CA-A384-27A64B1727F3}">
  <ds:schemaRefs>
    <ds:schemaRef ds:uri="http://schemas.microsoft.com/office/2006/metadata/properties"/>
    <ds:schemaRef ds:uri="http://schemas.microsoft.com/office/infopath/2007/PartnerControls"/>
    <ds:schemaRef ds:uri="http://schemas.microsoft.com/sharepoint/v3/fields"/>
    <ds:schemaRef ds:uri="http://schemas.microsoft.com/sharepoint/v3"/>
    <ds:schemaRef ds:uri="4ffa91fb-a0ff-4ac5-b2db-65c790d184a4"/>
    <ds:schemaRef ds:uri="http://schemas.microsoft.com/sharepoint.v3"/>
    <ds:schemaRef ds:uri="1dcf19bd-8966-40bc-8192-1c6096ed41ca"/>
  </ds:schemaRefs>
</ds:datastoreItem>
</file>

<file path=customXml/itemProps3.xml><?xml version="1.0" encoding="utf-8"?>
<ds:datastoreItem xmlns:ds="http://schemas.openxmlformats.org/officeDocument/2006/customXml" ds:itemID="{D13C89B8-599F-4F42-9F6B-EBA66CD2D6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1dcf19bd-8966-40bc-8192-1c6096ed41ca"/>
    <ds:schemaRef ds:uri="5381e799-50cf-49ac-91df-499b0982a9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25D27C5-D977-4260-9B74-9E3FED79B529}">
  <ds:schemaRefs>
    <ds:schemaRef ds:uri="http://schemas.microsoft.com/sharepoint/v3/contenttype/forms"/>
  </ds:schemaRefs>
</ds:datastoreItem>
</file>

<file path=customXml/itemProps5.xml><?xml version="1.0" encoding="utf-8"?>
<ds:datastoreItem xmlns:ds="http://schemas.openxmlformats.org/officeDocument/2006/customXml" ds:itemID="{BA8A2F99-6F22-475E-A3AE-B539E4BCA315}">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413</vt:i4>
      </vt:variant>
    </vt:vector>
  </HeadingPairs>
  <TitlesOfParts>
    <vt:vector size="434" baseType="lpstr">
      <vt:lpstr>Cover</vt:lpstr>
      <vt:lpstr>Language &amp; User Guide</vt:lpstr>
      <vt:lpstr>Contents</vt:lpstr>
      <vt:lpstr>Results (Graphical) – Facility</vt:lpstr>
      <vt:lpstr>Results (Tabular) - Facility</vt:lpstr>
      <vt:lpstr>Setup - Facility Details</vt:lpstr>
      <vt:lpstr>Setup - Fuel Use</vt:lpstr>
      <vt:lpstr>Setup - Flashing Losses</vt:lpstr>
      <vt:lpstr>Detailed Results Tabulation</vt:lpstr>
      <vt:lpstr>Calculations - Combustion</vt:lpstr>
      <vt:lpstr>Calculations - Fugitives</vt:lpstr>
      <vt:lpstr>EFs - Equipment Leaks</vt:lpstr>
      <vt:lpstr>Equipment Schedules</vt:lpstr>
      <vt:lpstr>EFs - Other</vt:lpstr>
      <vt:lpstr>Constants</vt:lpstr>
      <vt:lpstr>Lookup Tables</vt:lpstr>
      <vt:lpstr>Lookup Lists</vt:lpstr>
      <vt:lpstr>Utilities - Venting Calculation</vt:lpstr>
      <vt:lpstr>Utilities - Gas Properties</vt:lpstr>
      <vt:lpstr>Compressibility Factors</vt:lpstr>
      <vt:lpstr>Translation Table</vt:lpstr>
      <vt:lpstr>_BW37</vt:lpstr>
      <vt:lpstr>_BW38</vt:lpstr>
      <vt:lpstr>_BW39</vt:lpstr>
      <vt:lpstr>_BW40</vt:lpstr>
      <vt:lpstr>_BW41</vt:lpstr>
      <vt:lpstr>_BW42</vt:lpstr>
      <vt:lpstr>_BW43</vt:lpstr>
      <vt:lpstr>_BW44</vt:lpstr>
      <vt:lpstr>_BW45</vt:lpstr>
      <vt:lpstr>_BW46</vt:lpstr>
      <vt:lpstr>_BW47</vt:lpstr>
      <vt:lpstr>_BW55</vt:lpstr>
      <vt:lpstr>_BW56</vt:lpstr>
      <vt:lpstr>_BW57</vt:lpstr>
      <vt:lpstr>_BW58</vt:lpstr>
      <vt:lpstr>_BW59</vt:lpstr>
      <vt:lpstr>_BW60</vt:lpstr>
      <vt:lpstr>_BW61</vt:lpstr>
      <vt:lpstr>_BW62</vt:lpstr>
      <vt:lpstr>_BW63</vt:lpstr>
      <vt:lpstr>_BW64</vt:lpstr>
      <vt:lpstr>_BW73</vt:lpstr>
      <vt:lpstr>_BW74</vt:lpstr>
      <vt:lpstr>_BW75</vt:lpstr>
      <vt:lpstr>_BW76</vt:lpstr>
      <vt:lpstr>_BW77</vt:lpstr>
      <vt:lpstr>_BW78</vt:lpstr>
      <vt:lpstr>_BW79</vt:lpstr>
      <vt:lpstr>_BW80</vt:lpstr>
      <vt:lpstr>_BW81</vt:lpstr>
      <vt:lpstr>_BW82</vt:lpstr>
      <vt:lpstr>All</vt:lpstr>
      <vt:lpstr>AppType</vt:lpstr>
      <vt:lpstr>Basis</vt:lpstr>
      <vt:lpstr>CasingGas_CH4</vt:lpstr>
      <vt:lpstr>CasingGas_CO2</vt:lpstr>
      <vt:lpstr>CasingGas_H2S</vt:lpstr>
      <vt:lpstr>CasingGas_M</vt:lpstr>
      <vt:lpstr>CasingGas_N2</vt:lpstr>
      <vt:lpstr>CC_C10</vt:lpstr>
      <vt:lpstr>CC_C2</vt:lpstr>
      <vt:lpstr>CC_C3</vt:lpstr>
      <vt:lpstr>CC_C6</vt:lpstr>
      <vt:lpstr>CC_C7</vt:lpstr>
      <vt:lpstr>CC_C8</vt:lpstr>
      <vt:lpstr>CC_C9</vt:lpstr>
      <vt:lpstr>CC_CH4</vt:lpstr>
      <vt:lpstr>CC_CO2</vt:lpstr>
      <vt:lpstr>CC_H2O</vt:lpstr>
      <vt:lpstr>CC_H2S</vt:lpstr>
      <vt:lpstr>CC_iC4</vt:lpstr>
      <vt:lpstr>CC_iC5</vt:lpstr>
      <vt:lpstr>CC_N2</vt:lpstr>
      <vt:lpstr>CC_nC4</vt:lpstr>
      <vt:lpstr>CC_nC5</vt:lpstr>
      <vt:lpstr>CC_O2</vt:lpstr>
      <vt:lpstr>CC_SO2</vt:lpstr>
      <vt:lpstr>CF_Value</vt:lpstr>
      <vt:lpstr>ColName</vt:lpstr>
      <vt:lpstr>Cp_Air</vt:lpstr>
      <vt:lpstr>Cv_Air</vt:lpstr>
      <vt:lpstr>DehydratorType</vt:lpstr>
      <vt:lpstr>density_Air</vt:lpstr>
      <vt:lpstr>density_CH4</vt:lpstr>
      <vt:lpstr>density_FuelGas</vt:lpstr>
      <vt:lpstr>density_NG</vt:lpstr>
      <vt:lpstr>E3m3_per_d_to_bscf_per_y</vt:lpstr>
      <vt:lpstr>E3m3_per_d_to_E3m3_per_d</vt:lpstr>
      <vt:lpstr>E3m3_per_d_to_E3m3_per_mo</vt:lpstr>
      <vt:lpstr>E3m3_per_d_to_E3m3_per_y</vt:lpstr>
      <vt:lpstr>E3m3_per_d_to_E6_m3_per_d</vt:lpstr>
      <vt:lpstr>E3m3_per_d_to_E6m3_per_d</vt:lpstr>
      <vt:lpstr>E3m3_per_d_to_E6m3_per_mo</vt:lpstr>
      <vt:lpstr>E3m3_per_d_to_E6m3_per_y</vt:lpstr>
      <vt:lpstr>E3m3_per_d_to_m3_per_d</vt:lpstr>
      <vt:lpstr>E3m3_per_d_to_m3_per_h</vt:lpstr>
      <vt:lpstr>E3m3_per_d_to_mmscf_per_d</vt:lpstr>
      <vt:lpstr>E3m3_per_d_to_mmscf_per_mo</vt:lpstr>
      <vt:lpstr>E3m3_per_d_to_mmscf_per_y</vt:lpstr>
      <vt:lpstr>E3m3_per_d_to_mscf_per_d</vt:lpstr>
      <vt:lpstr>E3m3_per_d_to_mscf_per_mo</vt:lpstr>
      <vt:lpstr>E3m3_per_d_to_scf_per_h</vt:lpstr>
      <vt:lpstr>EmittedSubstance</vt:lpstr>
      <vt:lpstr>EngineType</vt:lpstr>
      <vt:lpstr>EngLiqFuel</vt:lpstr>
      <vt:lpstr>English</vt:lpstr>
      <vt:lpstr>EquipmentSchedules</vt:lpstr>
      <vt:lpstr>EspañolColombia</vt:lpstr>
      <vt:lpstr>Flare</vt:lpstr>
      <vt:lpstr>FlaredAcidGas_CH4</vt:lpstr>
      <vt:lpstr>FlaredAcidGas_CO2</vt:lpstr>
      <vt:lpstr>FlaredAcidGas_H2S</vt:lpstr>
      <vt:lpstr>FlaredAcidGas_HHV</vt:lpstr>
      <vt:lpstr>FlaredAcidGas_M</vt:lpstr>
      <vt:lpstr>FlaredAcidGas_N2</vt:lpstr>
      <vt:lpstr>FlareGas_CH4</vt:lpstr>
      <vt:lpstr>FlareGas_CO2</vt:lpstr>
      <vt:lpstr>FlareGas_H2S</vt:lpstr>
      <vt:lpstr>FlareGas_HHV</vt:lpstr>
      <vt:lpstr>FlareGas_M</vt:lpstr>
      <vt:lpstr>FlareGas_N2</vt:lpstr>
      <vt:lpstr>FuelCategory</vt:lpstr>
      <vt:lpstr>FuelCategory_v2</vt:lpstr>
      <vt:lpstr>FuelGas_CarbonContent</vt:lpstr>
      <vt:lpstr>FuelGas_CH4</vt:lpstr>
      <vt:lpstr>FuelGas_CO2</vt:lpstr>
      <vt:lpstr>FuelGas_H2S</vt:lpstr>
      <vt:lpstr>FuelGas_HHV</vt:lpstr>
      <vt:lpstr>FuelGas_LHV</vt:lpstr>
      <vt:lpstr>FuelGas_M</vt:lpstr>
      <vt:lpstr>FuelGas_N2</vt:lpstr>
      <vt:lpstr>g_per_gal_to_tonne_per_m3</vt:lpstr>
      <vt:lpstr>g_per_scf_to_kg_per_Nm3</vt:lpstr>
      <vt:lpstr>g_per_ton_to_tonne_per_tonne</vt:lpstr>
      <vt:lpstr>gamma_Air</vt:lpstr>
      <vt:lpstr>gamma_NG</vt:lpstr>
      <vt:lpstr>Gas</vt:lpstr>
      <vt:lpstr>GasDistribution</vt:lpstr>
      <vt:lpstr>GasEng</vt:lpstr>
      <vt:lpstr>Gaseous</vt:lpstr>
      <vt:lpstr>GaseousFuels</vt:lpstr>
      <vt:lpstr>GaseousUnits</vt:lpstr>
      <vt:lpstr>GasProcessing</vt:lpstr>
      <vt:lpstr>GasRecipEngine2StrokeLeanBurn</vt:lpstr>
      <vt:lpstr>GasStorage</vt:lpstr>
      <vt:lpstr>GasTransmission</vt:lpstr>
      <vt:lpstr>GD</vt:lpstr>
      <vt:lpstr>GJ_per_h_to_kW</vt:lpstr>
      <vt:lpstr>GJ_per_y_to_GJ_per_d</vt:lpstr>
      <vt:lpstr>GJ_per_y_to_GJ_per_mo</vt:lpstr>
      <vt:lpstr>GJ_per_y_to_mBTU_per_h</vt:lpstr>
      <vt:lpstr>GJ_per_y_to_MJ_per_h</vt:lpstr>
      <vt:lpstr>GJ_per_y_to_mmBTU_per_d</vt:lpstr>
      <vt:lpstr>GJ_per_y_to_mmBTU_per_mo</vt:lpstr>
      <vt:lpstr>GJ_per_y_to_mmBTU_per_y</vt:lpstr>
      <vt:lpstr>GP</vt:lpstr>
      <vt:lpstr>GS</vt:lpstr>
      <vt:lpstr>GT</vt:lpstr>
      <vt:lpstr>Heater</vt:lpstr>
      <vt:lpstr>HeaterBoilerType</vt:lpstr>
      <vt:lpstr>Heavy</vt:lpstr>
      <vt:lpstr>HHV_C10</vt:lpstr>
      <vt:lpstr>HHV_C2</vt:lpstr>
      <vt:lpstr>HHV_C3</vt:lpstr>
      <vt:lpstr>HHV_C6</vt:lpstr>
      <vt:lpstr>HHV_C7</vt:lpstr>
      <vt:lpstr>HHV_C8</vt:lpstr>
      <vt:lpstr>HHV_C9</vt:lpstr>
      <vt:lpstr>HHV_CH4</vt:lpstr>
      <vt:lpstr>HHV_CO2</vt:lpstr>
      <vt:lpstr>HHV_H2O</vt:lpstr>
      <vt:lpstr>HHV_H2S</vt:lpstr>
      <vt:lpstr>HHV_iC4</vt:lpstr>
      <vt:lpstr>HHV_iC5</vt:lpstr>
      <vt:lpstr>HHV_N2</vt:lpstr>
      <vt:lpstr>HHV_nC4</vt:lpstr>
      <vt:lpstr>HHV_nC5</vt:lpstr>
      <vt:lpstr>HHV_NMVOC</vt:lpstr>
      <vt:lpstr>HHV_O2</vt:lpstr>
      <vt:lpstr>HHV_SO2</vt:lpstr>
      <vt:lpstr>HP_to_kW</vt:lpstr>
      <vt:lpstr>HydrocarbonLiquids</vt:lpstr>
      <vt:lpstr>InstrumentNG_CH4</vt:lpstr>
      <vt:lpstr>InstrumentNG_CO2</vt:lpstr>
      <vt:lpstr>InstrumentNG_H2S</vt:lpstr>
      <vt:lpstr>InstrumentNG_M</vt:lpstr>
      <vt:lpstr>InstrumentNG_N2</vt:lpstr>
      <vt:lpstr>kg_per_h_to_lb_per_h</vt:lpstr>
      <vt:lpstr>kg_per_h_to_ton_per_d</vt:lpstr>
      <vt:lpstr>kg_per_h_to_ton_per_mo</vt:lpstr>
      <vt:lpstr>kg_per_h_to_ton_per_y</vt:lpstr>
      <vt:lpstr>kg_per_h_to_tonne_per_d</vt:lpstr>
      <vt:lpstr>kg_per_h_to_tonne_per_mo</vt:lpstr>
      <vt:lpstr>kg_per_h_to_tonne_per_y</vt:lpstr>
      <vt:lpstr>kg_per_m3_to_lb_per_ft3</vt:lpstr>
      <vt:lpstr>kg_per_m3_to_lb_per_gal</vt:lpstr>
      <vt:lpstr>kgCH4_per_activity_to_m3CH4_per_activity</vt:lpstr>
      <vt:lpstr>kPa_to_bar</vt:lpstr>
      <vt:lpstr>kPa_to_kg_per_cm2</vt:lpstr>
      <vt:lpstr>kPa_to_kPa</vt:lpstr>
      <vt:lpstr>kPa_to_oz_per_in2</vt:lpstr>
      <vt:lpstr>kPa_to_Pa</vt:lpstr>
      <vt:lpstr>kPa_to_psi</vt:lpstr>
      <vt:lpstr>kPag_to_barg</vt:lpstr>
      <vt:lpstr>kPag_to_kg_per_cm2g</vt:lpstr>
      <vt:lpstr>kPag_to_kPag</vt:lpstr>
      <vt:lpstr>kPag_to_psig</vt:lpstr>
      <vt:lpstr>kW_to_GJ_per_h</vt:lpstr>
      <vt:lpstr>kW_to_HP</vt:lpstr>
      <vt:lpstr>kW_to_kW</vt:lpstr>
      <vt:lpstr>kW_to_kWh_per_d</vt:lpstr>
      <vt:lpstr>kW_to_kWh_per_mo</vt:lpstr>
      <vt:lpstr>kW_to_mBTU_per_h</vt:lpstr>
      <vt:lpstr>kW_to_mmBTU_per_h</vt:lpstr>
      <vt:lpstr>kW_to_MW</vt:lpstr>
      <vt:lpstr>kW_to_MWh_per_y</vt:lpstr>
      <vt:lpstr>lb_CH4_to_m3_CH4</vt:lpstr>
      <vt:lpstr>lb_per_E3gal_to_tonne_per_m3</vt:lpstr>
      <vt:lpstr>lb_per_mmBTU_to_tonnes_per_GJ</vt:lpstr>
      <vt:lpstr>lb_per_mmscf_to_tonne_per_E3m3</vt:lpstr>
      <vt:lpstr>lb_per_ton_to_tonne_per_tonne</vt:lpstr>
      <vt:lpstr>LHV_C10</vt:lpstr>
      <vt:lpstr>LHV_C2</vt:lpstr>
      <vt:lpstr>LHV_C3</vt:lpstr>
      <vt:lpstr>LHV_C6</vt:lpstr>
      <vt:lpstr>LHV_C7</vt:lpstr>
      <vt:lpstr>LHV_C8</vt:lpstr>
      <vt:lpstr>LHV_C9</vt:lpstr>
      <vt:lpstr>LHV_CH4</vt:lpstr>
      <vt:lpstr>LHV_CO2</vt:lpstr>
      <vt:lpstr>LHV_H2O</vt:lpstr>
      <vt:lpstr>LHV_H2S</vt:lpstr>
      <vt:lpstr>LHV_iC4</vt:lpstr>
      <vt:lpstr>LHV_iC5</vt:lpstr>
      <vt:lpstr>LHV_N2</vt:lpstr>
      <vt:lpstr>LHV_nC4</vt:lpstr>
      <vt:lpstr>LHV_nC5</vt:lpstr>
      <vt:lpstr>LHV_NMVOC</vt:lpstr>
      <vt:lpstr>LHV_O2</vt:lpstr>
      <vt:lpstr>LHV_SO2</vt:lpstr>
      <vt:lpstr>Light</vt:lpstr>
      <vt:lpstr>Liquid</vt:lpstr>
      <vt:lpstr>LiquidFuel_S</vt:lpstr>
      <vt:lpstr>LiquidFuels</vt:lpstr>
      <vt:lpstr>LiquidUnits</vt:lpstr>
      <vt:lpstr>M_Air</vt:lpstr>
      <vt:lpstr>M_C</vt:lpstr>
      <vt:lpstr>M_C10</vt:lpstr>
      <vt:lpstr>M_C2</vt:lpstr>
      <vt:lpstr>M_C3</vt:lpstr>
      <vt:lpstr>M_C6</vt:lpstr>
      <vt:lpstr>M_C7</vt:lpstr>
      <vt:lpstr>M_C8</vt:lpstr>
      <vt:lpstr>M_C9</vt:lpstr>
      <vt:lpstr>M_CH4</vt:lpstr>
      <vt:lpstr>M_CO</vt:lpstr>
      <vt:lpstr>M_CO2</vt:lpstr>
      <vt:lpstr>M_FuelGas</vt:lpstr>
      <vt:lpstr>M_H</vt:lpstr>
      <vt:lpstr>M_H2O</vt:lpstr>
      <vt:lpstr>M_H2S</vt:lpstr>
      <vt:lpstr>M_iC4</vt:lpstr>
      <vt:lpstr>M_iC5</vt:lpstr>
      <vt:lpstr>M_N</vt:lpstr>
      <vt:lpstr>M_N2</vt:lpstr>
      <vt:lpstr>M_N2O</vt:lpstr>
      <vt:lpstr>M_nC4</vt:lpstr>
      <vt:lpstr>M_nC5</vt:lpstr>
      <vt:lpstr>M_NMVOC</vt:lpstr>
      <vt:lpstr>M_NOx</vt:lpstr>
      <vt:lpstr>M_O</vt:lpstr>
      <vt:lpstr>M_O2</vt:lpstr>
      <vt:lpstr>M_ProcessGas</vt:lpstr>
      <vt:lpstr>M_S</vt:lpstr>
      <vt:lpstr>M_SO2</vt:lpstr>
      <vt:lpstr>m3_per_d_to_bbl_per_d</vt:lpstr>
      <vt:lpstr>m3_per_d_to_bbl_per_mo</vt:lpstr>
      <vt:lpstr>m3_per_d_to_bbl_per_y</vt:lpstr>
      <vt:lpstr>m3_per_d_to_E3m3_per_d</vt:lpstr>
      <vt:lpstr>m3_per_d_to_E3m3_per_y</vt:lpstr>
      <vt:lpstr>m3_per_d_to_gal_per_h</vt:lpstr>
      <vt:lpstr>m3_per_d_to_m3_per_d</vt:lpstr>
      <vt:lpstr>m3_per_d_to_m3_per_h</vt:lpstr>
      <vt:lpstr>m3_per_d_to_m3_per_mo</vt:lpstr>
      <vt:lpstr>m3_per_d_to_m3_per_y</vt:lpstr>
      <vt:lpstr>m3_per_d_to_mmscf_per_d</vt:lpstr>
      <vt:lpstr>m3_per_d_to_scf_per_h</vt:lpstr>
      <vt:lpstr>m3_per_h_to_E3m3_per_d</vt:lpstr>
      <vt:lpstr>m3_per_h_to_E3m3_per_mo</vt:lpstr>
      <vt:lpstr>m3_per_h_to_E3m3_per_y</vt:lpstr>
      <vt:lpstr>m3_per_h_to_gal_per_d</vt:lpstr>
      <vt:lpstr>m3_per_h_to_gal_per_h</vt:lpstr>
      <vt:lpstr>m3_per_h_to_gal_per_mo</vt:lpstr>
      <vt:lpstr>m3_per_h_to_gal_per_y</vt:lpstr>
      <vt:lpstr>m3_per_h_to_L_per_h</vt:lpstr>
      <vt:lpstr>m3_per_h_to_m3_per_d</vt:lpstr>
      <vt:lpstr>m3_per_h_to_m3_per_h</vt:lpstr>
      <vt:lpstr>m3_per_h_to_m3_per_mo</vt:lpstr>
      <vt:lpstr>m3_per_h_to_m3_per_y</vt:lpstr>
      <vt:lpstr>m3_per_h_to_mscf_per_d</vt:lpstr>
      <vt:lpstr>m3_per_h_to_mscf_per_mo</vt:lpstr>
      <vt:lpstr>m3_per_h_to_mscf_per_y</vt:lpstr>
      <vt:lpstr>m3_per_h_to_scf_per_h</vt:lpstr>
      <vt:lpstr>m3_per_m3Oil_to_scf_per_bblOil</vt:lpstr>
      <vt:lpstr>m3_per_m3Water_to_scf_per_bblWater</vt:lpstr>
      <vt:lpstr>Medium</vt:lpstr>
      <vt:lpstr>Methane</vt:lpstr>
      <vt:lpstr>mile_to_km</vt:lpstr>
      <vt:lpstr>mmBTU_per_h_to_kW</vt:lpstr>
      <vt:lpstr>n_</vt:lpstr>
      <vt:lpstr>Natural_Gas</vt:lpstr>
      <vt:lpstr>NaturalGas</vt:lpstr>
      <vt:lpstr>None</vt:lpstr>
      <vt:lpstr>OffshoreGasProduction</vt:lpstr>
      <vt:lpstr>OffshoreOilProduction</vt:lpstr>
      <vt:lpstr>OfGP</vt:lpstr>
      <vt:lpstr>OfOP</vt:lpstr>
      <vt:lpstr>OilStorageSystemType</vt:lpstr>
      <vt:lpstr>OnGP</vt:lpstr>
      <vt:lpstr>OnOP</vt:lpstr>
      <vt:lpstr>OnshoreGasProduction</vt:lpstr>
      <vt:lpstr>OnshoreOilProduction</vt:lpstr>
      <vt:lpstr>P_ratio</vt:lpstr>
      <vt:lpstr>Pamb</vt:lpstr>
      <vt:lpstr>PetroleumRefining</vt:lpstr>
      <vt:lpstr>PR</vt:lpstr>
      <vt:lpstr>'Results (Graphical) – Facility'!Print_Area</vt:lpstr>
      <vt:lpstr>'Results (Tabular) - Facility'!Print_Area</vt:lpstr>
      <vt:lpstr>'Setup - Facility Details'!Print_Area</vt:lpstr>
      <vt:lpstr>ProcessGas_CH4</vt:lpstr>
      <vt:lpstr>ProcessGas_CO2</vt:lpstr>
      <vt:lpstr>ProcessGas_H2S</vt:lpstr>
      <vt:lpstr>ProcessGas_M</vt:lpstr>
      <vt:lpstr>ProcessGas_N2</vt:lpstr>
      <vt:lpstr>ProducedWaterStorageSystemType</vt:lpstr>
      <vt:lpstr>Ps</vt:lpstr>
      <vt:lpstr>PT_Index</vt:lpstr>
      <vt:lpstr>PTRange</vt:lpstr>
      <vt:lpstr>RangeSource</vt:lpstr>
      <vt:lpstr>Recip</vt:lpstr>
      <vt:lpstr>Rg</vt:lpstr>
      <vt:lpstr>rngUn2</vt:lpstr>
      <vt:lpstr>rngVal2</vt:lpstr>
      <vt:lpstr>RnSource</vt:lpstr>
      <vt:lpstr>scf_per_activity_to_m3_per_activity</vt:lpstr>
      <vt:lpstr>scf_per_d_per_device_to_m3_per_d_per_device</vt:lpstr>
      <vt:lpstr>scf_per_E6scf_to_m3_per_E6m3</vt:lpstr>
      <vt:lpstr>scf_per_h_per_device_to_m3_per_d_per_device</vt:lpstr>
      <vt:lpstr>scf_per_pipeline_mile_to_m3_per_pipeline_km</vt:lpstr>
      <vt:lpstr>scf_per_y_source_to_m3_per_y_per_source</vt:lpstr>
      <vt:lpstr>Solid</vt:lpstr>
      <vt:lpstr>SolidFuel_S</vt:lpstr>
      <vt:lpstr>SolidFuels</vt:lpstr>
      <vt:lpstr>SolidUnits</vt:lpstr>
      <vt:lpstr>SourceOfProperty</vt:lpstr>
      <vt:lpstr>SourceOfQuantity</vt:lpstr>
      <vt:lpstr>start</vt:lpstr>
      <vt:lpstr>Start_EQ</vt:lpstr>
      <vt:lpstr>StartD</vt:lpstr>
      <vt:lpstr>StartIMA</vt:lpstr>
      <vt:lpstr>StartPCIP</vt:lpstr>
      <vt:lpstr>TblDsitribution_EquipmentComponents</vt:lpstr>
      <vt:lpstr>TblEF_Controllers</vt:lpstr>
      <vt:lpstr>TblErrorMsg</vt:lpstr>
      <vt:lpstr>TblGasDistributionControllers</vt:lpstr>
      <vt:lpstr>TblGasProcessingControllers</vt:lpstr>
      <vt:lpstr>TblGasStorageControllers</vt:lpstr>
      <vt:lpstr>TblGasTransmissionControllers</vt:lpstr>
      <vt:lpstr>TblProcessUnitInventory</vt:lpstr>
      <vt:lpstr>TblProduction_EquipmentComponents</vt:lpstr>
      <vt:lpstr>TblProductionControllers</vt:lpstr>
      <vt:lpstr>TblTransmission_EquipmentComponents</vt:lpstr>
      <vt:lpstr>Ti</vt:lpstr>
      <vt:lpstr>tonne_to_kg</vt:lpstr>
      <vt:lpstr>tonnesCH4_per_d_source_to_m3CH4_per_d_per_source</vt:lpstr>
      <vt:lpstr>tonnesCH4_per_E3bbl_to_m3CH4_per_m3</vt:lpstr>
      <vt:lpstr>tonnesCH4_per_m3_to_m3CH4_per_m3</vt:lpstr>
      <vt:lpstr>tonnesCH4_per_pipeline_mile_to_m3CH4_per_pipeline_km</vt:lpstr>
      <vt:lpstr>tonnesCH4_to_m3CH4</vt:lpstr>
      <vt:lpstr>Ts</vt:lpstr>
      <vt:lpstr>Turbine</vt:lpstr>
      <vt:lpstr>ValidCompCrankcaseCF</vt:lpstr>
      <vt:lpstr>ValidCompCrankcaseCF_V</vt:lpstr>
      <vt:lpstr>ValidCompSealCF</vt:lpstr>
      <vt:lpstr>ValidCompSealCF_V</vt:lpstr>
      <vt:lpstr>ValidConnectorCF</vt:lpstr>
      <vt:lpstr>ValidConnectorCF_V</vt:lpstr>
      <vt:lpstr>ValidControllerTypes</vt:lpstr>
      <vt:lpstr>ValidDehydratorTypes</vt:lpstr>
      <vt:lpstr>ValidDistributionProcessUnits</vt:lpstr>
      <vt:lpstr>ValidDrainCF</vt:lpstr>
      <vt:lpstr>ValidDrainCF_V</vt:lpstr>
      <vt:lpstr>ValidHydrocarbonLiquidCategories</vt:lpstr>
      <vt:lpstr>ValidIndustrySegments</vt:lpstr>
      <vt:lpstr>ValidOELCF</vt:lpstr>
      <vt:lpstr>ValidOELCF_V</vt:lpstr>
      <vt:lpstr>ValidOtherCF</vt:lpstr>
      <vt:lpstr>ValidOtherCF_V</vt:lpstr>
      <vt:lpstr>ValidPneumaticSupplyGas</vt:lpstr>
      <vt:lpstr>ValidProductionProcessUnits</vt:lpstr>
      <vt:lpstr>ValidPRVCF</vt:lpstr>
      <vt:lpstr>ValidPRVCF_V</vt:lpstr>
      <vt:lpstr>ValidPumpCF</vt:lpstr>
      <vt:lpstr>ValidPumpCF_V</vt:lpstr>
      <vt:lpstr>ValidRegulatorCF</vt:lpstr>
      <vt:lpstr>ValidRegulatorCF_V</vt:lpstr>
      <vt:lpstr>ValidSampConCF</vt:lpstr>
      <vt:lpstr>ValidSampConCF_V</vt:lpstr>
      <vt:lpstr>ValidTransmissionProcessUnits</vt:lpstr>
      <vt:lpstr>ValidUnitConversions</vt:lpstr>
      <vt:lpstr>ValidValveCF</vt:lpstr>
      <vt:lpstr>ValidValveCF_V</vt:lpstr>
      <vt:lpstr>Vapor_CH4</vt:lpstr>
      <vt:lpstr>Vapor_CO2</vt:lpstr>
      <vt:lpstr>Vapor_H2S</vt:lpstr>
      <vt:lpstr>Vapor_M</vt:lpstr>
      <vt:lpstr>Vapor_N2</vt:lpstr>
      <vt:lpstr>VaporRecoveryCompressor</vt:lpstr>
      <vt:lpstr>VentControlDevice</vt:lpstr>
      <vt:lpstr>VentedAcidGas_CH4</vt:lpstr>
      <vt:lpstr>VentedAcidGas_CO2</vt:lpstr>
      <vt:lpstr>VentedAcidGas_H2S</vt:lpstr>
      <vt:lpstr>VentedAcidGas_M</vt:lpstr>
      <vt:lpstr>VentedAcidGas_N2</vt:lpstr>
      <vt:lpstr>VentGas_CH4</vt:lpstr>
      <vt:lpstr>VentGas_CO2</vt:lpstr>
      <vt:lpstr>VentGas_H2S</vt:lpstr>
      <vt:lpstr>VentGas_M</vt:lpstr>
      <vt:lpstr>VentGas_N2</vt:lpstr>
      <vt:lpstr>VeryHeavy</vt:lpstr>
      <vt:lpstr>Vstp</vt:lpstr>
      <vt:lpstr>y_to_h</vt:lpstr>
      <vt:lpstr>中文</vt:lpstr>
    </vt:vector>
  </TitlesOfParts>
  <Company>User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Dave Picard [DP]</dc:creator>
  <cp:lastModifiedBy>Meluch, Andrew</cp:lastModifiedBy>
  <cp:lastPrinted>2023-12-22T15:29:21Z</cp:lastPrinted>
  <dcterms:created xsi:type="dcterms:W3CDTF">2016-06-20T18:52:20Z</dcterms:created>
  <dcterms:modified xsi:type="dcterms:W3CDTF">2025-06-03T21:05:45Z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0x0101000ED94F6677EA4744A21BDA80C049D5C4</vt:lpwstr>
  </property>
  <property fmtid="{D5CDD505-2E9C-101B-9397-08002B2CF9AE}" pid="3" name="TaxKeyword">
    <vt:lpwstr/>
  </property>
  <property fmtid="{D5CDD505-2E9C-101B-9397-08002B2CF9AE}" pid="4" name="Document_x0020_Type">
    <vt:lpwstr/>
  </property>
  <property fmtid="{D5CDD505-2E9C-101B-9397-08002B2CF9AE}" pid="5" name="MediaServiceImageTags">
    <vt:lpwstr/>
  </property>
  <property fmtid="{D5CDD505-2E9C-101B-9397-08002B2CF9AE}" pid="6" name="e3f09c3df709400db2417a7161762d62">
    <vt:lpwstr/>
  </property>
  <property fmtid="{D5CDD505-2E9C-101B-9397-08002B2CF9AE}" pid="7" name="EPA_x0020_Subject">
    <vt:lpwstr/>
  </property>
  <property fmtid="{D5CDD505-2E9C-101B-9397-08002B2CF9AE}" pid="8" name="Document Type">
    <vt:lpwstr/>
  </property>
  <property fmtid="{D5CDD505-2E9C-101B-9397-08002B2CF9AE}" pid="9" name="EPA Subject">
    <vt:lpwstr/>
  </property>
</Properties>
</file>